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1" firstSheet="12" activeTab="2" autoFilterDateGrouping="1"/>
  </bookViews>
  <sheets>
    <sheet xmlns:r="http://schemas.openxmlformats.org/officeDocument/2006/relationships" name="Dados Base" sheetId="1" state="visible" r:id="rId1"/>
    <sheet xmlns:r="http://schemas.openxmlformats.org/officeDocument/2006/relationships" name="EAP" sheetId="2" state="visible" r:id="rId2"/>
    <sheet xmlns:r="http://schemas.openxmlformats.org/officeDocument/2006/relationships" name="EPCs" sheetId="3" state="visible" r:id="rId3"/>
    <sheet xmlns:r="http://schemas.openxmlformats.org/officeDocument/2006/relationships" name="Ger_Executivo_Manual" sheetId="4" state="hidden" r:id="rId4"/>
    <sheet xmlns:r="http://schemas.openxmlformats.org/officeDocument/2006/relationships" name="Orçamento" sheetId="5" state="hidden" r:id="rId5"/>
    <sheet xmlns:r="http://schemas.openxmlformats.org/officeDocument/2006/relationships" name="Composições" sheetId="6" state="hidden" r:id="rId6"/>
    <sheet xmlns:r="http://schemas.openxmlformats.org/officeDocument/2006/relationships" name="Insumos (2)" sheetId="7" state="hidden" r:id="rId7"/>
    <sheet xmlns:r="http://schemas.openxmlformats.org/officeDocument/2006/relationships" name="PROJETOS" sheetId="8" state="hidden" r:id="rId8"/>
    <sheet xmlns:r="http://schemas.openxmlformats.org/officeDocument/2006/relationships" name="Ger_Tec e Adm" sheetId="9" state="hidden" r:id="rId9"/>
    <sheet xmlns:r="http://schemas.openxmlformats.org/officeDocument/2006/relationships" name="Ger_Executivo_Cartesian" sheetId="10" state="hidden" r:id="rId10"/>
    <sheet xmlns:r="http://schemas.openxmlformats.org/officeDocument/2006/relationships" name="CPU" sheetId="11" state="hidden" r:id="rId11"/>
    <sheet xmlns:r="http://schemas.openxmlformats.org/officeDocument/2006/relationships" name="Insumos" sheetId="12" state="hidden" r:id="rId12"/>
  </sheets>
  <definedNames>
    <definedName name="\0">#REF!</definedName>
    <definedName name="\1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i">#REF!</definedName>
    <definedName name="\J">#REF!</definedName>
    <definedName name="\k">#REF!</definedName>
    <definedName name="\l">#N/A</definedName>
    <definedName name="\m">#REF!</definedName>
    <definedName name="\o">#REF!</definedName>
    <definedName name="\p">#REF!</definedName>
    <definedName name="\r">#REF!</definedName>
    <definedName name="\T">#REF!</definedName>
    <definedName name="\xasd" hidden="1">{#N/A,#N/A,FALSE,"Plan1";#N/A,#N/A,FALSE,"Plan2"}</definedName>
    <definedName name="\z">#REF!</definedName>
    <definedName name="_">#REF!</definedName>
    <definedName name="_\0">#REF!</definedName>
    <definedName name="_\1">#REF!</definedName>
    <definedName name="_\a">#REF!</definedName>
    <definedName name="_\b">#REF!</definedName>
    <definedName name="_\c">#REF!</definedName>
    <definedName name="_\d">#REF!</definedName>
    <definedName name="_\e">#REF!</definedName>
    <definedName name="_\i">#REF!</definedName>
    <definedName name="_\J">#REF!</definedName>
    <definedName name="_\k">#REF!</definedName>
    <definedName name="_\l">#N/A</definedName>
    <definedName name="_\m">#REF!</definedName>
    <definedName name="_\o">#REF!</definedName>
    <definedName name="_\p">#REF!</definedName>
    <definedName name="_\r">#REF!</definedName>
    <definedName name="_\T">#REF!</definedName>
    <definedName name="_\xasd" hidden="1">{#N/A,#N/A,FALSE,"Plan1";#N/A,#N/A,FALSE,"Plan2"}</definedName>
    <definedName name="_\z">#REF!</definedName>
    <definedName name="__">#REF!</definedName>
    <definedName name="_______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ACR10">#REF!</definedName>
    <definedName name="______ACR15">#REF!</definedName>
    <definedName name="______acr20">#REF!</definedName>
    <definedName name="______acr5">#REF!</definedName>
    <definedName name="______ARQ1">#REF!</definedName>
    <definedName name="______QT100">#REF!</definedName>
    <definedName name="______QT2">#REF!</definedName>
    <definedName name="______QT3">#REF!</definedName>
    <definedName name="______QT4">#REF!</definedName>
    <definedName name="______QT50">#REF!</definedName>
    <definedName name="______QT75">#REF!</definedName>
    <definedName name="_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ACR10">#REF!</definedName>
    <definedName name="_____ACR15">#REF!</definedName>
    <definedName name="_____acr20">#REF!</definedName>
    <definedName name="_____acr5">#REF!</definedName>
    <definedName name="_____ARQ1">#REF!</definedName>
    <definedName name="_____key2">#REF!</definedName>
    <definedName name="_____QT100">#REF!</definedName>
    <definedName name="_____QT2">#REF!</definedName>
    <definedName name="_____QT3">#REF!</definedName>
    <definedName name="_____QT4">#REF!</definedName>
    <definedName name="_____QT50">#REF!</definedName>
    <definedName name="_____QT75">#REF!</definedName>
    <definedName name="_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key2">#REF!</definedName>
    <definedName name="____la29">#REF!</definedName>
    <definedName name="____la3">#REF!</definedName>
    <definedName name="____la31">#REF!</definedName>
    <definedName name="____la32">#REF!</definedName>
    <definedName name="____la4">#REF!</definedName>
    <definedName name="____la5">#REF!</definedName>
    <definedName name="____la6">#REF!</definedName>
    <definedName name="____la7">#REF!</definedName>
    <definedName name="____la8">#REF!</definedName>
    <definedName name="____la9">#REF!</definedName>
    <definedName name="____lb1">#REF!</definedName>
    <definedName name="____lb10">#REF!</definedName>
    <definedName name="____lb11">#REF!</definedName>
    <definedName name="____lb12">#REF!</definedName>
    <definedName name="____lb13">#REF!</definedName>
    <definedName name="____lb14">#REF!</definedName>
    <definedName name="____lb15">#REF!</definedName>
    <definedName name="____lb16">#REF!</definedName>
    <definedName name="____lb17">#REF!</definedName>
    <definedName name="____lb18">#REF!</definedName>
    <definedName name="____lb19">#REF!</definedName>
    <definedName name="____lb2">#REF!</definedName>
    <definedName name="____lb20">#REF!</definedName>
    <definedName name="____lb21">#REF!</definedName>
    <definedName name="____lb22">#REF!</definedName>
    <definedName name="____lb23">#REF!</definedName>
    <definedName name="____lb24">#REF!</definedName>
    <definedName name="____lb25">#REF!</definedName>
    <definedName name="____lb27">#REF!</definedName>
    <definedName name="____lb28">#REF!</definedName>
    <definedName name="____lb29">#REF!</definedName>
    <definedName name="____lb3">#REF!</definedName>
    <definedName name="____lb30">#REF!</definedName>
    <definedName name="____lb31">#REF!</definedName>
    <definedName name="____lb32">#REF!</definedName>
    <definedName name="____lb4">#REF!</definedName>
    <definedName name="____lb5">#REF!</definedName>
    <definedName name="____lb6">#REF!</definedName>
    <definedName name="____lb7">#REF!</definedName>
    <definedName name="____lb8">#REF!</definedName>
    <definedName name="____lb9">#REF!</definedName>
    <definedName name="____lbc1">#REF!</definedName>
    <definedName name="____lbc10">#REF!</definedName>
    <definedName name="____lbc11">#REF!</definedName>
    <definedName name="____lbc12">#REF!</definedName>
    <definedName name="____lbc13">#REF!</definedName>
    <definedName name="____lbc14">#REF!</definedName>
    <definedName name="____lbc15">#REF!</definedName>
    <definedName name="____lbc16">#REF!</definedName>
    <definedName name="____lbc17">#REF!</definedName>
    <definedName name="____lbc18">#REF!</definedName>
    <definedName name="____lbc19">#REF!</definedName>
    <definedName name="____lbc2">#REF!</definedName>
    <definedName name="____lbc20">#REF!</definedName>
    <definedName name="____lbc21">#REF!</definedName>
    <definedName name="____lbc22">#REF!</definedName>
    <definedName name="____lbc23">#REF!</definedName>
    <definedName name="____lbc24">#REF!</definedName>
    <definedName name="____lbc25">#REF!</definedName>
    <definedName name="____lbc26">#REF!</definedName>
    <definedName name="____lbc27">#REF!</definedName>
    <definedName name="____lbc28">#REF!</definedName>
    <definedName name="____lbc29">#REF!</definedName>
    <definedName name="____lbc3">#REF!</definedName>
    <definedName name="____lbc31">#REF!</definedName>
    <definedName name="____lbc32">#REF!</definedName>
    <definedName name="____lbc4">#REF!</definedName>
    <definedName name="____lbc5">#REF!</definedName>
    <definedName name="____lbc6">#REF!</definedName>
    <definedName name="____lbc7">#REF!</definedName>
    <definedName name="____lbc8">#REF!</definedName>
    <definedName name="____lbc9">#REF!</definedName>
    <definedName name="____ld26">#REF!</definedName>
    <definedName name="____ld31">#REF!</definedName>
    <definedName name="____le31">#REF!</definedName>
    <definedName name="____lf31">#REF!</definedName>
    <definedName name="____PK2">{"'장비'!$A$3:$M$12"}</definedName>
    <definedName name="____PKG3">{"'장비'!$A$3:$M$12"}</definedName>
    <definedName name="____qqq222">{"'장비'!$A$3:$M$12"}</definedName>
    <definedName name="_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x10">#REF!</definedName>
    <definedName name="____x11">#REF!</definedName>
    <definedName name="____x12">#REF!</definedName>
    <definedName name="____x13">#REF!</definedName>
    <definedName name="____x14">#REF!</definedName>
    <definedName name="____x15">#REF!</definedName>
    <definedName name="____x16">#REF!</definedName>
    <definedName name="____x17">#REF!</definedName>
    <definedName name="____x18">#REF!</definedName>
    <definedName name="____x19">#REF!</definedName>
    <definedName name="____x20">#REF!</definedName>
    <definedName name="____x21">#REF!</definedName>
    <definedName name="____x22">#REF!</definedName>
    <definedName name="____x23">#REF!</definedName>
    <definedName name="____x24">#REF!</definedName>
    <definedName name="____x25">#REF!</definedName>
    <definedName name="____x28">#REF!</definedName>
    <definedName name="____x29">#REF!</definedName>
    <definedName name="____x32">#REF!</definedName>
    <definedName name="____x4">#REF!</definedName>
    <definedName name="____x5">#REF!</definedName>
    <definedName name="____x6">#REF!</definedName>
    <definedName name="____x7">#REF!</definedName>
    <definedName name="____x8">#REF!</definedName>
    <definedName name="____x9">#REF!</definedName>
    <definedName name="___ACR10">#REF!</definedName>
    <definedName name="___ACR15">#REF!</definedName>
    <definedName name="___acr20">#REF!</definedName>
    <definedName name="___acr5">#REF!</definedName>
    <definedName name="___ARQ1">#REF!</definedName>
    <definedName name="___CO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key2">#REF!</definedName>
    <definedName name="___la29">#REF!</definedName>
    <definedName name="___la3">#REF!</definedName>
    <definedName name="___la31">#REF!</definedName>
    <definedName name="___la32">#REF!</definedName>
    <definedName name="___la4">#REF!</definedName>
    <definedName name="___la5">#REF!</definedName>
    <definedName name="___la6">#REF!</definedName>
    <definedName name="___la7">#REF!</definedName>
    <definedName name="___la8">#REF!</definedName>
    <definedName name="___la9">#REF!</definedName>
    <definedName name="___lb1">#REF!</definedName>
    <definedName name="___lb10">#REF!</definedName>
    <definedName name="___lb11">#REF!</definedName>
    <definedName name="___lb12">#REF!</definedName>
    <definedName name="___lb13">#REF!</definedName>
    <definedName name="___lb14">#REF!</definedName>
    <definedName name="___lb15">#REF!</definedName>
    <definedName name="___lb16">#REF!</definedName>
    <definedName name="___lb17">#REF!</definedName>
    <definedName name="___lb18">#REF!</definedName>
    <definedName name="___lb19">#REF!</definedName>
    <definedName name="___lb2">#REF!</definedName>
    <definedName name="___lb20">#REF!</definedName>
    <definedName name="___lb21">#REF!</definedName>
    <definedName name="___lb22">#REF!</definedName>
    <definedName name="___lb23">#REF!</definedName>
    <definedName name="___lb24">#REF!</definedName>
    <definedName name="___lb25">#REF!</definedName>
    <definedName name="___lb27">#REF!</definedName>
    <definedName name="___lb28">#REF!</definedName>
    <definedName name="___lb29">#REF!</definedName>
    <definedName name="___lb3">#REF!</definedName>
    <definedName name="___lb30">#REF!</definedName>
    <definedName name="___lb31">#REF!</definedName>
    <definedName name="___lb32">#REF!</definedName>
    <definedName name="___lb4">#REF!</definedName>
    <definedName name="___lb5">#REF!</definedName>
    <definedName name="___lb6">#REF!</definedName>
    <definedName name="___lb7">#REF!</definedName>
    <definedName name="___lb8">#REF!</definedName>
    <definedName name="___lb9">#REF!</definedName>
    <definedName name="___lbc1">#REF!</definedName>
    <definedName name="___lbc10">#REF!</definedName>
    <definedName name="___lbc11">#REF!</definedName>
    <definedName name="___lbc12">#REF!</definedName>
    <definedName name="___lbc13">#REF!</definedName>
    <definedName name="___lbc14">#REF!</definedName>
    <definedName name="___lbc15">#REF!</definedName>
    <definedName name="___lbc16">#REF!</definedName>
    <definedName name="___lbc17">#REF!</definedName>
    <definedName name="___lbc18">#REF!</definedName>
    <definedName name="___lbc19">#REF!</definedName>
    <definedName name="___lbc2">#REF!</definedName>
    <definedName name="___lbc20">#REF!</definedName>
    <definedName name="___lbc21">#REF!</definedName>
    <definedName name="___lbc22">#REF!</definedName>
    <definedName name="___lbc23">#REF!</definedName>
    <definedName name="___lbc24">#REF!</definedName>
    <definedName name="___lbc25">#REF!</definedName>
    <definedName name="___lbc26">#REF!</definedName>
    <definedName name="___lbc27">#REF!</definedName>
    <definedName name="___lbc28">#REF!</definedName>
    <definedName name="___lbc29">#REF!</definedName>
    <definedName name="___lbc3">#REF!</definedName>
    <definedName name="___lbc31">#REF!</definedName>
    <definedName name="___lbc32">#REF!</definedName>
    <definedName name="___lbc4">#REF!</definedName>
    <definedName name="___lbc5">#REF!</definedName>
    <definedName name="___lbc6">#REF!</definedName>
    <definedName name="___lbc7">#REF!</definedName>
    <definedName name="___lbc8">#REF!</definedName>
    <definedName name="___lbc9">#REF!</definedName>
    <definedName name="___ld26">#REF!</definedName>
    <definedName name="___ld31">#REF!</definedName>
    <definedName name="___le31">#REF!</definedName>
    <definedName name="___lf31">#REF!</definedName>
    <definedName name="___PK2">{"'장비'!$A$3:$M$12"}</definedName>
    <definedName name="___PKG3">{"'장비'!$A$3:$M$12"}</definedName>
    <definedName name="___qqq222">{"'장비'!$A$3:$M$12"}</definedName>
    <definedName name="___QT100">#REF!</definedName>
    <definedName name="___QT2">#REF!</definedName>
    <definedName name="___QT3">#REF!</definedName>
    <definedName name="___QT4">#REF!</definedName>
    <definedName name="___QT50">#REF!</definedName>
    <definedName name="___QT75">#REF!</definedName>
    <definedName name="_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x10">#REF!</definedName>
    <definedName name="___x11">#REF!</definedName>
    <definedName name="___x12">#REF!</definedName>
    <definedName name="___x13">#REF!</definedName>
    <definedName name="___x14">#REF!</definedName>
    <definedName name="___x15">#REF!</definedName>
    <definedName name="___x16">#REF!</definedName>
    <definedName name="___x17">#REF!</definedName>
    <definedName name="___x18">#REF!</definedName>
    <definedName name="___x19">#REF!</definedName>
    <definedName name="___x20">#REF!</definedName>
    <definedName name="___x21">#REF!</definedName>
    <definedName name="___x22">#REF!</definedName>
    <definedName name="___x23">#REF!</definedName>
    <definedName name="___x24">#REF!</definedName>
    <definedName name="___x25">#REF!</definedName>
    <definedName name="___x28">#REF!</definedName>
    <definedName name="___x29">#REF!</definedName>
    <definedName name="___x32">#REF!</definedName>
    <definedName name="___x4">#REF!</definedName>
    <definedName name="___x5">#REF!</definedName>
    <definedName name="___x6">#REF!</definedName>
    <definedName name="___x7">#REF!</definedName>
    <definedName name="___x8">#REF!</definedName>
    <definedName name="___x9">#REF!</definedName>
    <definedName name="__123Graph_A">#REF!</definedName>
    <definedName name="__123Graph_AChart1">#REF!</definedName>
    <definedName name="__123Graph_ACurrent">#REF!</definedName>
    <definedName name="__123Graph_ACUSTO">#REF!</definedName>
    <definedName name="__123Graph_AFAT">#REF!</definedName>
    <definedName name="__123Graph_AGRA1">#REF!</definedName>
    <definedName name="__123Graph_ARES">#REF!</definedName>
    <definedName name="__123Graph_B">#REF!</definedName>
    <definedName name="__123Graph_BChart1">#REF!</definedName>
    <definedName name="__123Graph_BCurrent">#REF!</definedName>
    <definedName name="__123Graph_BCUSTO">#REF!</definedName>
    <definedName name="__123Graph_BFAT">#REF!</definedName>
    <definedName name="__123Graph_BPERFORMANCE">#REF!</definedName>
    <definedName name="__123Graph_BRES">#REF!</definedName>
    <definedName name="__123Graph_C">#REF!</definedName>
    <definedName name="__123Graph_D">#REF!</definedName>
    <definedName name="__123Graph_E">#REF!</definedName>
    <definedName name="__123Graph_F">#REF!</definedName>
    <definedName name="__123Graph_LBL_A">#REF!</definedName>
    <definedName name="__123Graph_LBL_B">#REF!</definedName>
    <definedName name="__123Graph_X">#REF!</definedName>
    <definedName name="__123Graph_XChart1">#REF!</definedName>
    <definedName name="__123Graph_XCurrent">#REF!</definedName>
    <definedName name="__123Graph_XCUSTO">#REF!</definedName>
    <definedName name="__123Graph_XFAT">#REF!</definedName>
    <definedName name="__123Graph_XGRA1">#REF!</definedName>
    <definedName name="__123Graph_XRES">#REF!</definedName>
    <definedName name="__ACR10">#REF!</definedName>
    <definedName name="__ACR15">#REF!</definedName>
    <definedName name="__acr20">#REF!</definedName>
    <definedName name="__acr5">#REF!</definedName>
    <definedName name="__ARQ1">#REF!</definedName>
    <definedName name="__Axe3">#REF!</definedName>
    <definedName name="__Axe4">#REF!</definedName>
    <definedName name="__CO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htm2">#REF!</definedName>
    <definedName name="__htn2">#REF!</definedName>
    <definedName name="__iss2">#REF!</definedName>
    <definedName name="__key2">#REF!</definedName>
    <definedName name="__la29">#REF!</definedName>
    <definedName name="__la3">#REF!</definedName>
    <definedName name="__la31">#REF!</definedName>
    <definedName name="__la32">#REF!</definedName>
    <definedName name="__la4">#REF!</definedName>
    <definedName name="__la5">#REF!</definedName>
    <definedName name="__la6">#REF!</definedName>
    <definedName name="__la7">#REF!</definedName>
    <definedName name="__la8">#REF!</definedName>
    <definedName name="__la9">#REF!</definedName>
    <definedName name="__lb1">#REF!</definedName>
    <definedName name="__lb10">#REF!</definedName>
    <definedName name="__lb11">#REF!</definedName>
    <definedName name="__lb12">#REF!</definedName>
    <definedName name="__lb13">#REF!</definedName>
    <definedName name="__lb14">#REF!</definedName>
    <definedName name="__lb15">#REF!</definedName>
    <definedName name="__lb16">#REF!</definedName>
    <definedName name="__lb17">#REF!</definedName>
    <definedName name="__lb18">#REF!</definedName>
    <definedName name="__lb19">#REF!</definedName>
    <definedName name="__lb2">#REF!</definedName>
    <definedName name="__lb20">#REF!</definedName>
    <definedName name="__lb21">#REF!</definedName>
    <definedName name="__lb22">#REF!</definedName>
    <definedName name="__lb23">#REF!</definedName>
    <definedName name="__lb24">#REF!</definedName>
    <definedName name="__lb25">#REF!</definedName>
    <definedName name="__lb27">#REF!</definedName>
    <definedName name="__lb28">#REF!</definedName>
    <definedName name="__lb29">#REF!</definedName>
    <definedName name="__lb3">#REF!</definedName>
    <definedName name="__lb30">#REF!</definedName>
    <definedName name="__lb31">#REF!</definedName>
    <definedName name="__lb32">#REF!</definedName>
    <definedName name="__lb4">#REF!</definedName>
    <definedName name="__lb5">#REF!</definedName>
    <definedName name="__lb6">#REF!</definedName>
    <definedName name="__lb7">#REF!</definedName>
    <definedName name="__lb8">#REF!</definedName>
    <definedName name="__lb9">#REF!</definedName>
    <definedName name="__lbc1">#REF!</definedName>
    <definedName name="__lbc10">#REF!</definedName>
    <definedName name="__lbc11">#REF!</definedName>
    <definedName name="__lbc12">#REF!</definedName>
    <definedName name="__lbc13">#REF!</definedName>
    <definedName name="__lbc14">#REF!</definedName>
    <definedName name="__lbc15">#REF!</definedName>
    <definedName name="__lbc16">#REF!</definedName>
    <definedName name="__lbc17">#REF!</definedName>
    <definedName name="__lbc18">#REF!</definedName>
    <definedName name="__lbc19">#REF!</definedName>
    <definedName name="__lbc2">#REF!</definedName>
    <definedName name="__lbc20">#REF!</definedName>
    <definedName name="__lbc21">#REF!</definedName>
    <definedName name="__lbc22">#REF!</definedName>
    <definedName name="__lbc23">#REF!</definedName>
    <definedName name="__lbc24">#REF!</definedName>
    <definedName name="__lbc25">#REF!</definedName>
    <definedName name="__lbc26">#REF!</definedName>
    <definedName name="__lbc27">#REF!</definedName>
    <definedName name="__lbc28">#REF!</definedName>
    <definedName name="__lbc29">#REF!</definedName>
    <definedName name="__lbc3">#REF!</definedName>
    <definedName name="__lbc31">#REF!</definedName>
    <definedName name="__lbc32">#REF!</definedName>
    <definedName name="__lbc4">#REF!</definedName>
    <definedName name="__lbc5">#REF!</definedName>
    <definedName name="__lbc6">#REF!</definedName>
    <definedName name="__lbc7">#REF!</definedName>
    <definedName name="__lbc8">#REF!</definedName>
    <definedName name="__lbc9">#REF!</definedName>
    <definedName name="__ld26">#REF!</definedName>
    <definedName name="__ld31">#REF!</definedName>
    <definedName name="__le31">#REF!</definedName>
    <definedName name="__lf31">#REF!</definedName>
    <definedName name="__PK2">{"'장비'!$A$3:$M$12"}</definedName>
    <definedName name="__PKG3">{"'장비'!$A$3:$M$12"}</definedName>
    <definedName name="__qqq222">{"'장비'!$A$3:$M$12"}</definedName>
    <definedName name="__QT100">#REF!</definedName>
    <definedName name="__QT2">#REF!</definedName>
    <definedName name="__QT3">#REF!</definedName>
    <definedName name="__QT4">#REF!</definedName>
    <definedName name="__QT50">#REF!</definedName>
    <definedName name="__QT75">#REF!</definedName>
    <definedName name="_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x10">#REF!</definedName>
    <definedName name="__x11">#REF!</definedName>
    <definedName name="__x12">#REF!</definedName>
    <definedName name="__x13">#REF!</definedName>
    <definedName name="__x14">#REF!</definedName>
    <definedName name="__x15">#REF!</definedName>
    <definedName name="__x16">#REF!</definedName>
    <definedName name="__x17">#REF!</definedName>
    <definedName name="__x18">#REF!</definedName>
    <definedName name="__x19">#REF!</definedName>
    <definedName name="__x20">#REF!</definedName>
    <definedName name="__x21">#REF!</definedName>
    <definedName name="__x22">#REF!</definedName>
    <definedName name="__x23">#REF!</definedName>
    <definedName name="__x24">#REF!</definedName>
    <definedName name="__x25">#REF!</definedName>
    <definedName name="__x28">#REF!</definedName>
    <definedName name="__x29">#REF!</definedName>
    <definedName name="__x32">#REF!</definedName>
    <definedName name="__x4">#REF!</definedName>
    <definedName name="__x5">#REF!</definedName>
    <definedName name="__x6">#REF!</definedName>
    <definedName name="__x7">#REF!</definedName>
    <definedName name="__x8">#REF!</definedName>
    <definedName name="__x9">#REF!</definedName>
    <definedName name="_0.CURVA_OBRA">#REF!</definedName>
    <definedName name="_00.VAR._GASTO">#REF!</definedName>
    <definedName name="_000.CURVA_FINA">#REF!</definedName>
    <definedName name="_1">#REF!</definedName>
    <definedName name="_1__123Graph_ACHART_1">#REF!</definedName>
    <definedName name="_10__123Graph_CCHART_1">#REF!</definedName>
    <definedName name="_11.SERV.TECNIC">#REF!</definedName>
    <definedName name="_11__123Graph_DCHART_1">#REF!</definedName>
    <definedName name="_12.GAST_GERAIS">#REF!</definedName>
    <definedName name="_12__123Graph_XChart_1A">#REF!</definedName>
    <definedName name="_13.P._PERMAN.">#REF!</definedName>
    <definedName name="_15.IMPL._CANT">#REF!</definedName>
    <definedName name="_16.EQUIPAM.">#REF!</definedName>
    <definedName name="_17.OPER._CANT.">#REF!</definedName>
    <definedName name="_19.TRANC_LIMP.">#REF!</definedName>
    <definedName name="_1Dist_Val">#REF!</definedName>
    <definedName name="_2">#REF!</definedName>
    <definedName name="_2__123Graph_BCHART_1">#REF!</definedName>
    <definedName name="_25.PREP.TERREN">#REF!</definedName>
    <definedName name="_27.FUND._ESCOR">#REF!</definedName>
    <definedName name="_2F">#REF!</definedName>
    <definedName name="_3__123Graph_XCHART_1">#REF!</definedName>
    <definedName name="_31_32_33.C_A">#REF!</definedName>
    <definedName name="_41.ALVENARIA">#REF!</definedName>
    <definedName name="_47.IMP._ISOLA.">#REF!</definedName>
    <definedName name="_5__123Graph_ACHART_1">#REF!</definedName>
    <definedName name="_51.REV.ARGAMAS">#REF!</definedName>
    <definedName name="_52.REV.CERAM.I">#REF!</definedName>
    <definedName name="_53.REV.CERAM.E">#REF!</definedName>
    <definedName name="_54.TACOS_E_ASS">#REF!</definedName>
    <definedName name="_55.MARM._E_GRA">#REF!</definedName>
    <definedName name="_56.MARMORITE">#REF!</definedName>
    <definedName name="_59.OUTRS_REVES">#REF!</definedName>
    <definedName name="_6__123Graph_AChart_1A">#REF!</definedName>
    <definedName name="_61.ESQUAD._MAD">#REF!</definedName>
    <definedName name="_63.ESQUAD._ALU">#REF!</definedName>
    <definedName name="_65.ESQUAD._FER">#REF!</definedName>
    <definedName name="_67.VIDROS">#REF!</definedName>
    <definedName name="_7__123Graph_ACHART_2">#REF!</definedName>
    <definedName name="_71_73.I.ELET_H">#REF!</definedName>
    <definedName name="_77.OUTRAS_INST.">#REF!</definedName>
    <definedName name="_78.ELEVADORES">#REF!</definedName>
    <definedName name="_8__123Graph_BChart_1A">#REF!</definedName>
    <definedName name="_81.APAR._SANIT">#REF!</definedName>
    <definedName name="_83_85.PINT_LIM">#REF!</definedName>
    <definedName name="_9__123Graph_BCHART_2">#REF!</definedName>
    <definedName name="_ACR10">#REF!</definedName>
    <definedName name="_ACR15">#REF!</definedName>
    <definedName name="_acr20">#REF!</definedName>
    <definedName name="_acr5">#REF!</definedName>
    <definedName name="_akhnsdkjsdb">#REF!</definedName>
    <definedName name="_AMO_UniqueIdentifier">"'54256040-62ff-475a-9348-dbdfce08df30'"</definedName>
    <definedName name="_ARQ1">#REF!</definedName>
    <definedName name="_AtRisk_SimSetting_AutomaticallyGenerateReports">FALSE</definedName>
    <definedName name="_AtRisk_SimSetting_AutomaticResultsDisplayMode">0</definedName>
    <definedName name="_AtRisk_SimSetting_ConvergenceConfidenceLevel">0.95</definedName>
    <definedName name="_AtRisk_SimSetting_ConvergencePercentileToTest">0.9</definedName>
    <definedName name="_AtRisk_SimSetting_ConvergencePerformMeanTest">TRUE</definedName>
    <definedName name="_AtRisk_SimSetting_ConvergencePerformPercentileTest">FALSE</definedName>
    <definedName name="_AtRisk_SimSetting_ConvergencePerformStdDeviationTest">FALSE</definedName>
    <definedName name="_AtRisk_SimSetting_ConvergenceTestAllOutputs">TRUE</definedName>
    <definedName name="_AtRisk_SimSetting_ConvergenceTestingPeriod">100</definedName>
    <definedName name="_AtRisk_SimSetting_ConvergenceTolerance">0.03</definedName>
    <definedName name="_AtRisk_SimSetting_LiveUpdate">TRUE</definedName>
    <definedName name="_AtRisk_SimSetting_LiveUpdatePeriod">-1</definedName>
    <definedName name="_AtRisk_SimSetting_RandomNumberGenerator">7</definedName>
    <definedName name="_AtRisk_SimSetting_ReportsList">0</definedName>
    <definedName name="_AtRisk_SimSetting_SimNameCount">0</definedName>
    <definedName name="_AtRisk_SimSetting_SmartSensitivityAnalysisEnabled">TRUE</definedName>
    <definedName name="_AtRisk_SimSetting_StatisticFunctionUpdating">1</definedName>
    <definedName name="_AtRisk_SimSetting_StdRecalcBehavior">0</definedName>
    <definedName name="_AtRisk_SimSetting_StdRecalcWithoutRiskStatic">0</definedName>
    <definedName name="_AtRisk_SimSetting_StdRecalcWithoutRiskStaticPercentile">0.5</definedName>
    <definedName name="_Axe3">#REF!</definedName>
    <definedName name="_Axe4">#REF!</definedName>
    <definedName name="_Builtin13">#REF!</definedName>
    <definedName name="_CAB1">#REF!</definedName>
    <definedName name="_CAB2">#REF!</definedName>
    <definedName name="_CO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Dist_Bin">#REF!</definedName>
    <definedName name="_Dist_Values">#REF!</definedName>
    <definedName name="_ECS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Fill">#REF!</definedName>
    <definedName name="_fill1">#REF!</definedName>
    <definedName name="_FiltrarBancoDados2">#REF!</definedName>
    <definedName name="_htm2">#REF!</definedName>
    <definedName name="_htn2">#REF!</definedName>
    <definedName name="_IA0542">{#N/A,#N/A,FALSE,"Plan1";#N/A,#N/A,FALSE,"Plan2"}</definedName>
    <definedName name="_iss2">#REF!</definedName>
    <definedName name="_IV65617">#REF!</definedName>
    <definedName name="_IV65999">#REF!</definedName>
    <definedName name="_IV66000">#REF!</definedName>
    <definedName name="_IV67021">#REF!</definedName>
    <definedName name="_IV67022">#REF!</definedName>
    <definedName name="_Key1">#REF!</definedName>
    <definedName name="_Key2">#REF!</definedName>
    <definedName name="_KEY3">#REF!</definedName>
    <definedName name="_key4">#REF!</definedName>
    <definedName name="_l">#REF!</definedName>
    <definedName name="_la29">#REF!</definedName>
    <definedName name="_la3">#REF!</definedName>
    <definedName name="_la31">#REF!</definedName>
    <definedName name="_la32">#REF!</definedName>
    <definedName name="_la4">#REF!</definedName>
    <definedName name="_la5">#REF!</definedName>
    <definedName name="_la6">#REF!</definedName>
    <definedName name="_la7">#REF!</definedName>
    <definedName name="_la8">#REF!</definedName>
    <definedName name="_la9">#REF!</definedName>
    <definedName name="_lb1">#REF!</definedName>
    <definedName name="_lb10">#REF!</definedName>
    <definedName name="_lb11">#REF!</definedName>
    <definedName name="_lb12">#REF!</definedName>
    <definedName name="_lb13">#REF!</definedName>
    <definedName name="_lb14">#REF!</definedName>
    <definedName name="_lb15">#REF!</definedName>
    <definedName name="_lb16">#REF!</definedName>
    <definedName name="_lb17">#REF!</definedName>
    <definedName name="_lb18">#REF!</definedName>
    <definedName name="_lb19">#REF!</definedName>
    <definedName name="_lb2">#REF!</definedName>
    <definedName name="_lb20">#REF!</definedName>
    <definedName name="_lb21">#REF!</definedName>
    <definedName name="_lb22">#REF!</definedName>
    <definedName name="_lb23">#REF!</definedName>
    <definedName name="_lb24">#REF!</definedName>
    <definedName name="_lb25">#REF!</definedName>
    <definedName name="_lb27">#REF!</definedName>
    <definedName name="_lb28">#REF!</definedName>
    <definedName name="_lb29">#REF!</definedName>
    <definedName name="_lb3">#REF!</definedName>
    <definedName name="_lb30">#REF!</definedName>
    <definedName name="_lb31">#REF!</definedName>
    <definedName name="_lb32">#REF!</definedName>
    <definedName name="_lb4">#REF!</definedName>
    <definedName name="_lb5">#REF!</definedName>
    <definedName name="_lb6">#REF!</definedName>
    <definedName name="_lb7">#REF!</definedName>
    <definedName name="_lb8">#REF!</definedName>
    <definedName name="_lb9">#REF!</definedName>
    <definedName name="_lbc1">#REF!</definedName>
    <definedName name="_lbc10">#REF!</definedName>
    <definedName name="_lbc11">#REF!</definedName>
    <definedName name="_lbc12">#REF!</definedName>
    <definedName name="_lbc13">#REF!</definedName>
    <definedName name="_lbc14">#REF!</definedName>
    <definedName name="_lbc15">#REF!</definedName>
    <definedName name="_lbc16">#REF!</definedName>
    <definedName name="_lbc17">#REF!</definedName>
    <definedName name="_lbc18">#REF!</definedName>
    <definedName name="_lbc19">#REF!</definedName>
    <definedName name="_lbc2">#REF!</definedName>
    <definedName name="_lbc20">#REF!</definedName>
    <definedName name="_lbc21">#REF!</definedName>
    <definedName name="_lbc22">#REF!</definedName>
    <definedName name="_lbc23">#REF!</definedName>
    <definedName name="_lbc24">#REF!</definedName>
    <definedName name="_lbc25">#REF!</definedName>
    <definedName name="_lbc26">#REF!</definedName>
    <definedName name="_lbc27">#REF!</definedName>
    <definedName name="_lbc28">#REF!</definedName>
    <definedName name="_lbc29">#REF!</definedName>
    <definedName name="_lbc3">#REF!</definedName>
    <definedName name="_lbc31">#REF!</definedName>
    <definedName name="_lbc32">#REF!</definedName>
    <definedName name="_lbc4">#REF!</definedName>
    <definedName name="_lbc5">#REF!</definedName>
    <definedName name="_lbc6">#REF!</definedName>
    <definedName name="_lbc7">#REF!</definedName>
    <definedName name="_lbc8">#REF!</definedName>
    <definedName name="_lbc9">#REF!</definedName>
    <definedName name="_ld26">#REF!</definedName>
    <definedName name="_ld31">#REF!</definedName>
    <definedName name="_le31">#REF!</definedName>
    <definedName name="_lf31">#REF!</definedName>
    <definedName name="_MatInverse_In">#REF!</definedName>
    <definedName name="_MatMult_A">#REF!</definedName>
    <definedName name="_MatMult_AxB">#REF!</definedName>
    <definedName name="_MatMult_B">#REF!</definedName>
    <definedName name="_new11">{#N/A,#N/A,FALSE,"Global by BU";#N/A,#N/A,FALSE,"U.S. by BU";#N/A,#N/A,FALSE,"Canada by BU";#N/A,#N/A,FALSE,"Europe by BU";#N/A,#N/A,FALSE,"Asia by BU";#N/A,#N/A,FALSE,"Cala by BU"}</definedName>
    <definedName name="_Order1">0</definedName>
    <definedName name="_Order2">255</definedName>
    <definedName name="_Parse_Out">#REF!</definedName>
    <definedName name="_PAV01">#REF!</definedName>
    <definedName name="_PAV02">#REF!</definedName>
    <definedName name="_PAV03">#REF!</definedName>
    <definedName name="_PAV04">#REF!</definedName>
    <definedName name="_PAV05">#REF!</definedName>
    <definedName name="_PAV06">#REF!</definedName>
    <definedName name="_PAV07">#REF!</definedName>
    <definedName name="_PAV08">#REF!</definedName>
    <definedName name="_PAV09">#REF!</definedName>
    <definedName name="_PAV10">#REF!</definedName>
    <definedName name="_PAV11">#REF!</definedName>
    <definedName name="_PK2">{"'장비'!$A$3:$M$12"}</definedName>
    <definedName name="_PKG3">{"'장비'!$A$3:$M$12"}</definedName>
    <definedName name="_qqq222">{"'장비'!$A$3:$M$12"}</definedName>
    <definedName name="_QT100">#REF!</definedName>
    <definedName name="_QT2">#REF!</definedName>
    <definedName name="_QT3">#REF!</definedName>
    <definedName name="_QT4">#REF!</definedName>
    <definedName name="_QT50">#REF!</definedName>
    <definedName name="_QT75">#REF!</definedName>
    <definedName name="_r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egression_Int">1</definedName>
    <definedName name="_Regression_Out">#REF!</definedName>
    <definedName name="_Regression_X">#REF!</definedName>
    <definedName name="_Regression_Y">#REF!</definedName>
    <definedName name="_sfe5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Sort">#REF!</definedName>
    <definedName name="_T">#REF!</definedName>
    <definedName name="_Table1_In1">#REF!</definedName>
    <definedName name="_Table1_Out">#REF!</definedName>
    <definedName name="_wer3">{#N/A,#N/A,FALSE,"Plan1";#N/A,#N/A,FALSE,"Plan2"}</definedName>
    <definedName name="_wrn.pendencias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x10">#REF!</definedName>
    <definedName name="_x11">#REF!</definedName>
    <definedName name="_x12">#REF!</definedName>
    <definedName name="_x13">#REF!</definedName>
    <definedName name="_x14">#REF!</definedName>
    <definedName name="_x15">#REF!</definedName>
    <definedName name="_x16">#REF!</definedName>
    <definedName name="_x17">#REF!</definedName>
    <definedName name="_x18">#REF!</definedName>
    <definedName name="_x19">#REF!</definedName>
    <definedName name="_x20">#REF!</definedName>
    <definedName name="_x21">#REF!</definedName>
    <definedName name="_x22">#REF!</definedName>
    <definedName name="_x23">#REF!</definedName>
    <definedName name="_x24">#REF!</definedName>
    <definedName name="_x25">#REF!</definedName>
    <definedName name="_x28">#REF!</definedName>
    <definedName name="_x29">#REF!</definedName>
    <definedName name="_x32">#REF!</definedName>
    <definedName name="_x4">#REF!</definedName>
    <definedName name="_x5">#REF!</definedName>
    <definedName name="_x6">#REF!</definedName>
    <definedName name="_x7">#REF!</definedName>
    <definedName name="_x8">#REF!</definedName>
    <definedName name="_x9">#REF!</definedName>
    <definedName name="_xlcn.WorksheetConnection_2018_03ResumoRGOObrasRJ.xlsbTabela1">#REF!</definedName>
    <definedName name="_xlcn.WorksheetConnection_ProjetocontrolefisicoefinanceiroRJ.xlsxTabela31">#REF!</definedName>
    <definedName name="´cAE°eE¹" hidden="1">#REF!</definedName>
    <definedName name="￠￥cAE¡ÆeEⓒo" hidden="1">#REF!</definedName>
    <definedName name="a">#REF!</definedName>
    <definedName name="a\sgt" hidden="1">{#N/A,#N/A,FALSE,"Plan1";#N/A,#N/A,FALSE,"Plan2"}</definedName>
    <definedName name="aa">#REF!</definedName>
    <definedName name="aaa">#REF!</definedName>
    <definedName name="AAAA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dc">#REF!</definedName>
    <definedName name="aaacccc">{#N/A,#N/A,FALSE,"Plan1";#N/A,#N/A,FALSE,"Plan2"}</definedName>
    <definedName name="aaas">#REF!</definedName>
    <definedName name="AB">#REF!</definedName>
    <definedName name="Abat_ISS">#REF!</definedName>
    <definedName name="abc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D">#REF!</definedName>
    <definedName name="abebqt">#REF!</definedName>
    <definedName name="abr17RJ">#REF!</definedName>
    <definedName name="ABRIL">#REF!</definedName>
    <definedName name="ABRIL2001">#REF!</definedName>
    <definedName name="ac">#REF!</definedName>
    <definedName name="Acabam.">#REF!</definedName>
    <definedName name="ACADUC">#REF!</definedName>
    <definedName name="ACBEB">#REF!</definedName>
    <definedName name="ACBOMB">#REF!</definedName>
    <definedName name="AccessDatabase">"C:\posec\DATABASE\vlv_list\vlvlist1.mdb"</definedName>
    <definedName name="ACCHAF">#REF!</definedName>
    <definedName name="ACCLINK.XLS_Localization_Table_List">"$A$1:$B$11"</definedName>
    <definedName name="ACCLINK.XLS_Localization_Table_List1">"$A$13:$B$31"</definedName>
    <definedName name="ACCLINK.XLS_Localization_Table_List10">"$A$13:$B$33"</definedName>
    <definedName name="ACCLINK.XLS_Localization_Table_List11">"$A$13:$B$33"</definedName>
    <definedName name="ACCLINK.XLS_Localization_Table_List12">"$A$13:$B$33"</definedName>
    <definedName name="ACCLINK.XLS_Localization_Table_List13">"$A$13:$B$33"</definedName>
    <definedName name="ACCLINK.XLS_Localization_Table_List14">"$A$13:$B$33"</definedName>
    <definedName name="ACCLINK.XLS_Localization_Table_List15">"$A$13:$B$33"</definedName>
    <definedName name="ACCLINK.XLS_Localization_Table_List16">"$A$13:$B$33"</definedName>
    <definedName name="ACCLINK.XLS_Localization_Table_List17">"$A$13:$B$33"</definedName>
    <definedName name="ACCLINK.XLS_Localization_Table_List18">"$A$13:$B$33"</definedName>
    <definedName name="ACCLINK.XLS_Localization_Table_List19">"$A$13:$B$33"</definedName>
    <definedName name="ACCLINK.XLS_Localization_Table_List2">"$A$13:$B$31"</definedName>
    <definedName name="ACCLINK.XLS_Localization_Table_List3">"$A$13:$B$31"</definedName>
    <definedName name="ACCLINK.XLS_Localization_Table_List4">"$A$13:$B$31"</definedName>
    <definedName name="ACCLINK.XLS_Localization_Table_List5">"$A$13:$B$31"</definedName>
    <definedName name="ACCLINK.XLS_Localization_Table_List6">"$A$13:$B$31"</definedName>
    <definedName name="ACCLINK.XLS_Localization_Table_List7">"$A$13:$B$31"</definedName>
    <definedName name="ACCLINK.XLS_Localization_Table_List8">"$A$13:$B$31"</definedName>
    <definedName name="ACCLINK.XLS_Localization_Table_List9">"$A$13:$B$33"</definedName>
    <definedName name="acdb">#REF!</definedName>
    <definedName name="ACDER">#REF!</definedName>
    <definedName name="ACDIV">#REF!</definedName>
    <definedName name="ACDS">#REF!</definedName>
    <definedName name="ACEQP">#REF!</definedName>
    <definedName name="ACHAFQT">#REF!</definedName>
    <definedName name="achar18">#REF!</definedName>
    <definedName name="achar19">#REF!</definedName>
    <definedName name="achart1">#REF!</definedName>
    <definedName name="achart10">#REF!</definedName>
    <definedName name="achart11">#REF!</definedName>
    <definedName name="achart12">#REF!</definedName>
    <definedName name="achart13">#REF!</definedName>
    <definedName name="achart14">#REF!</definedName>
    <definedName name="achart15">#REF!</definedName>
    <definedName name="achart16">#REF!</definedName>
    <definedName name="achart17">#REF!</definedName>
    <definedName name="achart2">#REF!</definedName>
    <definedName name="achart20">#REF!</definedName>
    <definedName name="achart21">#REF!</definedName>
    <definedName name="achart22">#REF!</definedName>
    <definedName name="achart23">#REF!</definedName>
    <definedName name="achart24">#REF!</definedName>
    <definedName name="achart25">#REF!</definedName>
    <definedName name="achart26">#REF!</definedName>
    <definedName name="achart27">#REF!</definedName>
    <definedName name="achart28">#REF!</definedName>
    <definedName name="achart29">#REF!</definedName>
    <definedName name="achart3">#REF!</definedName>
    <definedName name="achart30">#REF!</definedName>
    <definedName name="achart31">#REF!</definedName>
    <definedName name="achart32">#REF!</definedName>
    <definedName name="achart4">#REF!</definedName>
    <definedName name="achart5">#REF!</definedName>
    <definedName name="achart6">#REF!</definedName>
    <definedName name="achart7">#REF!</definedName>
    <definedName name="achart8">#REF!</definedName>
    <definedName name="achart9">#REF!</definedName>
    <definedName name="ACMUR">#REF!</definedName>
    <definedName name="açoeeer">{#N/A,#N/A,FALSE,"Plan1";#N/A,#N/A,FALSE,"Plan2"}</definedName>
    <definedName name="ACOMP">#REF!</definedName>
    <definedName name="ACONT2">#REF!</definedName>
    <definedName name="ACPIPA">#REF!</definedName>
    <definedName name="ACTRANSP">#REF!</definedName>
    <definedName name="ACwvu.Características.">#REF!</definedName>
    <definedName name="ACwvu.Ciclos.">#REF!</definedName>
    <definedName name="ACwvu.Custos.">#REF!</definedName>
    <definedName name="ACwvu.PLANILHA2.">#REF!</definedName>
    <definedName name="ACwvu.Recursos.">#REF!</definedName>
    <definedName name="ad">{#N/A,#N/A,FALSE,"Plan1";#N/A,#N/A,FALSE,"Plan2"}</definedName>
    <definedName name="adads">{#N/A,#N/A,FALSE,"Plan1";#N/A,#N/A,FALSE,"Plan2"}</definedName>
    <definedName name="adads2">{#N/A,#N/A,FALSE,"Plan1";#N/A,#N/A,FALSE,"Plan2"}</definedName>
    <definedName name="adced">{#N/A,#N/A,FALSE,"Plan1";#N/A,#N/A,FALSE,"Plan2"}</definedName>
    <definedName name="adced2">{#N/A,#N/A,FALSE,"Plan1";#N/A,#N/A,FALSE,"Plan2"}</definedName>
    <definedName name="ader">{#N/A,#N/A,FALSE,"Plan1";#N/A,#N/A,FALSE,"Plan2"}</definedName>
    <definedName name="ader2">{#N/A,#N/A,FALSE,"Plan1";#N/A,#N/A,FALSE,"Plan2"}</definedName>
    <definedName name="adesr">{#N/A,#N/A,FALSE,"Plan1";#N/A,#N/A,FALSE,"Plan2"}</definedName>
    <definedName name="adew">"3ORZTPXRHBU97C8AJ5UM8CAVA"</definedName>
    <definedName name="adewr">{#N/A,#N/A,FALSE,"Plan1";#N/A,#N/A,FALSE,"Plan2"}</definedName>
    <definedName name="adf">{#N/A,#N/A,FALSE,"Plan1";#N/A,#N/A,FALSE,"Plan2"}</definedName>
    <definedName name="ADITIVO_BRUTO">#REF!</definedName>
    <definedName name="ADITIVO_LIQUIDO">#REF!</definedName>
    <definedName name="ADM.EXTERNA">#REF!</definedName>
    <definedName name="adsfr">{#N/A,#N/A,FALSE,"Plan1";#N/A,#N/A,FALSE,"Plan2"}</definedName>
    <definedName name="adssrgtg">{#N/A,#N/A,FALSE,"Plan1";#N/A,#N/A,FALSE,"Plan2"}</definedName>
    <definedName name="adtsetrr6t">{#N/A,#N/A,FALSE,"Plan1";#N/A,#N/A,FALSE,"Plan2"}</definedName>
    <definedName name="ADUCQT">#REF!</definedName>
    <definedName name="adwr">{#N/A,#N/A,FALSE,"Plan1";#N/A,#N/A,FALSE,"Plan2"}</definedName>
    <definedName name="aeiresft">{#N/A,#N/A,FALSE,"Plan1";#N/A,#N/A,FALSE,"Plan2"}</definedName>
    <definedName name="aEL3QE">{#N/A,#N/A,FALSE,"Plan1";#N/A,#N/A,FALSE,"Plan2"}</definedName>
    <definedName name="afeasfre">{#N/A,#N/A,FALSE,"Plan1";#N/A,#N/A,FALSE,"Plan2"}</definedName>
    <definedName name="agdsf">#REF!</definedName>
    <definedName name="ago17RJ">#REF!</definedName>
    <definedName name="AGOSTO">#REF!</definedName>
    <definedName name="agua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>{#N/A,#N/A,FALSE,"CCTV"}</definedName>
    <definedName name="AITEM">#REF!</definedName>
    <definedName name="Ajudante_Geral">#REF!</definedName>
    <definedName name="ajudante_mes">#REF!</definedName>
    <definedName name="AL">#REF!</definedName>
    <definedName name="ALTADUC">#REF!</definedName>
    <definedName name="ALTBOMB">#REF!</definedName>
    <definedName name="ALTCAP">#REF!</definedName>
    <definedName name="ALTDER">#REF!</definedName>
    <definedName name="ALTEQUIP">#REF!</definedName>
    <definedName name="ALTIEQP">#REF!</definedName>
    <definedName name="ALTMUR">#REF!</definedName>
    <definedName name="ALTRES10">#REF!</definedName>
    <definedName name="ALTRES15">#REF!</definedName>
    <definedName name="ALTRES20">#REF!</definedName>
    <definedName name="ALTTRANS">#REF!</definedName>
    <definedName name="ALUMÍNIO_2">#REF!</definedName>
    <definedName name="angelo">#REF!</definedName>
    <definedName name="anscount">3</definedName>
    <definedName name="AQE">{"'장비'!$A$3:$M$12"}</definedName>
    <definedName name="AQTEMP1">#REF!</definedName>
    <definedName name="AQTEMP2">#REF!</definedName>
    <definedName name="ArComprimido">{"'Estimativa de Lançamento-JAN'!$A$1:$AI$85"}</definedName>
    <definedName name="area">{#N/A,#N/A,FALSE,"Plan1";#N/A,#N/A,FALSE,"Plan2"}</definedName>
    <definedName name="área">#REF!</definedName>
    <definedName name="Área_Construída">#REF!</definedName>
    <definedName name="Área_impressão_IM">#REF!</definedName>
    <definedName name="Área_Privativa">#REF!</definedName>
    <definedName name="Área_Terreno">#REF!</definedName>
    <definedName name="area1">#REF!</definedName>
    <definedName name="Areaimpresso">#REF!</definedName>
    <definedName name="ARM">#REF!</definedName>
    <definedName name="ARMABLOCOS">#REF!</definedName>
    <definedName name="ARMAÇÃO">#REF!</definedName>
    <definedName name="ARQ">#REF!</definedName>
    <definedName name="ARQERR">#REF!</definedName>
    <definedName name="ARQPLAN">#REF!</definedName>
    <definedName name="ARQT">#REF!</definedName>
    <definedName name="ARQTEMP">#REF!</definedName>
    <definedName name="ARQTXT">#REF!</definedName>
    <definedName name="ARTEMP">#REF!</definedName>
    <definedName name="AS">#REF!</definedName>
    <definedName name="AS2DocOpenMode">"AS2DocumentBrowse"</definedName>
    <definedName name="asawe3">{#N/A,#N/A,FALSE,"Plan1";#N/A,#N/A,FALSE,"Plan2"}</definedName>
    <definedName name="ASD">17</definedName>
    <definedName name="ASDA">{#N/A,#N/A,FALSE,"Plan1";#N/A,#N/A,FALSE,"Plan2"}</definedName>
    <definedName name="asdade">{#N/A,#N/A,FALSE,"Plan1";#N/A,#N/A,FALSE,"Plan2"}</definedName>
    <definedName name="asdas">{#N/A,#N/A,FALSE,"Plan1";#N/A,#N/A,FALSE,"Plan2"}</definedName>
    <definedName name="asdawed">{#N/A,#N/A,FALSE,"Plan1";#N/A,#N/A,FALSE,"Plan2"}</definedName>
    <definedName name="ASDER">{#N/A,#N/A,FALSE,"Plan1";#N/A,#N/A,FALSE,"Plan2"}</definedName>
    <definedName name="asderr">{#N/A,#N/A,FALSE,"Plan1";#N/A,#N/A,FALSE,"Plan2"}</definedName>
    <definedName name="asdesre">{#N/A,#N/A,FALSE,"Plan1";#N/A,#N/A,FALSE,"Plan2"}</definedName>
    <definedName name="asdewr">{#N/A,#N/A,FALSE,"Plan1";#N/A,#N/A,FALSE,"Plan2"}</definedName>
    <definedName name="ASDFASDFA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>{#N/A,#N/A,FALSE,"Plan1";#N/A,#N/A,FALSE,"Plan2"}</definedName>
    <definedName name="asdg">{#N/A,#N/A,FALSE,"Plan1";#N/A,#N/A,FALSE,"Plan2"}</definedName>
    <definedName name="asdjksej">#REF!</definedName>
    <definedName name="asdke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>{#N/A,#N/A,FALSE,"Plan1";#N/A,#N/A,FALSE,"Plan2"}</definedName>
    <definedName name="asdqwe">{#N/A,#N/A,FALSE,"Plan1";#N/A,#N/A,FALSE,"Plan2"}</definedName>
    <definedName name="asdsa">{#N/A,#N/A,FALSE,"Plan1";#N/A,#N/A,FALSE,"Plan2"}</definedName>
    <definedName name="asdser">{#N/A,#N/A,FALSE,"Plan1";#N/A,#N/A,FALSE,"Plan2"}</definedName>
    <definedName name="asdwef">{#N/A,#N/A,FALSE,"Plan1";#N/A,#N/A,FALSE,"Plan2"}</definedName>
    <definedName name="aseiuw">#REF!</definedName>
    <definedName name="ASET">{#N/A,#N/A,FALSE,"Plan1";#N/A,#N/A,FALSE,"Plan2"}</definedName>
    <definedName name="asfDSF">{#N/A,#N/A,FALSE,"Plan1";#N/A,#N/A,FALSE,"Plan2"}</definedName>
    <definedName name="ASFERTE">{#N/A,#N/A,FALSE,"Plan1";#N/A,#N/A,FALSE,"Plan2"}</definedName>
    <definedName name="asfl">{#N/A,#N/A,FALSE,"Plan1";#N/A,#N/A,FALSE,"Plan2"}</definedName>
    <definedName name="asfsz">{#N/A,#N/A,FALSE,"Plan1";#N/A,#N/A,FALSE,"Plan2"}</definedName>
    <definedName name="askserf">{#N/A,#N/A,FALSE,"Plan1";#N/A,#N/A,FALSE,"Plan2"}</definedName>
    <definedName name="ASSFSDF">{#N/A,#N/A,FALSE,"Plan1";#N/A,#N/A,FALSE,"Plan2"}</definedName>
    <definedName name="asw">{#N/A,#N/A,FALSE,"Plan1";#N/A,#N/A,FALSE,"Plan2"}</definedName>
    <definedName name="Até_Chaves">#REF!</definedName>
    <definedName name="ATIVOS">{#N/A,#N/A,FALSE,"F-01"}</definedName>
    <definedName name="Ato">#REF!</definedName>
    <definedName name="ATUAL">#REF!</definedName>
    <definedName name="aux">#REF!</definedName>
    <definedName name="AUXILIO">#REF!</definedName>
    <definedName name="avulsos">#REF!</definedName>
    <definedName name="awdjw">{#N/A,#N/A,FALSE,"Plan1";#N/A,#N/A,FALSE,"Plan2"}</definedName>
    <definedName name="aweqw4">{#N/A,#N/A,FALSE,"Plan1";#N/A,#N/A,FALSE,"Plan2"}</definedName>
    <definedName name="awssdwaer">{#N/A,#N/A,FALSE,"Plan1";#N/A,#N/A,FALSE,"Plan2"}</definedName>
    <definedName name="AZ">#REF!</definedName>
    <definedName name="B">#REF!</definedName>
    <definedName name="BA">#REF!</definedName>
    <definedName name="balão1">"AutoForma 17"</definedName>
    <definedName name="BANCO">#REF!</definedName>
    <definedName name="Banco_dados_IM">#REF!</definedName>
    <definedName name="_xlnm.Database">#REF!</definedName>
    <definedName name="BANCO1">#REF!</definedName>
    <definedName name="BANCO2">#REF!</definedName>
    <definedName name="BANCO3">#REF!</definedName>
    <definedName name="BANCO4">#REF!</definedName>
    <definedName name="BASE">OFFSET(#REF!,0,0,COUNTA(#REF!)+1,5)</definedName>
    <definedName name="BASE_DE_DADOS_FLUXO_DE_CAIXA">OFFSET(#REF!,0,0,COUNTA(#REF!),COUNTA(#REF!))</definedName>
    <definedName name="BASE_FL_CX_3S">OFFSET(#REF!,0,0,COUNTA(#REF!),COUNTA(#REF!))</definedName>
    <definedName name="BASE_FLUXO_CAIXA_2017">OFFSET(#REF!,0,0,COUNTA(#REF!),COUNTA(#REF!))</definedName>
    <definedName name="bb">#REF!</definedName>
    <definedName name="bbb">#REF!</definedName>
    <definedName name="bbbbbbbbbbbbbbb">{"'Edit'!$A$1:$V$2277"}</definedName>
    <definedName name="bchar10">#REF!</definedName>
    <definedName name="bchart1">#REF!</definedName>
    <definedName name="bchart11">#REF!</definedName>
    <definedName name="bchart12">#REF!</definedName>
    <definedName name="bchart13">#REF!</definedName>
    <definedName name="bchart14">#REF!</definedName>
    <definedName name="bchart15">#REF!</definedName>
    <definedName name="bchart16">#REF!</definedName>
    <definedName name="bchart17">#REF!</definedName>
    <definedName name="bchart18">#REF!</definedName>
    <definedName name="bchart19">#REF!</definedName>
    <definedName name="bchart2">#REF!</definedName>
    <definedName name="bchart20">#REF!</definedName>
    <definedName name="bchart21">#REF!</definedName>
    <definedName name="bchart22">#REF!</definedName>
    <definedName name="bchart23">#REF!</definedName>
    <definedName name="bchart24">#REF!</definedName>
    <definedName name="bchart25">#REF!</definedName>
    <definedName name="bchart26">#REF!</definedName>
    <definedName name="bchart27">#REF!</definedName>
    <definedName name="bchart28">#REF!</definedName>
    <definedName name="bchart29">#REF!</definedName>
    <definedName name="bchart3">#REF!</definedName>
    <definedName name="bchart30">#REF!</definedName>
    <definedName name="bchart31">#REF!</definedName>
    <definedName name="bchart32">#REF!</definedName>
    <definedName name="bchart4">#REF!</definedName>
    <definedName name="bchart5">#REF!</definedName>
    <definedName name="bchart6">#REF!</definedName>
    <definedName name="bchart7">#REF!</definedName>
    <definedName name="bchart8">#REF!</definedName>
    <definedName name="bchart9">#REF!</definedName>
    <definedName name="BD">#REF!</definedName>
    <definedName name="BDA">#REF!</definedName>
    <definedName name="bdfjghf">{#N/A,#N/A,FALSE,"Plan1";#N/A,#N/A,FALSE,"Plan2"}</definedName>
    <definedName name="BDI">#REF!</definedName>
    <definedName name="bdzbfbdr">{#N/A,#N/A,FALSE,"Plan1";#N/A,#N/A,FALSE,"Plan2"}</definedName>
    <definedName name="be">#REF!</definedName>
    <definedName name="bebqt">#REF!</definedName>
    <definedName name="bela_cdi">#REF!</definedName>
    <definedName name="bela_hist">#REF!</definedName>
    <definedName name="bela_uss">#REF!</definedName>
    <definedName name="bg">#REF!</definedName>
    <definedName name="BGG">{#N/A,#N/A,FALSE,"Plan1";#N/A,#N/A,FALSE,"Plan2"}</definedName>
    <definedName name="bhjgfhfh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>{#N/A,#N/A,FALSE,"Plan1";#N/A,#N/A,FALSE,"Plan2"}</definedName>
    <definedName name="bloco">#REF!</definedName>
    <definedName name="BLPH1">#REF!</definedName>
    <definedName name="BLPH100">#REF!</definedName>
    <definedName name="BLPH101">#REF!</definedName>
    <definedName name="BLPH102">#REF!</definedName>
    <definedName name="BLPH103">#REF!</definedName>
    <definedName name="BLPH104">#REF!</definedName>
    <definedName name="BLPH107">#REF!</definedName>
    <definedName name="BLPH2">#REF!</definedName>
    <definedName name="BLPH3">#REF!</definedName>
    <definedName name="BLPH4">#REF!</definedName>
    <definedName name="BLPH5">#REF!</definedName>
    <definedName name="BLPH6">#REF!</definedName>
    <definedName name="BLPH7">#REF!</definedName>
    <definedName name="BLPH8">#REF!</definedName>
    <definedName name="BLPH96">#REF!</definedName>
    <definedName name="BLPH97">#REF!</definedName>
    <definedName name="BLPH98">#REF!</definedName>
    <definedName name="BLPH99">#REF!</definedName>
    <definedName name="bmdgghrtfde">{#N/A,#N/A,FALSE,"Plan1";#N/A,#N/A,FALSE,"Plan2"}</definedName>
    <definedName name="bnkjhjhdfxgt">{#N/A,#N/A,FALSE,"Plan1";#N/A,#N/A,FALSE,"Plan2"}</definedName>
    <definedName name="BORBA2">#REF!</definedName>
    <definedName name="BORDA1">#REF!</definedName>
    <definedName name="BuiltIn_Print_Area">#REF!</definedName>
    <definedName name="BuiltIn_Print_Area___0">#REF!</definedName>
    <definedName name="BuiltIn_Print_Titles">#REF!</definedName>
    <definedName name="BuiltIn_Print_Titles___0">#REF!</definedName>
    <definedName name="BV">#REF!</definedName>
    <definedName name="bxnzfmkzxbhdf">{#N/A,#N/A,FALSE,"Plan1";#N/A,#N/A,FALSE,"Plan2"}</definedName>
    <definedName name="ca">#REF!</definedName>
    <definedName name="CAB">#REF!</definedName>
    <definedName name="CAFS">"Carlos Antonio Fernandes da Silva"</definedName>
    <definedName name="CAGR">#REF!</definedName>
    <definedName name="caixa">#REF!</definedName>
    <definedName name="caixas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ambio">#REF!</definedName>
    <definedName name="CAMP">#REF!</definedName>
    <definedName name="CAMPOS">#REF!</definedName>
    <definedName name="çaos\ewapo" hidden="1">{#N/A,#N/A,FALSE,"Plan1";#N/A,#N/A,FALSE,"Plan2"}</definedName>
    <definedName name="Capa">#REF!</definedName>
    <definedName name="CAPA2">#REF!</definedName>
    <definedName name="CAPA55">#REF!</definedName>
    <definedName name="CAPA55A">#REF!</definedName>
    <definedName name="CAPELA">#REF!</definedName>
    <definedName name="CARLA">#REF!</definedName>
    <definedName name="CARLOS1">#REF!</definedName>
    <definedName name="CARTÃO4">#REF!</definedName>
    <definedName name="CAT6_IP">{#N/A,#N/A,FALSE,"F-01"}</definedName>
    <definedName name="categori45">#REF!</definedName>
    <definedName name="CATEGORIA1">#REF!</definedName>
    <definedName name="CATEGORIA10">#REF!</definedName>
    <definedName name="CATEGORIA11">#REF!</definedName>
    <definedName name="CATEGORIA12">#REF!</definedName>
    <definedName name="CATEGORIA13">#REF!</definedName>
    <definedName name="CATEGORIA14">#REF!</definedName>
    <definedName name="CATEGORIA15">#REF!</definedName>
    <definedName name="CATEGORIA16">#REF!</definedName>
    <definedName name="CATEGORIA17">#REF!</definedName>
    <definedName name="CATEGORIA18">#REF!</definedName>
    <definedName name="CATEGORIA19">#REF!</definedName>
    <definedName name="CATEGORIA2">#REF!</definedName>
    <definedName name="CATEGORIA20">#REF!</definedName>
    <definedName name="CATEGORIA21">#REF!</definedName>
    <definedName name="CATEGORIA22">#REF!</definedName>
    <definedName name="CATEGORIA3">#REF!</definedName>
    <definedName name="CATEGORIA4">#REF!</definedName>
    <definedName name="CATEGORIA5">#REF!</definedName>
    <definedName name="CATEGORIA6">#REF!</definedName>
    <definedName name="CATEGORIA7">#REF!</definedName>
    <definedName name="CATEGORIA8">#REF!</definedName>
    <definedName name="CATEGORIA9">#REF!</definedName>
    <definedName name="CATORZE">#REF!</definedName>
    <definedName name="CAUX2">OFFSET(#REF!,0,0,COUNTA(#REF!)+1,1)</definedName>
    <definedName name="CAUX3">OFFSET(#REF!,0,0,COUNTA(#REF!)+1,1)</definedName>
    <definedName name="CCC">#REF!</definedName>
    <definedName name="ççç">{#N/A,#N/A,FALSE,"Plan1";#N/A,#N/A,FALSE,"Plan2"}</definedName>
    <definedName name="cccc">{#N/A,#N/A,FALSE,"Plan1";#N/A,#N/A,FALSE,"Plan2"}</definedName>
    <definedName name="ççççççç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>{"HW",#N/A,FALSE,"1998"}</definedName>
    <definedName name="cchart1">#REF!</definedName>
    <definedName name="cchart10">#REF!</definedName>
    <definedName name="cchart11">#REF!</definedName>
    <definedName name="cchart12">#REF!</definedName>
    <definedName name="cchart13">#REF!</definedName>
    <definedName name="cchart14">#REF!</definedName>
    <definedName name="cchart15">#REF!</definedName>
    <definedName name="cchart16">#REF!</definedName>
    <definedName name="cchart17">#REF!</definedName>
    <definedName name="cchart18">#REF!</definedName>
    <definedName name="cchart19">#REF!</definedName>
    <definedName name="cchart2">#REF!</definedName>
    <definedName name="cchart20">#REF!</definedName>
    <definedName name="cchart21">#REF!</definedName>
    <definedName name="cchart22">#REF!</definedName>
    <definedName name="cchart23">#REF!</definedName>
    <definedName name="cchart24">#REF!</definedName>
    <definedName name="cchart25">#REF!</definedName>
    <definedName name="cchart26">#REF!</definedName>
    <definedName name="cchart27">#REF!</definedName>
    <definedName name="cchart28">#REF!</definedName>
    <definedName name="cchart29">#REF!</definedName>
    <definedName name="cchart3">#REF!</definedName>
    <definedName name="cchart31">#REF!</definedName>
    <definedName name="cchart32">#REF!</definedName>
    <definedName name="cchart4">#REF!</definedName>
    <definedName name="cchart5">#REF!</definedName>
    <definedName name="cchart6">#REF!</definedName>
    <definedName name="cchart7">#REF!</definedName>
    <definedName name="cchart8">#REF!</definedName>
    <definedName name="cchart9">#REF!</definedName>
    <definedName name="çcklfjk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D">#REF!</definedName>
    <definedName name="çdfmerf">{#N/A,#N/A,FALSE,"Plan1";#N/A,#N/A,FALSE,"Plan2"}</definedName>
    <definedName name="CDSGHE">{#N/A,#N/A,FALSE,"Plan1";#N/A,#N/A,FALSE,"Plan2"}</definedName>
    <definedName name="cdvthd">#REF!</definedName>
    <definedName name="Cel_Constr">#REF!</definedName>
    <definedName name="CestaExcel">#REF!</definedName>
    <definedName name="CevaG">#REF!</definedName>
    <definedName name="CevaGS">#REF!</definedName>
    <definedName name="çfhjglkjhkljyh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>{#N/A,#N/A,FALSE,"Plan1";#N/A,#N/A,FALSE,"Plan2"}</definedName>
    <definedName name="CHAFQT">#REF!</definedName>
    <definedName name="Chaves">#REF!</definedName>
    <definedName name="chfch">{#N/A,#N/A,FALSE,"Plan1";#N/A,#N/A,FALSE,"Plan2"}</definedName>
    <definedName name="CI">#REF!</definedName>
    <definedName name="cidades">#REF!</definedName>
    <definedName name="CIFIXA">#REF!</definedName>
    <definedName name="CINCO">#REF!</definedName>
    <definedName name="CITOTAL">#REF!</definedName>
    <definedName name="CIVAR">#REF!</definedName>
    <definedName name="ÇJKRÇLFS">{"Econ Consolidado",#N/A,FALSE,"Econ Consol";"Fluxo de Caixa",#N/A,FALSE,"Fluxo Caixa";"Investimentos",#N/A,FALSE,"Investimentos"}</definedName>
    <definedName name="ÇJsrejtçe">{#N/A,#N/A,FALSE,"Plan1";#N/A,#N/A,FALSE,"Plan2"}</definedName>
    <definedName name="çkaçekow">{#N/A,#N/A,FALSE,"Plan1";#N/A,#N/A,FALSE,"Plan2"}</definedName>
    <definedName name="ÇKSDOEKR">{#N/A,#N/A,FALSE,"Plan1";#N/A,#N/A,FALSE,"Plan2"}</definedName>
    <definedName name="çl">{#N/A,#N/A,FALSE,"Plan1";#N/A,#N/A,FALSE,"Plan2"}</definedName>
    <definedName name="çlassde">{#N/A,#N/A,FALSE,"Plan1";#N/A,#N/A,FALSE,"Plan2"}</definedName>
    <definedName name="Classificação">#REF!</definedName>
    <definedName name="çlçlç">{#N/A,#N/A,FALSE,"Plan1";#N/A,#N/A,FALSE,"Plan2"}</definedName>
    <definedName name="çld">{#N/A,#N/A,FALSE,"Plan1";#N/A,#N/A,FALSE,"Plan2"}</definedName>
    <definedName name="çlererr">{#N/A,#N/A,FALSE,"Plan1";#N/A,#N/A,FALSE,"Plan2"}</definedName>
    <definedName name="çlertert">{#N/A,#N/A,FALSE,"Plan1";#N/A,#N/A,FALSE,"Plan2"}</definedName>
    <definedName name="çlkdflçkrlr">#REF!</definedName>
    <definedName name="çll">{#N/A,#N/A,FALSE,"Plan1";#N/A,#N/A,FALSE,"Plan2"}</definedName>
    <definedName name="CMC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BRANÇA">#REF!</definedName>
    <definedName name="Cod_Esquadrias">#REF!</definedName>
    <definedName name="CÓDG">OFFSET(#REF!,0,0,COUNTA(#REF!),1)</definedName>
    <definedName name="codigo2">#REF!</definedName>
    <definedName name="codigo3">#REF!</definedName>
    <definedName name="CÓDT">OFFSET(#REF!,0,0,COUNTA(#REF!)+1,1)</definedName>
    <definedName name="COFINS">#REF!</definedName>
    <definedName name="cofins2">#REF!</definedName>
    <definedName name="COGS">#REF!</definedName>
    <definedName name="COLSUB">#REF!</definedName>
    <definedName name="COMISSOES">#REF!</definedName>
    <definedName name="COMPOSICAO">#REF!</definedName>
    <definedName name="composição">#REF!</definedName>
    <definedName name="COMPR">#REF!</definedName>
    <definedName name="COMPRIMENTO">#REF!</definedName>
    <definedName name="COMPROMETIDO">#REF!</definedName>
    <definedName name="CONFIRMAR">{#N/A,#N/A,TRUE,"Quinzena 01 à 15-04-98 "}</definedName>
    <definedName name="cont">{#N/A,#N/A,FALSE,"Plan1";#N/A,#N/A,FALSE,"Plan2"}</definedName>
    <definedName name="CONT1">#REF!</definedName>
    <definedName name="CONT2">#REF!</definedName>
    <definedName name="CONT3">#REF!</definedName>
    <definedName name="CONTAIT">#REF!</definedName>
    <definedName name="CONTREC">#REF!</definedName>
    <definedName name="CONTRES">#REF!</definedName>
    <definedName name="CONTROLE">#REF!</definedName>
    <definedName name="Controle_Tecnologico">{#N/A,#N/A,FALSE,"Plan1";#N/A,#N/A,FALSE,"Plan2"}</definedName>
    <definedName name="Controle_tecnologico1">#REF!</definedName>
    <definedName name="CONVERSÃO">#REF!</definedName>
    <definedName name="cpmf">#REF!</definedName>
    <definedName name="Credor_Rel_Sienge">#REF!</definedName>
    <definedName name="_xlnm.Criteria">#REF!</definedName>
    <definedName name="CRONG">#REF!</definedName>
    <definedName name="cronograma">#REF!</definedName>
    <definedName name="CRONOGRAMA_FÍSICO_FINANCEIRO">#REF!</definedName>
    <definedName name="CS">#REF!</definedName>
    <definedName name="cs_diferida">#REF!</definedName>
    <definedName name="ÇSAÇDFW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dkfçdrkt">#REF!</definedName>
    <definedName name="CS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>{#N/A,#N/A,FALSE,"Plan1";#N/A,#N/A,FALSE,"Plan2"}</definedName>
    <definedName name="CTH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UST_DIR_IND">#REF!</definedName>
    <definedName name="CUSTINDIRETO">#REF!</definedName>
    <definedName name="CUSTO_DIR_IND">#REF!</definedName>
    <definedName name="Custo_Direto_de_Obras_Civis_e_Instalações_...........................................">#REF!</definedName>
    <definedName name="Custo_Direto_em_geral">#REF!</definedName>
    <definedName name="custo_financing">#REF!</definedName>
    <definedName name="CUSTO_OUTROS">#REF!</definedName>
    <definedName name="Custo_Outros1">#REF!</definedName>
    <definedName name="CUSTODIRETO">#REF!</definedName>
    <definedName name="CUSTODIRETO_R">#REF!</definedName>
    <definedName name="CUSTODIRETO_U">#REF!</definedName>
    <definedName name="CUSTODIRETO1">#REF!</definedName>
    <definedName name="CUSTOFIN">#REF!</definedName>
    <definedName name="D">#REF!</definedName>
    <definedName name="da">#REF!</definedName>
    <definedName name="dalmo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>{#N/A,#N/A,FALSE,"Plan1";#N/A,#N/A,FALSE,"Plan2"}</definedName>
    <definedName name="DATA">#REF!</definedName>
    <definedName name="Data_base">#REF!</definedName>
    <definedName name="data_base_VL">#REF!</definedName>
    <definedName name="DATA_COTAÇÃO">#REF!</definedName>
    <definedName name="DATA_ENTREGA">#REF!</definedName>
    <definedName name="DATA_FECHA">#REF!</definedName>
    <definedName name="Data_Inicio">#REF!</definedName>
    <definedName name="Data_Lançado_Sienge">#REF!</definedName>
    <definedName name="Data_Pagamento_Sienge">#REF!</definedName>
    <definedName name="Data_Previsão_Medição_Fin_Medição">#REF!</definedName>
    <definedName name="Data_Tendência_Recebimento_Fin_Medições">#REF!</definedName>
    <definedName name="DATA1">#REF!</definedName>
    <definedName name="DATA3">#REF!</definedName>
    <definedName name="DATA4">#REF!</definedName>
    <definedName name="DATA6">#REF!</definedName>
    <definedName name="Database">#REF!</definedName>
    <definedName name="DataChaves_MAP">#REF!</definedName>
    <definedName name="DatasOut13AteDez20">#REF!</definedName>
    <definedName name="DÇDL">{#N/A,#N/A,FALSE,"Plan1";#N/A,#N/A,FALSE,"Plan2"}</definedName>
    <definedName name="dchart26">#REF!</definedName>
    <definedName name="dchart31">#REF!</definedName>
    <definedName name="dcnsfgdjkgb">{#N/A,#N/A,FALSE,"Plan1";#N/A,#N/A,FALSE,"Plan2"}</definedName>
    <definedName name="DÇWK">{#N/A,#N/A,FALSE,"Plan1";#N/A,#N/A,FALSE,"Plan2"}</definedName>
    <definedName name="DD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>#REF!</definedName>
    <definedName name="ddddd">{#N/A,#N/A,FALSE,"Plan1";#N/A,#N/A,FALSE,"Plan2"}</definedName>
    <definedName name="ddddddddddd">#REF!</definedName>
    <definedName name="dddddddddddddddddddddddddd">#REF!</definedName>
    <definedName name="dddddddddddddppppppppp">#REF!</definedName>
    <definedName name="dde">{#N/A,#N/A,FALSE,"Plan1";#N/A,#N/A,FALSE,"Plan2"}</definedName>
    <definedName name="ddfs">#REF!</definedName>
    <definedName name="ddgfdvgd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>{#N/A,#N/A,FALSE,"Plan1";#N/A,#N/A,FALSE,"Plan2"}</definedName>
    <definedName name="dede">{#N/A,#N/A,FALSE,"Plan1";#N/A,#N/A,FALSE,"Plan2"}</definedName>
    <definedName name="defasagem">OFFSET(INDEX(#REF!,MATCH(#REF!,#REF!,0)),1,0,COUNTA(#REF!)-1)</definedName>
    <definedName name="depara">#REF!</definedName>
    <definedName name="DERIVQT">#REF!</definedName>
    <definedName name="des">{#N/A,#N/A,FALSE,"Plan1";#N/A,#N/A,FALSE,"Plan2"}</definedName>
    <definedName name="desc">{#N/A,#N/A,FALSE,"Plan1";#N/A,#N/A,FALSE,"Plan2"}</definedName>
    <definedName name="DESCONTO">#REF!</definedName>
    <definedName name="DESCRIÇÃO_OBRA">#REF!</definedName>
    <definedName name="DespFatur">#REF!</definedName>
    <definedName name="DEZ">#REF!</definedName>
    <definedName name="dez17RJ">#REF!</definedName>
    <definedName name="DEZEMBRO">#REF!</definedName>
    <definedName name="DEZENOVE">#REF!</definedName>
    <definedName name="DEZESSEIS">#REF!</definedName>
    <definedName name="DEZESSETE">#REF!</definedName>
    <definedName name="DEZOITO">#REF!</definedName>
    <definedName name="d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>{#N/A,#N/A,FALSE,"명세표"}</definedName>
    <definedName name="dfdfty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>{#N/A,#N/A,FALSE,"Plan1";#N/A,#N/A,FALSE,"Plan2"}</definedName>
    <definedName name="dfdrtrr">{#N/A,#N/A,FALSE,"Plan1";#N/A,#N/A,FALSE,"Plan2"}</definedName>
    <definedName name="DFDSG">{#N/A,#N/A,FALSE,"Plan1";#N/A,#N/A,FALSE,"Plan2"}</definedName>
    <definedName name="dfer">{#N/A,#N/A,FALSE,"Plan1";#N/A,#N/A,FALSE,"Plan2"}</definedName>
    <definedName name="dffbty">{#N/A,#N/A,FALSE,"Plan1";#N/A,#N/A,FALSE,"Plan2"}</definedName>
    <definedName name="dffgk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>{#N/A,#N/A,FALSE,"Plan1";#N/A,#N/A,FALSE,"Plan2"}</definedName>
    <definedName name="dfg">{#N/A,#N/A,FALSE,"Plan1";#N/A,#N/A,FALSE,"Plan2"}</definedName>
    <definedName name="dfgdf">{#N/A,#N/A,FALSE,"Plan1";#N/A,#N/A,FALSE,"Plan2"}</definedName>
    <definedName name="dfgdytygr">{#N/A,#N/A,FALSE,"Plan1";#N/A,#N/A,FALSE,"Plan2"}</definedName>
    <definedName name="dfgftrrdt5">{#N/A,#N/A,FALSE,"Plan1";#N/A,#N/A,FALSE,"Plan2"}</definedName>
    <definedName name="dfgh">#REF!</definedName>
    <definedName name="dfghjfhsg">{#N/A,#N/A,FALSE,"Plan1";#N/A,#N/A,FALSE,"Plan2"}</definedName>
    <definedName name="dfgj">{#N/A,#N/A,FALSE,"Plan1";#N/A,#N/A,FALSE,"Plan2"}</definedName>
    <definedName name="dfgjfttyd">{#N/A,#N/A,FALSE,"Plan1";#N/A,#N/A,FALSE,"Plan2"}</definedName>
    <definedName name="dfgjjtdrtg">{#N/A,#N/A,FALSE,"Plan1";#N/A,#N/A,FALSE,"Plan2"}</definedName>
    <definedName name="dfgt">{#N/A,#N/A,FALSE,"Plan1";#N/A,#N/A,FALSE,"Plan2"}</definedName>
    <definedName name="dfgtrkjhk">{#N/A,#N/A,FALSE,"Plan1";#N/A,#N/A,FALSE,"Plan2"}</definedName>
    <definedName name="dfgty">{#N/A,#N/A,FALSE,"Plan1";#N/A,#N/A,FALSE,"Plan2"}</definedName>
    <definedName name="dfhdgfdgf">{#N/A,#N/A,FALSE,"Plan1";#N/A,#N/A,FALSE,"Plan2"}</definedName>
    <definedName name="DFHDJGJFHJGF">{#N/A,#N/A,FALSE,"Plan1";#N/A,#N/A,FALSE,"Plan2"}</definedName>
    <definedName name="dfhdyg">{#N/A,#N/A,FALSE,"Plan1";#N/A,#N/A,FALSE,"Plan2"}</definedName>
    <definedName name="DFHGDHUR">{#N/A,#N/A,FALSE,"Plan1";#N/A,#N/A,FALSE,"Plan2"}</definedName>
    <definedName name="dfhgjfgdhfjdrf">{#N/A,#N/A,FALSE,"Plan1";#N/A,#N/A,FALSE,"Plan2"}</definedName>
    <definedName name="dfhgkhfut">{#N/A,#N/A,FALSE,"Plan1";#N/A,#N/A,FALSE,"Plan2"}</definedName>
    <definedName name="dfhgkjdhkjghjd">#REF!</definedName>
    <definedName name="dfhguitrhfg">{#N/A,#N/A,FALSE,"Plan1";#N/A,#N/A,FALSE,"Plan2"}</definedName>
    <definedName name="DFHKHDGKJHDKS">{#N/A,#N/A,FALSE,"Plan1";#N/A,#N/A,FALSE,"Plan2"}</definedName>
    <definedName name="dfijvnqienvvnjv">#REF!</definedName>
    <definedName name="dfjgjfhykj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>{#N/A,#N/A,FALSE,"Plan1";#N/A,#N/A,FALSE,"Plan2"}</definedName>
    <definedName name="dfkhgfg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>{#N/A,#N/A,FALSE,"Plan1";#N/A,#N/A,FALSE,"Plan2"}</definedName>
    <definedName name="dfnert">{#N/A,#N/A,FALSE,"Plan1";#N/A,#N/A,FALSE,"Plan2"}</definedName>
    <definedName name="dfrt">{#N/A,#N/A,FALSE,"Plan1";#N/A,#N/A,FALSE,"Plan2"}</definedName>
    <definedName name="dfsdr5tt">{#N/A,#N/A,FALSE,"Plan1";#N/A,#N/A,FALSE,"Plan2"}</definedName>
    <definedName name="dfsds">#REF!</definedName>
    <definedName name="dfsd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>{#N/A,#N/A,FALSE,"Plan1";#N/A,#N/A,FALSE,"Plan2"}</definedName>
    <definedName name="dfsf">{#N/A,#N/A,FALSE,"Plan1";#N/A,#N/A,FALSE,"Plan2"}</definedName>
    <definedName name="DFT">{#N/A,#N/A,FALSE,"Plan1";#N/A,#N/A,FALSE,"Plan2"}</definedName>
    <definedName name="DFTRTTY">{#N/A,#N/A,FALSE,"Plan1";#N/A,#N/A,FALSE,"Plan2"}</definedName>
    <definedName name="dfurghifdjyhits">{#N/A,#N/A,FALSE,"Plan1";#N/A,#N/A,FALSE,"Plan2"}</definedName>
    <definedName name="dfxgdrged">{#N/A,#N/A,FALSE,"Plan1";#N/A,#N/A,FALSE,"Plan2"}</definedName>
    <definedName name="dgfrtyt">{#N/A,#N/A,FALSE,"Plan1";#N/A,#N/A,FALSE,"Plan2"}</definedName>
    <definedName name="dggfdg">{#N/A,#N/A,FALSE,"Plan1";#N/A,#N/A,FALSE,"Plan2"}</definedName>
    <definedName name="dgldfhgkljslh">{#N/A,#N/A,FALSE,"Plan1";#N/A,#N/A,FALSE,"Plan2"}</definedName>
    <definedName name="dhfgdhrehrwe">{#N/A,#N/A,FALSE,"Plan1";#N/A,#N/A,FALSE,"Plan2"}</definedName>
    <definedName name="dhgfdgrfgdfgd">{#N/A,#N/A,FALSE,"Plan1";#N/A,#N/A,FALSE,"Plan2"}</definedName>
    <definedName name="dhkjfhdhfjdh">{#N/A,#N/A,FALSE,"Plan1";#N/A,#N/A,FALSE,"Plan2"}</definedName>
    <definedName name="DHTJRT">{#N/A,#N/A,FALSE,"Plan1";#N/A,#N/A,FALSE,"Plan2"}</definedName>
    <definedName name="DI">#REF!</definedName>
    <definedName name="dia3estac">#REF!</definedName>
    <definedName name="diaestaca">#REF!</definedName>
    <definedName name="diambase">#REF!</definedName>
    <definedName name="DIFQT">#REF!</definedName>
    <definedName name="dijghdhks">{#N/A,#N/A,FALSE,"Plan1";#N/A,#N/A,FALSE,"Plan2"}</definedName>
    <definedName name="DIMENSÕES">#REF!</definedName>
    <definedName name="DIR_OPER">#REF!</definedName>
    <definedName name="DIR_TECNICO">#REF!</definedName>
    <definedName name="direto">#REF!</definedName>
    <definedName name="DIRETORIA">#REF!</definedName>
    <definedName name="diretorias">#REF!</definedName>
    <definedName name="Discrim">#REF!</definedName>
    <definedName name="DISCRIMINAÇÃO">#REF!</definedName>
    <definedName name="Discriminação_Controladoria">#REF!</definedName>
    <definedName name="DistCidade">#REF!</definedName>
    <definedName name="distratos">#REF!</definedName>
    <definedName name="div">#REF!</definedName>
    <definedName name="djasdrjas">{#N/A,#N/A,FALSE,"Plan1";#N/A,#N/A,FALSE,"Plan2"}</definedName>
    <definedName name="dj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>{#N/A,#N/A,FALSE,"Plan1";#N/A,#N/A,FALSE,"Plan2"}</definedName>
    <definedName name="djfkhsdkjhf">{#N/A,#N/A,FALSE,"Plan1";#N/A,#N/A,FALSE,"Plan2"}</definedName>
    <definedName name="djfldjsgljslkjtg">{#N/A,#N/A,FALSE,"Plan1";#N/A,#N/A,FALSE,"Plan2"}</definedName>
    <definedName name="djflkdjgdth">{#N/A,#N/A,FALSE,"Plan1";#N/A,#N/A,FALSE,"Plan2"}</definedName>
    <definedName name="DJFLKDJGKTJYJT">{#N/A,#N/A,FALSE,"Plan1";#N/A,#N/A,FALSE,"Plan2"}</definedName>
    <definedName name="djgkfjgtiyty">{#N/A,#N/A,FALSE,"Plan1";#N/A,#N/A,FALSE,"Plan2"}</definedName>
    <definedName name="djrkehrjfhng">{#N/A,#N/A,FALSE,"Plan1";#N/A,#N/A,FALSE,"Plan2"}</definedName>
    <definedName name="djswfr">#REF!</definedName>
    <definedName name="djtkjldfr">{#N/A,#N/A,FALSE,"Plan1";#N/A,#N/A,FALSE,"Plan2"}</definedName>
    <definedName name="DJXDLFGDFG">{#N/A,#N/A,FALSE,"Plan1";#N/A,#N/A,FALSE,"Plan2"}</definedName>
    <definedName name="dkdkdkdkd">{#N/A,#N/A,FALSE,"명세표"}</definedName>
    <definedName name="dkfhskgf">{#N/A,#N/A,FALSE,"Plan1";#N/A,#N/A,FALSE,"Plan2"}</definedName>
    <definedName name="dkjfk">{#N/A,#N/A,FALSE,"Plan1";#N/A,#N/A,FALSE,"Plan2"}</definedName>
    <definedName name="DKLD">{#N/A,#N/A,FALSE,"Plan1";#N/A,#N/A,FALSE,"Plan2"}</definedName>
    <definedName name="DKLFJDKFD">{#N/A,#N/A,FALSE,"Plan1";#N/A,#N/A,FALSE,"Plan2"}</definedName>
    <definedName name="dklfjgirtgid">{#N/A,#N/A,FALSE,"Plan1";#N/A,#N/A,FALSE,"Plan2"}</definedName>
    <definedName name="dklfm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>{#N/A,#N/A,FALSE,"Plan1";#N/A,#N/A,FALSE,"Plan2"}</definedName>
    <definedName name="DNFJKDHTKRE">{#N/A,#N/A,FALSE,"Plan1";#N/A,#N/A,FALSE,"Plan2"}</definedName>
    <definedName name="dng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OCUMENT">#REF!</definedName>
    <definedName name="DOIS">#REF!</definedName>
    <definedName name="dolar">#REF!</definedName>
    <definedName name="dolar_dez">#REF!</definedName>
    <definedName name="dolar_nov">#REF!</definedName>
    <definedName name="dolar_out">#REF!</definedName>
    <definedName name="dolar2">#REF!</definedName>
    <definedName name="dolarabr">#REF!</definedName>
    <definedName name="dolarabr02">#REF!</definedName>
    <definedName name="DolarAgo">#REF!</definedName>
    <definedName name="dolarago02">#REF!</definedName>
    <definedName name="dolardez">#REF!</definedName>
    <definedName name="dolarfev">#REF!</definedName>
    <definedName name="dolarfev02">#REF!</definedName>
    <definedName name="dolarfimdez">#REF!</definedName>
    <definedName name="dolarFimJun">#REF!</definedName>
    <definedName name="dolarfindez">#REF!</definedName>
    <definedName name="dolarfinmar">#REF!</definedName>
    <definedName name="DolarFinSet">#REF!</definedName>
    <definedName name="dolarjan">#REF!</definedName>
    <definedName name="dolarjan02">#REF!</definedName>
    <definedName name="DolarJul">#REF!</definedName>
    <definedName name="dolarjul02">#REF!</definedName>
    <definedName name="dolarjun">#REF!</definedName>
    <definedName name="dolarjun02">#REF!</definedName>
    <definedName name="dolarmai">#REF!</definedName>
    <definedName name="dolarmai02">#REF!</definedName>
    <definedName name="dolarmar">#REF!</definedName>
    <definedName name="dolarmar02">#REF!</definedName>
    <definedName name="dolarnov">#REF!</definedName>
    <definedName name="dolarout">#REF!</definedName>
    <definedName name="DolarSet">#REF!</definedName>
    <definedName name="dolarset02">#REF!</definedName>
    <definedName name="DOZE">#REF!</definedName>
    <definedName name="DRE">#REF!</definedName>
    <definedName name="drewr">{#N/A,#N/A,FALSE,"Plan1";#N/A,#N/A,FALSE,"Plan2"}</definedName>
    <definedName name="DRRJR">{#N/A,#N/A,FALSE,"Plan1";#N/A,#N/A,FALSE,"Plan2"}</definedName>
    <definedName name="drtr">#REF!</definedName>
    <definedName name="drtrt">{"'Estimativa de Lançamento-JAN'!$A$1:$AI$85"}</definedName>
    <definedName name="dsdrf">{#N/A,#N/A,FALSE,"Plan1";#N/A,#N/A,FALSE,"Plan2"}</definedName>
    <definedName name="dsfdf">{#N/A,#N/A,FALSE,"Plan1";#N/A,#N/A,FALSE,"Plan2"}</definedName>
    <definedName name="dsfg">{#N/A,#N/A,FALSE,"Plan1";#N/A,#N/A,FALSE,"Plan2"}</definedName>
    <definedName name="DSFKDSKH">{#N/A,#N/A,FALSE,"Plan1";#N/A,#N/A,FALSE,"Plan2"}</definedName>
    <definedName name="DSFR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>{#N/A,#N/A,FALSE,"Plan1";#N/A,#N/A,FALSE,"Plan2"}</definedName>
    <definedName name="DSFSAD">{#N/A,#N/A,FALSE,"Plan1";#N/A,#N/A,FALSE,"Plan2"}</definedName>
    <definedName name="dsfsdf">{#N/A,#N/A,FALSE,"Plan1";#N/A,#N/A,FALSE,"Plan2"}</definedName>
    <definedName name="dsfsdgfb">{#N/A,#N/A,FALSE,"Plan1";#N/A,#N/A,FALSE,"Plan2"}</definedName>
    <definedName name="dsgfr">{#N/A,#N/A,FALSE,"Plan1";#N/A,#N/A,FALSE,"Plan2"}</definedName>
    <definedName name="dshfkhkrhesru">{#N/A,#N/A,FALSE,"Plan1";#N/A,#N/A,FALSE,"Plan2"}</definedName>
    <definedName name="dsjkthkr">{#N/A,#N/A,FALSE,"Plan1";#N/A,#N/A,FALSE,"Plan2"}</definedName>
    <definedName name="dskfdhksdfh">4</definedName>
    <definedName name="DSLFJSLFJ">{#N/A,#N/A,FALSE,"Plan1";#N/A,#N/A,FALSE,"Plan2"}</definedName>
    <definedName name="dslfkf">4</definedName>
    <definedName name="dsrff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>{#N/A,#N/A,FALSE,"Plan1";#N/A,#N/A,FALSE,"Plan2"}</definedName>
    <definedName name="dtgsrytt">{#N/A,#N/A,FALSE,"Plan1";#N/A,#N/A,FALSE,"Plan2"}</definedName>
    <definedName name="dtrjkhtrgkfh">{#N/A,#N/A,FALSE,"Plan1";#N/A,#N/A,FALSE,"Plan2"}</definedName>
    <definedName name="dttjuk">{#N/A,#N/A,FALSE,"Plan1";#N/A,#N/A,FALSE,"Plan2"}</definedName>
    <definedName name="dvtry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>{#N/A,#N/A,FALSE,"Plan1";#N/A,#N/A,FALSE,"Plan2"}</definedName>
    <definedName name="dwqhdjwqgdwq">#REF!</definedName>
    <definedName name="DY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>{#N/A,#N/A,FALSE,"Plan1";#N/A,#N/A,FALSE,"Plan2"}</definedName>
    <definedName name="dzdfr">{#N/A,#N/A,FALSE,"Plan1";#N/A,#N/A,FALSE,"Plan2"}</definedName>
    <definedName name="e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a">#REF!</definedName>
    <definedName name="EC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>{#N/A,#N/A,FALSE,"F-01"}</definedName>
    <definedName name="ECEW_1">{#N/A,#N/A,FALSE,"F-01"}</definedName>
    <definedName name="echart31">#REF!</definedName>
    <definedName name="EcoPark">#REF!</definedName>
    <definedName name="ECS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>{#N/A,#N/A,FALSE,"Plan1";#N/A,#N/A,FALSE,"Plan2"}</definedName>
    <definedName name="ee">#REF!</definedName>
    <definedName name="eee">{#N/A,#N/A,FALSE,"ET-CAPA";#N/A,#N/A,FALSE,"ET-PAG1";#N/A,#N/A,FALSE,"ET-PAG2";#N/A,#N/A,FALSE,"ET-PAG3";#N/A,#N/A,FALSE,"ET-PAG4";#N/A,#N/A,FALSE,"ET-PAG5"}</definedName>
    <definedName name="EF">#REF!</definedName>
    <definedName name="efestfr">{#N/A,#N/A,FALSE,"Plan1";#N/A,#N/A,FALSE,"Plan2"}</definedName>
    <definedName name="EFICIÊNCIA">#REF!</definedName>
    <definedName name="Eficiência1">#REF!</definedName>
    <definedName name="efrdrt">{#N/A,#N/A,FALSE,"Plan1";#N/A,#N/A,FALSE,"Plan2"}</definedName>
    <definedName name="efrg">{#N/A,#N/A,FALSE,"Plan1";#N/A,#N/A,FALSE,"Plan2"}</definedName>
    <definedName name="efsgfr">{#N/A,#N/A,FALSE,"Plan1";#N/A,#N/A,FALSE,"Plan2"}</definedName>
    <definedName name="eixo_x_fluxo_graf1">IFERROR(OFFSET(INDEX(#REF!,MATCH((INDEX(#REF!,MATCH(1,#REF!,0))),#REF!,0)),0,0,1,COUNTIF(#REF!,"&gt;=0")+COUNTIF(#REF!,"&lt;0")),0)</definedName>
    <definedName name="eixo_x_graf2">IFERROR(OFFSET(INDEX(#REF!,MATCH((INDEX(#REF!,MATCH(1,#REF!,0))),#REF!,0)),0,0,1,COUNTIF(#REF!,"&gt;=0")+COUNTIF(#REF!,"&lt;0")),0)</definedName>
    <definedName name="eixo_x_graf3_distratos">#REF!</definedName>
    <definedName name="eixo_x_graf3_vendas">#REF!</definedName>
    <definedName name="eixo_y_cury_graf2">IFERROR(OFFSET(INDEX(#REF!,MATCH((INDEX(#REF!,MATCH(1,#REF!,0))),#REF!,0)),0,0,1,COUNTIF(#REF!,"&gt;=0")+COUNTIF(#REF!,"&lt;0")),0)</definedName>
    <definedName name="eixo_y_fluxo_graf1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forecast_graf1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real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VL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3">#REF!</definedName>
    <definedName name="eixo_y_socio_graf2">IFERROR(OFFSET(INDEX(#REF!,MATCH((INDEX(#REF!,MATCH(1,#REF!,0))),#REF!,0)),0,0,1,COUNTIF(#REF!,"&gt;=0")+COUNTIF(#REF!,"&lt;0")),0)</definedName>
    <definedName name="eixo_y_viab_graf1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M">#REF!</definedName>
    <definedName name="Empreend">#REF!</definedName>
    <definedName name="Empreendimentos">#REF!</definedName>
    <definedName name="empresas">#REF!</definedName>
    <definedName name="encanador">#REF!</definedName>
    <definedName name="EPI">#REF!</definedName>
    <definedName name="EQUIP">#REF!</definedName>
    <definedName name="equipamento">#REF!</definedName>
    <definedName name="ER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>{#N/A,#N/A,FALSE,"Plan1";#N/A,#N/A,FALSE,"Plan2"}</definedName>
    <definedName name="erne_cdi">#REF!</definedName>
    <definedName name="erne_hist">#REF!</definedName>
    <definedName name="erne_uss">#REF!</definedName>
    <definedName name="erte">#REF!</definedName>
    <definedName name="ESGFDSFD">{#N/A,#N/A,FALSE,"Plan1";#N/A,#N/A,FALSE,"Plan2"}</definedName>
    <definedName name="esp">#REF!</definedName>
    <definedName name="ESPESSURA">#REF!</definedName>
    <definedName name="estaca">#REF!</definedName>
    <definedName name="estaca3">#REF!</definedName>
    <definedName name="ESTADO">#REF!</definedName>
    <definedName name="estados">#REF!</definedName>
    <definedName name="estagiário">#REF!</definedName>
    <definedName name="ESTOQUE">#REF!</definedName>
    <definedName name="Etq_final">#REF!</definedName>
    <definedName name="EU">{#N/A,#N/A,FALSE,"Plan1";#N/A,#N/A,FALSE,"Plan2"}</definedName>
    <definedName name="EV__LASTREFTIME__">39965.7223611111</definedName>
    <definedName name="EVL">{"Econ Consolidado",#N/A,FALSE,"Econ Consol";"Fluxo de Caixa",#N/A,FALSE,"Fluxo Caixa";"Investimentos",#N/A,FALSE,"Investimentos"}</definedName>
    <definedName name="Evol.">{"Econ Consolidado",#N/A,FALSE,"Econ Consol";"Fluxo de Caixa",#N/A,FALSE,"Fluxo Caixa";"Investimentos",#N/A,FALSE,"Investimentos"}</definedName>
    <definedName name="ewfr">{#N/A,#N/A,FALSE,"Plan1";#N/A,#N/A,FALSE,"Plan2"}</definedName>
    <definedName name="exce_cdi">#REF!</definedName>
    <definedName name="exce_hist">#REF!</definedName>
    <definedName name="exce_uss">#REF!</definedName>
    <definedName name="Excel_BuiltIn__FilterDatabase_1">#REF!</definedName>
    <definedName name="Excel_BuiltIn__FilterDatabase_1_1">#REF!</definedName>
    <definedName name="Excel_BuiltIn__FilterDatabase_6">#REF!</definedName>
    <definedName name="Excel_BuiltIn_Print_Area_0">#REF!</definedName>
    <definedName name="Excel_BuiltIn_Print_Area_1_1">#REF!</definedName>
    <definedName name="Excel_BuiltIn_Print_Titles_1_1_1">#REF!</definedName>
    <definedName name="Excel_BuiltIn_Print_Titles_1_1_4">#REF!</definedName>
    <definedName name="Excel_BuiltIn_Print_Titles_1_1_5">#REF!</definedName>
    <definedName name="Exrate">#REF!</definedName>
    <definedName name="eyruieyteta">{#N/A,#N/A,FALSE,"Plan1";#N/A,#N/A,FALSE,"Plan2"}</definedName>
    <definedName name="f">#REF!</definedName>
    <definedName name="FACULDADE">#REF!</definedName>
    <definedName name="FAL">#REF!</definedName>
    <definedName name="farialima">#REF!</definedName>
    <definedName name="FAS">{"'Total'!$A$1","'Total'!$A$3"}</definedName>
    <definedName name="fasfasf">{#N/A,#N/A,TRUE,"Quinzena 01 à 15-04-98 "}</definedName>
    <definedName name="FATOR_K">#REF!</definedName>
    <definedName name="FATORK">#REF!</definedName>
    <definedName name="FBancaria">#REF!</definedName>
    <definedName name="fchart31">#REF!</definedName>
    <definedName name="fddhght">{#N/A,#N/A,FALSE,"Plan1";#N/A,#N/A,FALSE,"Plan2"}</definedName>
    <definedName name="fdfgd">{#N/A,#N/A,FALSE,"Plan1";#N/A,#N/A,FALSE,"Plan2"}</definedName>
    <definedName name="fdfng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>{#N/A,#N/A,FALSE,"Plan1";#N/A,#N/A,FALSE,"Plan2"}</definedName>
    <definedName name="fdgdf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>{#N/A,#N/A,FALSE,"Plan1";#N/A,#N/A,FALSE,"Plan2"}</definedName>
    <definedName name="fdgfyhygfuj">{#N/A,#N/A,FALSE,"Plan1";#N/A,#N/A,FALSE,"Plan2"}</definedName>
    <definedName name="fdhgfdf">{#N/A,#N/A,FALSE,"Plan1";#N/A,#N/A,FALSE,"Plan2"}</definedName>
    <definedName name="fdjfgdfjg">{#N/A,#N/A,FALSE,"Plan1";#N/A,#N/A,FALSE,"Plan2"}</definedName>
    <definedName name="fdjghkshtygt">{#N/A,#N/A,FALSE,"Plan1";#N/A,#N/A,FALSE,"Plan2"}</definedName>
    <definedName name="fdnhgf">{"'Estimativa de Lançamento-JAN'!$A$1:$AI$85"}</definedName>
    <definedName name="fdsf">{#N/A,#N/A,FALSE,"Plan1";#N/A,#N/A,FALSE,"Plan2"}</definedName>
    <definedName name="FE">#REF!</definedName>
    <definedName name="fefefefe">#REF!</definedName>
    <definedName name="FER">#REF!</definedName>
    <definedName name="fev17RJ">#REF!</definedName>
    <definedName name="FEVEREIRO2001">#REF!</definedName>
    <definedName name="ff">#REF!</definedName>
    <definedName name="fffefes">#REF!</definedName>
    <definedName name="fffff">{#N/A,#N/A,FALSE,"Plan1";#N/A,#N/A,FALSE,"Plan2"}</definedName>
    <definedName name="FFFFFFF">#REF!</definedName>
    <definedName name="FFTY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>{#N/A,#N/A,FALSE,"Plan1";#N/A,#N/A,FALSE,"Plan2"}</definedName>
    <definedName name="fgg">{"'장비'!$A$3:$M$12"}</definedName>
    <definedName name="fghfh">{"'Estimativa de Lançamento-JAN'!$A$1:$AI$85"}</definedName>
    <definedName name="fghgfh">{#N/A,#N/A,FALSE,"Plan1";#N/A,#N/A,FALSE,"Plan2"}</definedName>
    <definedName name="FGJHFGK">{#N/A,#N/A,FALSE,"Plan1";#N/A,#N/A,FALSE,"Plan2"}</definedName>
    <definedName name="fgktyhdf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>{#N/A,#N/A,FALSE,"Plan1";#N/A,#N/A,FALSE,"Plan2"}</definedName>
    <definedName name="fgty">#REF!</definedName>
    <definedName name="fhgjfgyt">{#N/A,#N/A,FALSE,"Plan1";#N/A,#N/A,FALSE,"Plan2"}</definedName>
    <definedName name="fhgjkhtrfg">{#N/A,#N/A,FALSE,"Plan1";#N/A,#N/A,FALSE,"Plan2"}</definedName>
    <definedName name="FHGTGSRSG">{#N/A,#N/A,FALSE,"Plan1";#N/A,#N/A,FALSE,"Plan2"}</definedName>
    <definedName name="FIELD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>{#N/A,#N/A,TRUE,"Quinzena 01 à 15-04-98 "}</definedName>
    <definedName name="Filtro_Rel_Sienge">#REF!</definedName>
    <definedName name="Firs_hist">#REF!</definedName>
    <definedName name="First_cdi">#REF!</definedName>
    <definedName name="First_uss">#REF!</definedName>
    <definedName name="fjdhfgjdhtgu">{#N/A,#N/A,FALSE,"Plan1";#N/A,#N/A,FALSE,"Plan2"}</definedName>
    <definedName name="fjfjg">{#N/A,#N/A,FALSE,"명세표"}</definedName>
    <definedName name="FJGH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>{#N/A,#N/A,FALSE,"Plan1";#N/A,#N/A,FALSE,"Plan2"}</definedName>
    <definedName name="fjtgfh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>{#N/A,#N/A,FALSE,"Plan1";#N/A,#N/A,FALSE,"Plan2"}</definedName>
    <definedName name="fl">#REF!</definedName>
    <definedName name="FL_1">#REF!</definedName>
    <definedName name="FL_2">#REF!</definedName>
    <definedName name="FL_3">#REF!</definedName>
    <definedName name="Fluxo_captação">#REF!</definedName>
    <definedName name="FOLHA2">#REF!</definedName>
    <definedName name="Format">#REF!</definedName>
    <definedName name="Formato_da_Loja">#REF!</definedName>
    <definedName name="FORMULA">#REF!</definedName>
    <definedName name="FORNECEDOR">OFFSET(#REF!,6,0,COUNTA(#REF!))</definedName>
    <definedName name="FORNECEDOR_2">OFFSET(#REF!,6,0,COUNTA(#REF!))</definedName>
    <definedName name="FORNECEDOR_3">OFFSET(#REF!,6,0,COUNTA(#REF!))</definedName>
    <definedName name="FORNECEDOR_4">OFFSET(#REF!,6,0,COUNTA(#REF!))</definedName>
    <definedName name="FORNECEDOR_5">OFFSET(#REF!,6,0,COUNTA(#REF!))</definedName>
    <definedName name="FORNECEDOR_7">OFFSET(#REF!,6,0,COUNTA(#REF!))</definedName>
    <definedName name="FORNECEDOR_8">OFFSET(#REF!,6,0,COUNTA(#REF!))</definedName>
    <definedName name="frçt4r">{#N/A,#N/A,FALSE,"Plan1";#N/A,#N/A,FALSE,"Plan2"}</definedName>
    <definedName name="frdtty">{#N/A,#N/A,FALSE,"Plan1";#N/A,#N/A,FALSE,"Plan2"}</definedName>
    <definedName name="fsdfsf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>{#N/A,#N/A,FALSE,"Plan1";#N/A,#N/A,FALSE,"Plan2"}</definedName>
    <definedName name="fuste">#REF!</definedName>
    <definedName name="fxjghkfg">{#N/A,#N/A,FALSE,"Plan1";#N/A,#N/A,FALSE,"Plan2"}</definedName>
    <definedName name="g_10">#REF!</definedName>
    <definedName name="g_11">#REF!</definedName>
    <definedName name="g_12">#REF!</definedName>
    <definedName name="g_13">#REF!</definedName>
    <definedName name="g_15">#REF!</definedName>
    <definedName name="g_16">#REF!</definedName>
    <definedName name="g_17">#REF!</definedName>
    <definedName name="g_19">#REF!</definedName>
    <definedName name="g_21">#REF!</definedName>
    <definedName name="g_25">#REF!</definedName>
    <definedName name="g_27">#REF!</definedName>
    <definedName name="g_31">#REF!</definedName>
    <definedName name="g_32">#REF!</definedName>
    <definedName name="g_33">#REF!</definedName>
    <definedName name="g_34">#REF!</definedName>
    <definedName name="G_35">#REF!</definedName>
    <definedName name="g_37">#REF!</definedName>
    <definedName name="g_41">#REF!</definedName>
    <definedName name="g_42">#REF!</definedName>
    <definedName name="g_45">#REF!</definedName>
    <definedName name="g_47">#REF!</definedName>
    <definedName name="g_51">#REF!</definedName>
    <definedName name="g_52">#REF!</definedName>
    <definedName name="g_53">#REF!</definedName>
    <definedName name="G_54">#REF!</definedName>
    <definedName name="G_55">#REF!</definedName>
    <definedName name="G_56">#REF!</definedName>
    <definedName name="G_57">#REF!</definedName>
    <definedName name="G_58">#REF!</definedName>
    <definedName name="G_59">#REF!</definedName>
    <definedName name="G_61">#REF!</definedName>
    <definedName name="G_63">#REF!</definedName>
    <definedName name="G_65">#REF!</definedName>
    <definedName name="G_67">#REF!</definedName>
    <definedName name="g_68">#REF!</definedName>
    <definedName name="g_69">#REF!</definedName>
    <definedName name="G_71">#REF!</definedName>
    <definedName name="G_73">#REF!</definedName>
    <definedName name="G_75">#REF!</definedName>
    <definedName name="G_77">#REF!</definedName>
    <definedName name="G_78">#REF!</definedName>
    <definedName name="G_81">#REF!</definedName>
    <definedName name="G_83">#REF!</definedName>
    <definedName name="G_85">#REF!</definedName>
    <definedName name="G_87">#REF!</definedName>
    <definedName name="G_90">#REF!</definedName>
    <definedName name="G_91">#REF!</definedName>
    <definedName name="G_92">#REF!</definedName>
    <definedName name="G_94">#REF!</definedName>
    <definedName name="G_95">#REF!</definedName>
    <definedName name="G_96">#REF!</definedName>
    <definedName name="galo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ARAGEM">#REF!</definedName>
    <definedName name="garcia">#REF!</definedName>
    <definedName name="GASTOS_JULHO">#REF!</definedName>
    <definedName name="gbdjkvhgd">{#N/A,#N/A,FALSE,"Plan1";#N/A,#N/A,FALSE,"Plan2"}</definedName>
    <definedName name="gbdsjgsjfdgj">{#N/A,#N/A,FALSE,"Plan1";#N/A,#N/A,FALSE,"Plan2"}</definedName>
    <definedName name="gdfdhgfjgj">{#N/A,#N/A,FALSE,"Plan1";#N/A,#N/A,FALSE,"Plan2"}</definedName>
    <definedName name="gdfgdstggt">{#N/A,#N/A,FALSE,"Plan1";#N/A,#N/A,FALSE,"Plan2"}</definedName>
    <definedName name="GDFHGRJGFJDRF">{"Econ Consolidado",#N/A,FALSE,"Econ Consol";"Fluxo de Caixa",#N/A,FALSE,"Fluxo Caixa";"Investimentos",#N/A,FALSE,"Investimentos"}</definedName>
    <definedName name="gdfigfhuyuy">{#N/A,#N/A,FALSE,"Plan1";#N/A,#N/A,FALSE,"Plan2"}</definedName>
    <definedName name="gdfsgfew">{#N/A,#N/A,FALSE,"Plan1";#N/A,#N/A,FALSE,"Plan2"}</definedName>
    <definedName name="gdhfgdhfgf">{#N/A,#N/A,FALSE,"Plan1";#N/A,#N/A,FALSE,"Plan2"}</definedName>
    <definedName name="gdsfhefrwrw">{#N/A,#N/A,FALSE,"Plan1";#N/A,#N/A,FALSE,"Plan2"}</definedName>
    <definedName name="GER_TECNICO">#REF!</definedName>
    <definedName name="Gerentes">#REF!</definedName>
    <definedName name="geshrjhed">{#N/A,#N/A,FALSE,"Plan1";#N/A,#N/A,FALSE,"Plan2"}</definedName>
    <definedName name="gestao">OFFSET(INDEX(#REF!,MATCH(#REF!,#REF!,0)),1,0,COUNTA(#REF!)-1)</definedName>
    <definedName name="gfdcgnkf">{#N/A,#N/A,FALSE,"Plan1";#N/A,#N/A,FALSE,"Plan2"}</definedName>
    <definedName name="gfdjtgur">{#N/A,#N/A,FALSE,"Plan1";#N/A,#N/A,FALSE,"Plan2"}</definedName>
    <definedName name="gfdrtg">#REF!</definedName>
    <definedName name="gfgdhxgfdhf">{#N/A,#N/A,FALSE,"Plan1";#N/A,#N/A,FALSE,"Plan2"}</definedName>
    <definedName name="gfhfdtgjb">{#N/A,#N/A,FALSE,"Plan1";#N/A,#N/A,FALSE,"Plan2"}</definedName>
    <definedName name="gfjdshrtjhtged">{#N/A,#N/A,FALSE,"Plan1";#N/A,#N/A,FALSE,"Plan2"}</definedName>
    <definedName name="gfjgkddgfd">{#N/A,#N/A,FALSE,"Plan1";#N/A,#N/A,FALSE,"Plan2"}</definedName>
    <definedName name="gfsghjdgygr">{#N/A,#N/A,FALSE,"Plan1";#N/A,#N/A,FALSE,"Plan2"}</definedName>
    <definedName name="gftfy">{#N/A,#N/A,FALSE,"Plan1";#N/A,#N/A,FALSE,"Plan2"}</definedName>
    <definedName name="gfty">{#N/A,#N/A,FALSE,"Plan1";#N/A,#N/A,FALSE,"Plan2"}</definedName>
    <definedName name="GFUJU9">{#N/A,#N/A,FALSE,"Plan1";#N/A,#N/A,FALSE,"Plan2"}</definedName>
    <definedName name="ggg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>{#N/A,#N/A,FALSE,"Plan1";#N/A,#N/A,FALSE,"Plan2"}</definedName>
    <definedName name="ggggggggg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>{"'장비'!$A$3:$M$12"}</definedName>
    <definedName name="ghfgdfrtert">{#N/A,#N/A,FALSE,"Plan1";#N/A,#N/A,FALSE,"Plan2"}</definedName>
    <definedName name="ghfhghft">{#N/A,#N/A,FALSE,"Plan1";#N/A,#N/A,FALSE,"Plan2"}</definedName>
    <definedName name="ghjg">{"'Estimativa de Lançamento-JAN'!$A$1:$AI$85"}</definedName>
    <definedName name="ghkfhgh">{#N/A,#N/A,FALSE,"Plan1";#N/A,#N/A,FALSE,"Plan2"}</definedName>
    <definedName name="ghkjh">{#N/A,#N/A,FALSE,"ENG'G(보호계전기)"}</definedName>
    <definedName name="GJ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>{#N/A,#N/A,FALSE,"Plan1";#N/A,#N/A,FALSE,"Plan2"}</definedName>
    <definedName name="GJ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>{#N/A,#N/A,FALSE,"Plan1";#N/A,#N/A,FALSE,"Plan2"}</definedName>
    <definedName name="glgl">{#N/A,#N/A,FALSE,"Plan1";#N/A,#N/A,FALSE,"Plan2"}</definedName>
    <definedName name="GLOBAL">#REF!</definedName>
    <definedName name="gnfrth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rec_cdi">#REF!</definedName>
    <definedName name="grec_hist">#REF!</definedName>
    <definedName name="grec_uss">#REF!</definedName>
    <definedName name="grua">#REF!</definedName>
    <definedName name="GSDWJSTGE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>{#N/A,#N/A,FALSE,"Plan1";#N/A,#N/A,FALSE,"Plan2"}</definedName>
    <definedName name="GUI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>{#N/A,#N/A,FALSE,"CCTV"}</definedName>
    <definedName name="h">#REF!</definedName>
    <definedName name="hbjgjuae">#REF!</definedName>
    <definedName name="hcjfkhdghfktg">{#N/A,#N/A,FALSE,"Plan1";#N/A,#N/A,FALSE,"Plan2"}</definedName>
    <definedName name="hckhjfdkgfdg">#REF!</definedName>
    <definedName name="hddfndgdfg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>{#N/A,#N/A,FALSE,"Plan1";#N/A,#N/A,FALSE,"Plan2"}</definedName>
    <definedName name="HDFGJKHKFDHTY">{#N/A,#N/A,FALSE,"Plan1";#N/A,#N/A,FALSE,"Plan2"}</definedName>
    <definedName name="hdfhdhrtgd">{#N/A,#N/A,FALSE,"Plan1";#N/A,#N/A,FALSE,"Plan2"}</definedName>
    <definedName name="hdfhftde">{#N/A,#N/A,FALSE,"Plan1";#N/A,#N/A,FALSE,"Plan2"}</definedName>
    <definedName name="hdfhgkdhgtrf">{#N/A,#N/A,FALSE,"Plan1";#N/A,#N/A,FALSE,"Plan2"}</definedName>
    <definedName name="hdfjhdkzhgdr">{#N/A,#N/A,FALSE,"Plan1";#N/A,#N/A,FALSE,"Plan2"}</definedName>
    <definedName name="hdfjkgvjgtd">{#N/A,#N/A,FALSE,"Plan1";#N/A,#N/A,FALSE,"Plan2"}</definedName>
    <definedName name="hdfjkhdhrute">{#N/A,#N/A,FALSE,"Plan1";#N/A,#N/A,FALSE,"Plan2"}</definedName>
    <definedName name="HDFKGVF">{#N/A,#N/A,FALSE,"Plan1";#N/A,#N/A,FALSE,"Plan2"}</definedName>
    <definedName name="hdgfhdgtdrt">{#N/A,#N/A,FALSE,"Plan1";#N/A,#N/A,FALSE,"Plan2"}</definedName>
    <definedName name="hdghgtgtrgd">{#N/A,#N/A,FALSE,"Plan1";#N/A,#N/A,FALSE,"Plan2"}</definedName>
    <definedName name="HDHDGHTUHDTG">{#N/A,#N/A,FALSE,"Plan1";#N/A,#N/A,FALSE,"Plan2"}</definedName>
    <definedName name="hdhghfthrrhy">{#N/A,#N/A,FALSE,"Plan1";#N/A,#N/A,FALSE,"Plan2"}</definedName>
    <definedName name="hdkfjhydjh">{#N/A,#N/A,FALSE,"Plan1";#N/A,#N/A,FALSE,"Plan2"}</definedName>
    <definedName name="hdsgfgrrdgr">{#N/A,#N/A,FALSE,"Plan1";#N/A,#N/A,FALSE,"Plan2"}</definedName>
    <definedName name="hdtertkkdsa">{#N/A,#N/A,FALSE,"Plan1";#N/A,#N/A,FALSE,"Plan2"}</definedName>
    <definedName name="Header">#REF!</definedName>
    <definedName name="HEDHA">{#N/A,#N/A,FALSE,"Plan1";#N/A,#N/A,FALSE,"Plan2"}</definedName>
    <definedName name="heife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LP">#REF!</definedName>
    <definedName name="herkfdshfker">{#N/A,#N/A,FALSE,"Plan1";#N/A,#N/A,FALSE,"Plan2"}</definedName>
    <definedName name="hersdtretyt">{#N/A,#N/A,FALSE,"Plan1";#N/A,#N/A,FALSE,"Plan2"}</definedName>
    <definedName name="HFDJTHTRS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>{#N/A,#N/A,FALSE,"Plan1";#N/A,#N/A,FALSE,"Plan2"}</definedName>
    <definedName name="hfdkhgkfdhtj">{#N/A,#N/A,FALSE,"Plan1";#N/A,#N/A,FALSE,"Plan2"}</definedName>
    <definedName name="hfgfktgkhyt">{#N/A,#N/A,FALSE,"Plan1";#N/A,#N/A,FALSE,"Plan2"}</definedName>
    <definedName name="hfghdkhrgkjg">{#N/A,#N/A,FALSE,"Plan1";#N/A,#N/A,FALSE,"Plan2"}</definedName>
    <definedName name="hfighfth">{#N/A,#N/A,FALSE,"Plan1";#N/A,#N/A,FALSE,"Plan2"}</definedName>
    <definedName name="hfjghtfuyrf">{#N/A,#N/A,FALSE,"Plan1";#N/A,#N/A,FALSE,"Plan2"}</definedName>
    <definedName name="HFKJHDJGHFJ">{#N/A,#N/A,FALSE,"Plan1";#N/A,#N/A,FALSE,"Plan2"}</definedName>
    <definedName name="hgdesgfgsj">{#N/A,#N/A,FALSE,"Plan1";#N/A,#N/A,FALSE,"Plan2"}</definedName>
    <definedName name="hgdgfd">{#N/A,#N/A,FALSE,"Plan1";#N/A,#N/A,FALSE,"Plan2"}</definedName>
    <definedName name="hgfhjkdfhj">{#N/A,#N/A,FALSE,"Plan1";#N/A,#N/A,FALSE,"Plan2"}</definedName>
    <definedName name="hgg">{#N/A,#N/A,FALSE,"Plan1";#N/A,#N/A,FALSE,"Plan2"}</definedName>
    <definedName name="hgjdfgghg">{#N/A,#N/A,FALSE,"Plan1";#N/A,#N/A,FALSE,"Plan2"}</definedName>
    <definedName name="hgjkfdhg">{#N/A,#N/A,FALSE,"Plan1";#N/A,#N/A,FALSE,"Plan2"}</definedName>
    <definedName name="hgkdfhkfk">{#N/A,#N/A,FALSE,"Plan1";#N/A,#N/A,FALSE,"Plan2"}</definedName>
    <definedName name="hgkjhdfhtrdyt">{#N/A,#N/A,FALSE,"Plan1";#N/A,#N/A,FALSE,"Plan2"}</definedName>
    <definedName name="hgkjhdfkhgtfhg">{#N/A,#N/A,FALSE,"Plan1";#N/A,#N/A,FALSE,"Plan2"}</definedName>
    <definedName name="hgkjhkfhsdkdhgk">{#N/A,#N/A,FALSE,"Plan1";#N/A,#N/A,FALSE,"Plan2"}</definedName>
    <definedName name="hgsufgdhghd">{#N/A,#N/A,FALSE,"Plan1";#N/A,#N/A,FALSE,"Plan2"}</definedName>
    <definedName name="HHGFHTYUT">{#N/A,#N/A,FALSE,"Plan1";#N/A,#N/A,FALSE,"Plan2"}</definedName>
    <definedName name="hhh">{"'Total'!$A$1","'Total'!$A$3"}</definedName>
    <definedName name="HHIHLK">#REF!</definedName>
    <definedName name="hik">{#N/A,#N/A,FALSE,"TABLE"}</definedName>
    <definedName name="hist">#REF!</definedName>
    <definedName name="HIST1">#REF!</definedName>
    <definedName name="HISTEQ">#REF!</definedName>
    <definedName name="HISTOGRAMA">#REF!</definedName>
    <definedName name="hjdgtjdjxrfg">{#N/A,#N/A,FALSE,"Plan1";#N/A,#N/A,FALSE,"Plan2"}</definedName>
    <definedName name="HJFDGD">{#N/A,#N/A,FALSE,"Plan1";#N/A,#N/A,FALSE,"Plan2"}</definedName>
    <definedName name="HJGASD">{#N/A,#N/A,FALSE,"Plan1";#N/A,#N/A,FALSE,"Plan2"}</definedName>
    <definedName name="HJGFGTFDG">{#N/A,#N/A,FALSE,"Plan1";#N/A,#N/A,FALSE,"Plan2"}</definedName>
    <definedName name="hjgfhdsgfhsd">{#N/A,#N/A,FALSE,"Plan1";#N/A,#N/A,FALSE,"Plan2"}</definedName>
    <definedName name="hjgxfjgdjyftr">{#N/A,#N/A,FALSE,"Plan1";#N/A,#N/A,FALSE,"Plan2"}</definedName>
    <definedName name="hjgyugasd">{#N/A,#N/A,FALSE,"Plan1";#N/A,#N/A,FALSE,"Plan2"}</definedName>
    <definedName name="hjjfyfy">{#N/A,#N/A,FALSE,"Plan1";#N/A,#N/A,FALSE,"Plan2"}</definedName>
    <definedName name="hjkchkvjhdjkgh">{#N/A,#N/A,FALSE,"Plan1";#N/A,#N/A,FALSE,"Plan2"}</definedName>
    <definedName name="hjkfjdyht">{#N/A,#N/A,FALSE,"Plan1";#N/A,#N/A,FALSE,"Plan2"}</definedName>
    <definedName name="hjsdffe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>{#N/A,#N/A,FALSE,"Plan1";#N/A,#N/A,FALSE,"Plan2"}</definedName>
    <definedName name="hjsdsdrjfrh">2</definedName>
    <definedName name="hjsrdfre">{"Econ Consolidado",#N/A,FALSE,"Econ Consol";"Fluxo de Caixa",#N/A,FALSE,"Fluxo Caixa";"Investimentos",#N/A,FALSE,"Investimentos"}</definedName>
    <definedName name="HKewewsr">{#N/A,#N/A,FALSE,"Plan1";#N/A,#N/A,FALSE,"Plan2"}</definedName>
    <definedName name="hkhdskacd">{#N/A,#N/A,FALSE,"Plan1";#N/A,#N/A,FALSE,"Plan2"}</definedName>
    <definedName name="hkjfgfhgfh">{#N/A,#N/A,FALSE,"Plan1";#N/A,#N/A,FALSE,"Plan2"}</definedName>
    <definedName name="hkjfhgjkfhghfg">{#N/A,#N/A,FALSE,"Plan1";#N/A,#N/A,FALSE,"Plan2"}</definedName>
    <definedName name="HKLZHFRH">{#N/A,#N/A,FALSE,"Plan1";#N/A,#N/A,FALSE,"Plan2"}</definedName>
    <definedName name="ho">{#N/A,#N/A,FALSE,"TABLE"}</definedName>
    <definedName name="HOJE">#REF!</definedName>
    <definedName name="HONORARIOS">#REF!</definedName>
    <definedName name="HOSPEDES">#REF!</definedName>
    <definedName name="HOTEL">#REF!</definedName>
    <definedName name="hrterte">{#N/A,#N/A,FALSE,"Plan1";#N/A,#N/A,FALSE,"Plan2"}</definedName>
    <definedName name="hsdf">{#N/A,#N/A,FALSE,"Plan1";#N/A,#N/A,FALSE,"Plan2"}</definedName>
    <definedName name="hsdfgdgudrt">{#N/A,#N/A,FALSE,"Plan1";#N/A,#N/A,FALSE,"Plan2"}</definedName>
    <definedName name="hsdfjkdhur">{#N/A,#N/A,FALSE,"Plan1";#N/A,#N/A,FALSE,"Plan2"}</definedName>
    <definedName name="hsdgftdht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>{#N/A,#N/A,FALSE,"Plan1";#N/A,#N/A,FALSE,"Plan2"}</definedName>
    <definedName name="hsdjffe">{#N/A,#N/A,FALSE,"Plan1";#N/A,#N/A,FALSE,"Plan2"}</definedName>
    <definedName name="HSFIHDTR">{"Econ Consolidado",#N/A,FALSE,"Econ Consol";"Fluxo de Caixa",#N/A,FALSE,"Fluxo Caixa";"Investimentos",#N/A,FALSE,"Investimentos"}</definedName>
    <definedName name="hsfjkdshrgf">{#N/A,#N/A,FALSE,"Plan1";#N/A,#N/A,FALSE,"Plan2"}</definedName>
    <definedName name="hthhrtetdre">{#N/A,#N/A,FALSE,"Plan1";#N/A,#N/A,FALSE,"Plan2"}</definedName>
    <definedName name="HTM">#REF!</definedName>
    <definedName name="HTML_CodePage">949</definedName>
    <definedName name="HTML_Control">{"'장비'!$A$3:$M$12"}</definedName>
    <definedName name="HTML_Description">""</definedName>
    <definedName name="HTML_Email">""</definedName>
    <definedName name="HTML_Header">"장비"</definedName>
    <definedName name="HTML_LastUpdate">"97-08-05"</definedName>
    <definedName name="HTML_LineAfter">FALSE</definedName>
    <definedName name="HTML_LineBefore">FALSE</definedName>
    <definedName name="HTML_Name">"이진화"</definedName>
    <definedName name="HTML_OBDlg2">TRUE</definedName>
    <definedName name="HTML_OBDlg4">TRUE</definedName>
    <definedName name="HTML_OS">0</definedName>
    <definedName name="HTML_PathFile">"C:\My Documents\MyHTML.htm"</definedName>
    <definedName name="HTML_Title">"가산동미라보"</definedName>
    <definedName name="HTML2_CONTROL">{"'Estimativa de Lançamento-JAN'!$A$1:$AI$85"}</definedName>
    <definedName name="HTML3_CONTROL">{"'Estimativa de Lançamento-JAN'!$A$1:$AI$85"}</definedName>
    <definedName name="HTMLControl">{"'Edit'!$A$1:$V$2277"}</definedName>
    <definedName name="HTN">#REF!</definedName>
    <definedName name="HVJKHGKFXHFD">{#N/A,#N/A,FALSE,"Plan1";#N/A,#N/A,FALSE,"Plan2"}</definedName>
    <definedName name="hwekjhekhf">{#N/A,#N/A,FALSE,"Plan1";#N/A,#N/A,FALSE,"Plan2"}</definedName>
    <definedName name="HXFRE">{#N/A,#N/A,FALSE,"Plan1";#N/A,#N/A,FALSE,"Plan2"}</definedName>
    <definedName name="HXKJFGDKHG">{#N/A,#N/A,FALSE,"Plan1";#N/A,#N/A,FALSE,"Plan2"}</definedName>
    <definedName name="I">#REF!</definedName>
    <definedName name="ibir_cdi">#REF!</definedName>
    <definedName name="ibir_hist">#REF!</definedName>
    <definedName name="ibir_uss">#REF!</definedName>
    <definedName name="IC">#REF!</definedName>
    <definedName name="icoa_cdi">#REF!</definedName>
    <definedName name="icoa_hist">#REF!</definedName>
    <definedName name="icoa_uss">#REF!</definedName>
    <definedName name="Identificação">#REF!</definedName>
    <definedName name="idfhgkjhfkthy">{#N/A,#N/A,FALSE,"Plan1";#N/A,#N/A,FALSE,"Plan2"}</definedName>
    <definedName name="ieroweft">{#N/A,#N/A,FALSE,"Plan1";#N/A,#N/A,FALSE,"Plan2"}</definedName>
    <definedName name="iewpotqi5poejy">{#N/A,#N/A,FALSE,"Plan1";#N/A,#N/A,FALSE,"Plan2"}</definedName>
    <definedName name="ihdfifguhgfuiyh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eidhgufr">#REF!</definedName>
    <definedName name="ihfdkjhktgrd">{#N/A,#N/A,FALSE,"Plan1";#N/A,#N/A,FALSE,"Plan2"}</definedName>
    <definedName name="ihrtetw4r">{#N/A,#N/A,FALSE,"Plan1";#N/A,#N/A,FALSE,"Plan2"}</definedName>
    <definedName name="II">#REF!</definedName>
    <definedName name="IIASDSAWE">{"Econ Consolidado",#N/A,FALSE,"Econ Consol";"Fluxo de Caixa",#N/A,FALSE,"Fluxo Caixa";"Investimentos",#N/A,FALSE,"Investimentos"}</definedName>
    <definedName name="III">#REF!</definedName>
    <definedName name="iinstalações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>{#N/A,#N/A,FALSE,"Plan1";#N/A,#N/A,FALSE,"Plan2"}</definedName>
    <definedName name="ilsdr4wf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M">#REF!</definedName>
    <definedName name="IMP">#REF!</definedName>
    <definedName name="IMPERMEABILIZ.">#REF!</definedName>
    <definedName name="IMPF">#REF!</definedName>
    <definedName name="IMPI">#REF!</definedName>
    <definedName name="IMPOSTO">#REF!</definedName>
    <definedName name="INCC">#REF!</definedName>
    <definedName name="Incorido_Aplicado_X_Físico">#REF!</definedName>
    <definedName name="INCORPORAÇÃO">#REF!</definedName>
    <definedName name="Index">#REF!</definedName>
    <definedName name="Indice">#REF!</definedName>
    <definedName name="indice_correcao_proj">#REF!</definedName>
    <definedName name="infra">#REF!</definedName>
    <definedName name="Infra_OBra_Sienge">#REF!</definedName>
    <definedName name="Infra_Projetos_Sienge">#REF!</definedName>
    <definedName name="INFRA2">#REF!</definedName>
    <definedName name="Insatalações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S_Bloqueado_Fin_Medição">#REF!</definedName>
    <definedName name="Inss_Bloqueado_Previsão_Fin_Medições">#REF!</definedName>
    <definedName name="instalaçoes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U">OFFSET(#REF!,0,0,COUNTA(#REF!),1)</definedName>
    <definedName name="INSUMOS">#REF!</definedName>
    <definedName name="INT.FILTRO.NBASE">#REF!</definedName>
    <definedName name="INTEGRA">{"'Edit'!$A$1:$V$2277"}</definedName>
    <definedName name="IO">196.003</definedName>
    <definedName name="ioeriotyt">{#N/A,#N/A,FALSE,"Plan1";#N/A,#N/A,FALSE,"Plan2"}</definedName>
    <definedName name="iohudtorh">{#N/A,#N/A,FALSE,"Plan1";#N/A,#N/A,FALSE,"Plan2"}</definedName>
    <definedName name="iojtkheayed">{#N/A,#N/A,FALSE,"Plan1";#N/A,#N/A,FALSE,"Plan2"}</definedName>
    <definedName name="iouweroieuw4">{#N/A,#N/A,FALSE,"Plan1";#N/A,#N/A,FALSE,"Plan2"}</definedName>
    <definedName name="iphifpgh">{#N/A,#N/A,FALSE,"Plan1";#N/A,#N/A,FALSE,"Plan2"}</definedName>
    <definedName name="IPMF">#REF!</definedName>
    <definedName name="ipodsifgpds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>{#N/A,#N/A,FALSE,"Plan1";#N/A,#N/A,FALSE,"Plan2"}</definedName>
    <definedName name="IQ_ADDIN">"AUTO"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LTMMONTH">120000</definedName>
    <definedName name="IQ_MONTH">15000</definedName>
    <definedName name="IQ_NAMES_REVISION_DATE_">40730.4399768518</definedName>
    <definedName name="IQ_NTM">6000</definedName>
    <definedName name="IQ_TODAY">0</definedName>
    <definedName name="IQ_WEEK">50000</definedName>
    <definedName name="IQ_YTD">3000</definedName>
    <definedName name="IQ_YTDMONTH">130000</definedName>
    <definedName name="IR_diferido">#REF!</definedName>
    <definedName name="ISOPOR">#REF!</definedName>
    <definedName name="ISS">#REF!</definedName>
    <definedName name="ItalieNS">#REF!</definedName>
    <definedName name="ItalieNT">#REF!</definedName>
    <definedName name="itc_cdi">#REF!</definedName>
    <definedName name="itc_hist">#REF!</definedName>
    <definedName name="itc_uss">#REF!</definedName>
    <definedName name="item_1">#REF!</definedName>
    <definedName name="ITEMCONT">#REF!</definedName>
    <definedName name="ITEMDER">#REF!</definedName>
    <definedName name="ITEMIZAÇÃO">#REF!</definedName>
    <definedName name="ITEMIZAÇÃO_2">#REF!</definedName>
    <definedName name="ITEMIZAÇÃO_3">#REF!</definedName>
    <definedName name="ITEMIZAÇÃO_4">#REF!</definedName>
    <definedName name="ITEMIZAÇÃO_5">#REF!</definedName>
    <definedName name="ITEMIZAÇÃO_7">#REF!</definedName>
    <definedName name="ITEMIZAÇÃO_8">#REF!</definedName>
    <definedName name="ITEMR20">#REF!</definedName>
    <definedName name="ITEM별상세업무분장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NS">#REF!</definedName>
    <definedName name="ITENS0">#REF!</definedName>
    <definedName name="ITENS1">#REF!</definedName>
    <definedName name="ITENSP">#REF!</definedName>
    <definedName name="ITENSPMED">#REF!</definedName>
    <definedName name="IUGFGDFUY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V">#REF!</definedName>
    <definedName name="iyguygiyt">{#N/A,#N/A,FALSE,"Plan1";#N/A,#N/A,FALSE,"Plan2"}</definedName>
    <definedName name="iyuyheturtd">{#N/A,#N/A,FALSE,"Plan1";#N/A,#N/A,FALSE,"Plan2"}</definedName>
    <definedName name="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>{#N/A,#N/A,FALSE,"Plan1";#N/A,#N/A,FALSE,"Plan2"}</definedName>
    <definedName name="jan_05">#REF!</definedName>
    <definedName name="jan17RJ">#REF!</definedName>
    <definedName name="JANEIRO2001">#REF!</definedName>
    <definedName name="JASDJS">{#N/A,#N/A,FALSE,"Plan1";#N/A,#N/A,FALSE,"Plan2"}</definedName>
    <definedName name="jaskldjlse">{#N/A,#N/A,FALSE,"Plan1";#N/A,#N/A,FALSE,"Plan2"}</definedName>
    <definedName name="JASLDKLD">{#N/A,#N/A,FALSE,"Plan1";#N/A,#N/A,FALSE,"Plan2"}</definedName>
    <definedName name="jasoe">#REF!</definedName>
    <definedName name="jbzxffcbgdhgft">#REF!</definedName>
    <definedName name="JÇDFHDF">{"Econ Consolidado",#N/A,FALSE,"Econ Consol";"Fluxo de Caixa",#N/A,FALSE,"Fluxo Caixa";"Investimentos",#N/A,FALSE,"Investimentos"}</definedName>
    <definedName name="jdbgftbhr">{#N/A,#N/A,FALSE,"Plan1";#N/A,#N/A,FALSE,"Plan2"}</definedName>
    <definedName name="jdfgkrhgft">#REF!</definedName>
    <definedName name="jdfgldfjgklh">{#N/A,#N/A,FALSE,"Plan1";#N/A,#N/A,FALSE,"Plan2"}</definedName>
    <definedName name="jdfhjkdrhjtkg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>{#N/A,#N/A,FALSE,"Plan1";#N/A,#N/A,FALSE,"Plan2"}</definedName>
    <definedName name="JDFJLDJR">{#N/A,#N/A,FALSE,"Plan1";#N/A,#N/A,FALSE,"Plan2"}</definedName>
    <definedName name="jdfkgitfgdrtt">{#N/A,#N/A,FALSE,"Plan1";#N/A,#N/A,FALSE,"Plan2"}</definedName>
    <definedName name="JDFKHFKJ">{#N/A,#N/A,FALSE,"Plan1";#N/A,#N/A,FALSE,"Plan2"}</definedName>
    <definedName name="jdfklgtdtr">{#N/A,#N/A,FALSE,"Plan1";#N/A,#N/A,FALSE,"Plan2"}</definedName>
    <definedName name="JDFKTHRT">{#N/A,#N/A,FALSE,"Plan1";#N/A,#N/A,FALSE,"Plan2"}</definedName>
    <definedName name="JDFLKJDRF">{#N/A,#N/A,FALSE,"Plan1";#N/A,#N/A,FALSE,"Plan2"}</definedName>
    <definedName name="jdfzlkjgfdht">{#N/A,#N/A,FALSE,"Plan1";#N/A,#N/A,FALSE,"Plan2"}</definedName>
    <definedName name="jdglhfghkt">{#N/A,#N/A,FALSE,"Plan1";#N/A,#N/A,FALSE,"Plan2"}</definedName>
    <definedName name="jdhfjdhgfd">{#N/A,#N/A,FALSE,"Plan1";#N/A,#N/A,FALSE,"Plan2"}</definedName>
    <definedName name="jdjdjdjd">{#N/A,#N/A,FALSE,"명세표"}</definedName>
    <definedName name="jdkfhgjhf">{#N/A,#N/A,FALSE,"Plan1";#N/A,#N/A,FALSE,"Plan2"}</definedName>
    <definedName name="jdkfjdtr">{#N/A,#N/A,FALSE,"Plan1";#N/A,#N/A,FALSE,"Plan2"}</definedName>
    <definedName name="jdljgftldjti5r">{#N/A,#N/A,FALSE,"Plan1";#N/A,#N/A,FALSE,"Plan2"}</definedName>
    <definedName name="JDLKJDASGF">{#N/A,#N/A,FALSE,"Plan1";#N/A,#N/A,FALSE,"Plan2"}</definedName>
    <definedName name="jdrfkdjfghrtfjg">{#N/A,#N/A,FALSE,"Plan1";#N/A,#N/A,FALSE,"Plan2"}</definedName>
    <definedName name="jdskfhdk">{#N/A,#N/A,FALSE,"Plan1";#N/A,#N/A,FALSE,"Plan2"}</definedName>
    <definedName name="JDSKLGKDRHGGF">{#N/A,#N/A,FALSE,"Plan1";#N/A,#N/A,FALSE,"Plan2"}</definedName>
    <definedName name="jefsgfr">{#N/A,#N/A,FALSE,"Plan1";#N/A,#N/A,FALSE,"Plan2"}</definedName>
    <definedName name="JERHIEHYURE">{#N/A,#N/A,FALSE,"Plan1";#N/A,#N/A,FALSE,"Plan2"}</definedName>
    <definedName name="jfddlsrtyty">{#N/A,#N/A,FALSE,"Plan1";#N/A,#N/A,FALSE,"Plan2"}</definedName>
    <definedName name="jfdjtgdjghitfyh">{#N/A,#N/A,FALSE,"Plan1";#N/A,#N/A,FALSE,"Plan2"}</definedName>
    <definedName name="jfdkgkftftg">{#N/A,#N/A,FALSE,"Plan1";#N/A,#N/A,FALSE,"Plan2"}</definedName>
    <definedName name="jfghjkfdhtkyru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>{#N/A,#N/A,FALSE,"Plan1";#N/A,#N/A,FALSE,"Plan2"}</definedName>
    <definedName name="jfgkflcnjkglc">{#N/A,#N/A,FALSE,"Plan1";#N/A,#N/A,FALSE,"Plan2"}</definedName>
    <definedName name="JFHRE">{#N/A,#N/A,FALSE,"Plan1";#N/A,#N/A,FALSE,"Plan2"}</definedName>
    <definedName name="jfkdls5jtirjd">{#N/A,#N/A,FALSE,"Plan1";#N/A,#N/A,FALSE,"Plan2"}</definedName>
    <definedName name="jfkljdkfcj">{#N/A,#N/A,FALSE,"Plan1";#N/A,#N/A,FALSE,"Plan2"}</definedName>
    <definedName name="jfkrhdtghdut">{#N/A,#N/A,FALSE,"Plan1";#N/A,#N/A,FALSE,"Plan2"}</definedName>
    <definedName name="JFRESR">{#N/A,#N/A,FALSE,"Plan1";#N/A,#N/A,FALSE,"Plan2"}</definedName>
    <definedName name="jgdfdgfjgdj">{#N/A,#N/A,FALSE,"Plan1";#N/A,#N/A,FALSE,"Plan2"}</definedName>
    <definedName name="jgdfght">{#N/A,#N/A,FALSE,"Plan1";#N/A,#N/A,FALSE,"Plan2"}</definedName>
    <definedName name="jgfgdsgfdhrf">{#N/A,#N/A,FALSE,"Plan1";#N/A,#N/A,FALSE,"Plan2"}</definedName>
    <definedName name="JGFJGTFT">{#N/A,#N/A,FALSE,"Plan1";#N/A,#N/A,FALSE,"Plan2"}</definedName>
    <definedName name="JGJSFJKSDGB">17</definedName>
    <definedName name="jgkjkhjuftgi">{#N/A,#N/A,FALSE,"Plan1";#N/A,#N/A,FALSE,"Plan2"}</definedName>
    <definedName name="jh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>{#N/A,#N/A,FALSE,"Plan1";#N/A,#N/A,FALSE,"Plan2"}</definedName>
    <definedName name="jhdfjkhtrdhf">{#N/A,#N/A,FALSE,"Plan1";#N/A,#N/A,FALSE,"Plan2"}</definedName>
    <definedName name="jhdfuthr">{#N/A,#N/A,FALSE,"Plan1";#N/A,#N/A,FALSE,"Plan2"}</definedName>
    <definedName name="JHDFZGRDHF">{"Econ Consolidado",#N/A,FALSE,"Econ Consol";"Fluxo de Caixa",#N/A,FALSE,"Fluxo Caixa";"Investimentos",#N/A,FALSE,"Investimentos"}</definedName>
    <definedName name="JHERKHKFGH">{#N/A,#N/A,FALSE,"Plan1";#N/A,#N/A,FALSE,"Plan2"}</definedName>
    <definedName name="jhfhhztfhe">#REF!</definedName>
    <definedName name="JHGKJFJFJGL">{#N/A,#N/A,FALSE,"Plan1";#N/A,#N/A,FALSE,"Plan2"}</definedName>
    <definedName name="jhsdjkhfuks">{#N/A,#N/A,FALSE,"Plan1";#N/A,#N/A,FALSE,"Plan2"}</definedName>
    <definedName name="jisdrkje">{#N/A,#N/A,FALSE,"Plan1";#N/A,#N/A,FALSE,"Plan2"}</definedName>
    <definedName name="jishfrieyhtau">{#N/A,#N/A,FALSE,"Plan1";#N/A,#N/A,FALSE,"Plan2"}</definedName>
    <definedName name="jiu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>{"'Apr-00'!$B$4:$AD$44"}</definedName>
    <definedName name="jjfdsktyhhy">{#N/A,#N/A,FALSE,"Plan1";#N/A,#N/A,FALSE,"Plan2"}</definedName>
    <definedName name="jjjjjjjjjjjjjjjjjjjj">#REF!</definedName>
    <definedName name="jjkjkjk">{#N/A,#N/A,FALSE,"Plan1";#N/A,#N/A,FALSE,"Plan2"}</definedName>
    <definedName name="JKDCK">{#N/A,#N/A,FALSE,"Plan1";#N/A,#N/A,FALSE,"Plan2"}</definedName>
    <definedName name="JKDFHKHFR">{#N/A,#N/A,FALSE,"Plan1";#N/A,#N/A,FALSE,"Plan2"}</definedName>
    <definedName name="JKDFTRDRJ">{#N/A,#N/A,FALSE,"Plan1";#N/A,#N/A,FALSE,"Plan2"}</definedName>
    <definedName name="jkdhfukhddf">{#N/A,#N/A,FALSE,"Plan1";#N/A,#N/A,FALSE,"Plan2"}</definedName>
    <definedName name="JKDRKGJHTDR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>{#N/A,#N/A,FALSE,"Plan1";#N/A,#N/A,FALSE,"Plan2"}</definedName>
    <definedName name="jkfhjgkfhghh">{#N/A,#N/A,FALSE,"Plan1";#N/A,#N/A,FALSE,"Plan2"}</definedName>
    <definedName name="jkhderjkhes">{#N/A,#N/A,FALSE,"Plan1";#N/A,#N/A,FALSE,"Plan2"}</definedName>
    <definedName name="jkhdfhfd">{#N/A,#N/A,FALSE,"Plan1";#N/A,#N/A,FALSE,"Plan2"}</definedName>
    <definedName name="jkhfhest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>{#N/A,#N/A,FALSE,"Plan1";#N/A,#N/A,FALSE,"Plan2"}</definedName>
    <definedName name="JKHGDHFUHTG">{#N/A,#N/A,FALSE,"Plan1";#N/A,#N/A,FALSE,"Plan2"}</definedName>
    <definedName name="jkhsdzjkfyiu">{#N/A,#N/A,FALSE,"Plan1";#N/A,#N/A,FALSE,"Plan2"}</definedName>
    <definedName name="jkjsdkhfdhrf">{#N/A,#N/A,FALSE,"Plan1";#N/A,#N/A,FALSE,"Plan2"}</definedName>
    <definedName name="jklgfsjgtjtg">{#N/A,#N/A,FALSE,"Plan1";#N/A,#N/A,FALSE,"Plan2"}</definedName>
    <definedName name="jksldfjsdhf">{#N/A,#N/A,FALSE,"Plan1";#N/A,#N/A,FALSE,"Plan2"}</definedName>
    <definedName name="jkxhcjkhfr">{#N/A,#N/A,FALSE,"Plan1";#N/A,#N/A,FALSE,"Plan2"}</definedName>
    <definedName name="JNGCKFKJFGH">{#N/A,#N/A,FALSE,"Plan1";#N/A,#N/A,FALSE,"Plan2"}</definedName>
    <definedName name="JOALDO">#REF!</definedName>
    <definedName name="joao_cdi">#REF!</definedName>
    <definedName name="joao_hist">#REF!</definedName>
    <definedName name="joao_uss">#REF!</definedName>
    <definedName name="JREJRW">{#N/A,#N/A,FALSE,"Plan1";#N/A,#N/A,FALSE,"Plan2"}</definedName>
    <definedName name="JSADKAH">{"Econ Consolidado",#N/A,FALSE,"Econ Consol";"Fluxo de Caixa",#N/A,FALSE,"Fluxo Caixa";"Investimentos",#N/A,FALSE,"Investimentos"}</definedName>
    <definedName name="JSDAJRE">{#N/A,#N/A,FALSE,"Plan1";#N/A,#N/A,FALSE,"Plan2"}</definedName>
    <definedName name="jsdffse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>{#N/A,#N/A,FALSE,"Plan1";#N/A,#N/A,FALSE,"Plan2"}</definedName>
    <definedName name="jsdfkgnfr">#REF!</definedName>
    <definedName name="jsdfsdfd">{#N/A,#N/A,FALSE,"Plan1";#N/A,#N/A,FALSE,"Plan2"}</definedName>
    <definedName name="jsdljficd">{#N/A,#N/A,FALSE,"Plan1";#N/A,#N/A,FALSE,"Plan2"}</definedName>
    <definedName name="JSDTLFJDRG">{#N/A,#N/A,FALSE,"Plan1";#N/A,#N/A,FALSE,"Plan2"}</definedName>
    <definedName name="jsfjsjferwea">{#N/A,#N/A,FALSE,"Plan1";#N/A,#N/A,FALSE,"Plan2"}</definedName>
    <definedName name="jslrjer">{#N/A,#N/A,FALSE,"Plan1";#N/A,#N/A,FALSE,"Plan2"}</definedName>
    <definedName name="juklhkhdf">{#N/A,#N/A,FALSE,"Plan1";#N/A,#N/A,FALSE,"Plan2"}</definedName>
    <definedName name="jul17RJ">#REF!</definedName>
    <definedName name="JULHO">#REF!</definedName>
    <definedName name="JULHO2001">#REF!</definedName>
    <definedName name="JULHO99">{#N/A,#N/A,TRUE,"Quinzena 01 à 15-04-98 "}</definedName>
    <definedName name="jun17RJ">#REF!</definedName>
    <definedName name="JUNHO">#REF!</definedName>
    <definedName name="JUNHO2001">#REF!</definedName>
    <definedName name="JurosTpMes">#REF!</definedName>
    <definedName name="jwekljd">{#N/A,#N/A,FALSE,"Plan1";#N/A,#N/A,FALSE,"Plan2"}</definedName>
    <definedName name="JWEOITORU5Y">{#N/A,#N/A,FALSE,"Plan1";#N/A,#N/A,FALSE,"Plan2"}</definedName>
    <definedName name="jxdfjsrf">{#N/A,#N/A,FALSE,"Plan1";#N/A,#N/A,FALSE,"Plan2"}</definedName>
    <definedName name="jxdklfjv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Y">#REF!</definedName>
    <definedName name="jzsdjkszl">{#N/A,#N/A,FALSE,"Plan1";#N/A,#N/A,FALSE,"Plan2"}</definedName>
    <definedName name="JZXFKLJLDJF">{#N/A,#N/A,FALSE,"Plan1";#N/A,#N/A,FALSE,"Plan2"}</definedName>
    <definedName name="jzxklfdlvgfg">{#N/A,#N/A,FALSE,"Plan1";#N/A,#N/A,FALSE,"Plan2"}</definedName>
    <definedName name="k">{#N/A,#N/A,FALSE,"Plan1";#N/A,#N/A,FALSE,"Plan2"}</definedName>
    <definedName name="K_1">#REF!</definedName>
    <definedName name="kaedkroswr">{"Econ Consolidado",#N/A,FALSE,"Econ Consol";"Fluxo de Caixa",#N/A,FALSE,"Fluxo Caixa";"Investimentos",#N/A,FALSE,"Investimentos"}</definedName>
    <definedName name="kapa">#REF!</definedName>
    <definedName name="kç\lKçaksdçaqew" hidden="1">{#N/A,#N/A,FALSE,"Plan1";#N/A,#N/A,FALSE,"Plan2"}</definedName>
    <definedName name="kçdasekr">{#N/A,#N/A,FALSE,"Plan1";#N/A,#N/A,FALSE,"Plan2"}</definedName>
    <definedName name="kçfdljtredr">{#N/A,#N/A,FALSE,"Plan1";#N/A,#N/A,FALSE,"Plan2"}</definedName>
    <definedName name="KCIVIL">#REF!</definedName>
    <definedName name="kclçkglf">{#N/A,#N/A,FALSE,"Plan1";#N/A,#N/A,FALSE,"Plan2"}</definedName>
    <definedName name="kçlkasçkere">{#N/A,#N/A,FALSE,"Plan1";#N/A,#N/A,FALSE,"Plan2"}</definedName>
    <definedName name="kdfbngtjkbf">{#N/A,#N/A,FALSE,"Plan1";#N/A,#N/A,FALSE,"Plan2"}</definedName>
    <definedName name="kdfhkghkrh">{#N/A,#N/A,FALSE,"Plan1";#N/A,#N/A,FALSE,"Plan2"}</definedName>
    <definedName name="kdfier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>{#N/A,#N/A,FALSE,"Plan1";#N/A,#N/A,FALSE,"Plan2"}</definedName>
    <definedName name="kdfljlfr">{#N/A,#N/A,FALSE,"Plan1";#N/A,#N/A,FALSE,"Plan2"}</definedName>
    <definedName name="kdhfgkdfhytgu">{#N/A,#N/A,FALSE,"Plan1";#N/A,#N/A,FALSE,"Plan2"}</definedName>
    <definedName name="kdhgftfg">{#N/A,#N/A,FALSE,"Plan1";#N/A,#N/A,FALSE,"Plan2"}</definedName>
    <definedName name="KDHKFGKKHGF">{#N/A,#N/A,FALSE,"Plan1";#N/A,#N/A,FALSE,"Plan2"}</definedName>
    <definedName name="kdjfdr">#REF!</definedName>
    <definedName name="kdjgkfjgd">{#N/A,#N/A,FALSE,"Plan1";#N/A,#N/A,FALSE,"Plan2"}</definedName>
    <definedName name="kdjglkdlgjd">{#N/A,#N/A,FALSE,"Plan1";#N/A,#N/A,FALSE,"Plan2"}</definedName>
    <definedName name="kdjsfkldjgkty">{#N/A,#N/A,FALSE,"Plan1";#N/A,#N/A,FALSE,"Plan2"}</definedName>
    <definedName name="KDJU">{"'장비'!$A$3:$M$12"}</definedName>
    <definedName name="kdkjhgdkfhjk">{#N/A,#N/A,FALSE,"Plan1";#N/A,#N/A,FALSE,"Plan2"}</definedName>
    <definedName name="kdsf">{#N/A,#N/A,FALSE,"Plan1";#N/A,#N/A,FALSE,"Plan2"}</definedName>
    <definedName name="kdsr">{#N/A,#N/A,FALSE,"Plan1";#N/A,#N/A,FALSE,"Plan2"}</definedName>
    <definedName name="kergtfdstr">{#N/A,#N/A,FALSE,"Plan1";#N/A,#N/A,FALSE,"Plan2"}</definedName>
    <definedName name="kesp">#REF!</definedName>
    <definedName name="KFDKTHGT">{#N/A,#N/A,FALSE,"Plan1";#N/A,#N/A,FALSE,"Plan2"}</definedName>
    <definedName name="kfdxlfdzs">{"Econ Consolidado",#N/A,FALSE,"Econ Consol";"Fluxo de Caixa",#N/A,FALSE,"Fluxo Caixa";"Investimentos",#N/A,FALSE,"Investimentos"}</definedName>
    <definedName name="kfgkhjkjhy">{#N/A,#N/A,FALSE,"Plan1";#N/A,#N/A,FALSE,"Plan2"}</definedName>
    <definedName name="KFJFDSDF">{#N/A,#N/A,FALSE,"Plan1";#N/A,#N/A,FALSE,"Plan2"}</definedName>
    <definedName name="kfnkeasd">{#N/A,#N/A,FALSE,"Plan1";#N/A,#N/A,FALSE,"Plan2"}</definedName>
    <definedName name="khdjkfkjhtg">{#N/A,#N/A,FALSE,"Plan1";#N/A,#N/A,FALSE,"Plan2"}</definedName>
    <definedName name="khdkfjhhfsdg">{#N/A,#N/A,FALSE,"Plan1";#N/A,#N/A,FALSE,"Plan2"}</definedName>
    <definedName name="khdkjfhgudytu">{#N/A,#N/A,FALSE,"Plan1";#N/A,#N/A,FALSE,"Plan2"}</definedName>
    <definedName name="khfdghhhgd">{#N/A,#N/A,FALSE,"Plan1";#N/A,#N/A,FALSE,"Plan2"}</definedName>
    <definedName name="khfdkjhsdjf">{#N/A,#N/A,FALSE,"Plan1";#N/A,#N/A,FALSE,"Plan2"}</definedName>
    <definedName name="khgdkftfy">{#N/A,#N/A,FALSE,"Plan1";#N/A,#N/A,FALSE,"Plan2"}</definedName>
    <definedName name="khgfhhtuhf">{#N/A,#N/A,FALSE,"Plan1";#N/A,#N/A,FALSE,"Plan2"}</definedName>
    <definedName name="khjkh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>{#N/A,#N/A,FALSE,"Plan1";#N/A,#N/A,FALSE,"Plan2"}</definedName>
    <definedName name="kieret">{#N/A,#N/A,FALSE,"Plan1";#N/A,#N/A,FALSE,"Plan2"}</definedName>
    <definedName name="kiweokwr">#REF!</definedName>
    <definedName name="kjchkfhsezk">{#N/A,#N/A,FALSE,"Plan1";#N/A,#N/A,FALSE,"Plan2"}</definedName>
    <definedName name="kjdghksef">{#N/A,#N/A,FALSE,"Plan1";#N/A,#N/A,FALSE,"Plan2"}</definedName>
    <definedName name="kjdkftyhtert">{#N/A,#N/A,FALSE,"Plan1";#N/A,#N/A,FALSE,"Plan2"}</definedName>
    <definedName name="kjdlfkjds">{#N/A,#N/A,FALSE,"Plan1";#N/A,#N/A,FALSE,"Plan2"}</definedName>
    <definedName name="kjdzhfytrfy">{#N/A,#N/A,FALSE,"Plan1";#N/A,#N/A,FALSE,"Plan2"}</definedName>
    <definedName name="kjhdfgjthdft">{#N/A,#N/A,FALSE,"Plan1";#N/A,#N/A,FALSE,"Plan2"}</definedName>
    <definedName name="kjhsdfk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>{#N/A,#N/A,FALSE,"Plan1";#N/A,#N/A,FALSE,"Plan2"}</definedName>
    <definedName name="KJ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>{#N/A,#N/A,FALSE,"Plan1";#N/A,#N/A,FALSE,"Plan2"}</definedName>
    <definedName name="kjl">{#N/A,#N/A,FALSE,"ENG'G(보호계전기)"}</definedName>
    <definedName name="KJOI">{#N/A,#N/A,FALSE,"Plan1";#N/A,#N/A,FALSE,"Plan2"}</definedName>
    <definedName name="kjqwerw">{#N/A,#N/A,FALSE,"Plan1";#N/A,#N/A,FALSE,"Plan2"}</definedName>
    <definedName name="kjsfert">{#N/A,#N/A,FALSE,"Plan1";#N/A,#N/A,FALSE,"Plan2"}</definedName>
    <definedName name="KJXCFKR">{#N/A,#N/A,FALSE,"Plan1";#N/A,#N/A,FALSE,"Plan2"}</definedName>
    <definedName name="KJXDFD">{#N/A,#N/A,FALSE,"Plan1";#N/A,#N/A,FALSE,"Plan2"}</definedName>
    <definedName name="kjydhfkjghkjfh">#REF!</definedName>
    <definedName name="kk">#REF!</definedName>
    <definedName name="kk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>{#N/A,#N/A,FALSE,"Plan1";#N/A,#N/A,FALSE,"Plan2"}</definedName>
    <definedName name="kkkkk">{#N/A,#N/A,FALSE,"Plan1";#N/A,#N/A,FALSE,"Plan2"}</definedName>
    <definedName name="kkkkkk">{#N/A,#N/A,FALSE,"Plan1";#N/A,#N/A,FALSE,"Plan2"}</definedName>
    <definedName name="kko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>{#N/A,#N/A,FALSE,"Plan1";#N/A,#N/A,FALSE,"Plan2"}</definedName>
    <definedName name="kksarde">{#N/A,#N/A,FALSE,"Plan1";#N/A,#N/A,FALSE,"Plan2"}</definedName>
    <definedName name="klaskldjsw">{#N/A,#N/A,FALSE,"Plan1";#N/A,#N/A,FALSE,"Plan2"}</definedName>
    <definedName name="klçkop">{#N/A,#N/A,FALSE,"Plan1";#N/A,#N/A,FALSE,"Plan2"}</definedName>
    <definedName name="KLDFNTRDT">{#N/A,#N/A,FALSE,"Plan1";#N/A,#N/A,FALSE,"Plan2"}</definedName>
    <definedName name="klhjsdklhdf">{#N/A,#N/A,FALSE,"Plan1";#N/A,#N/A,FALSE,"Plan2"}</definedName>
    <definedName name="KLHSKLRHWE">{#N/A,#N/A,FALSE,"Plan1";#N/A,#N/A,FALSE,"Plan2"}</definedName>
    <definedName name="KLJASKJD">{#N/A,#N/A,FALSE,"Plan1";#N/A,#N/A,FALSE,"Plan2"}</definedName>
    <definedName name="KLJDXLG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>{#N/A,#N/A,FALSE,"Plan1";#N/A,#N/A,FALSE,"Plan2"}</definedName>
    <definedName name="kljflgjrf">{#N/A,#N/A,FALSE,"Plan1";#N/A,#N/A,FALSE,"Plan2"}</definedName>
    <definedName name="kljgfdfr">{#N/A,#N/A,FALSE,"Plan1";#N/A,#N/A,FALSE,"Plan2"}</definedName>
    <definedName name="kljgfjrt">{#N/A,#N/A,FALSE,"Plan1";#N/A,#N/A,FALSE,"Plan2"}</definedName>
    <definedName name="kljlkdfj">{#N/A,#N/A,FALSE,"Plan1";#N/A,#N/A,FALSE,"Plan2"}</definedName>
    <definedName name="kljsakjfr">{#N/A,#N/A,FALSE,"Plan1";#N/A,#N/A,FALSE,"Plan2"}</definedName>
    <definedName name="kljsdje">{#N/A,#N/A,FALSE,"Plan1";#N/A,#N/A,FALSE,"Plan2"}</definedName>
    <definedName name="kljsfwe">{#N/A,#N/A,FALSE,"Plan1";#N/A,#N/A,FALSE,"Plan2"}</definedName>
    <definedName name="klk">{#N/A,#N/A,FALSE,"Plan1";#N/A,#N/A,FALSE,"Plan2"}</definedName>
    <definedName name="KLKKLKÇJÇ">{#N/A,#N/A,FALSE,"Plan1";#N/A,#N/A,FALSE,"Plan2"}</definedName>
    <definedName name="KLSDFT">{#N/A,#N/A,FALSE,"Plan1";#N/A,#N/A,FALSE,"Plan2"}</definedName>
    <definedName name="KLSDHSJKHF">{#N/A,#N/A,FALSE,"Plan1";#N/A,#N/A,FALSE,"Plan2"}</definedName>
    <definedName name="klsdkre">{#N/A,#N/A,FALSE,"Plan1";#N/A,#N/A,FALSE,"Plan2"}</definedName>
    <definedName name="KLSIDJE">{#N/A,#N/A,FALSE,"Plan1";#N/A,#N/A,FALSE,"Plan2"}</definedName>
    <definedName name="klsjarsf">{#N/A,#N/A,FALSE,"Plan1";#N/A,#N/A,FALSE,"Plan2"}</definedName>
    <definedName name="klsjdwe">#REF!</definedName>
    <definedName name="klxhjfdkhser">{#N/A,#N/A,FALSE,"Plan1";#N/A,#N/A,FALSE,"Plan2"}</definedName>
    <definedName name="kopipnsdfne">{#N/A,#N/A,FALSE,"Plan1";#N/A,#N/A,FALSE,"Plan2"}</definedName>
    <definedName name="kp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>{#N/A,#N/A,FALSE,"Plan1";#N/A,#N/A,FALSE,"Plan2"}</definedName>
    <definedName name="ksdlkfsçzd">{#N/A,#N/A,FALSE,"Plan1";#N/A,#N/A,FALSE,"Plan2"}</definedName>
    <definedName name="KSDNFK">#REF!</definedName>
    <definedName name="ksdoçierfe">{#N/A,#N/A,FALSE,"Plan1";#N/A,#N/A,FALSE,"Plan2"}</definedName>
    <definedName name="ksdtrdrkf">{#N/A,#N/A,FALSE,"Plan1";#N/A,#N/A,FALSE,"Plan2"}</definedName>
    <definedName name="KSFÇJDFJL">{#N/A,#N/A,FALSE,"Plan1";#N/A,#N/A,FALSE,"Plan2"}</definedName>
    <definedName name="ksfhse">{#N/A,#N/A,FALSE,"Plan1";#N/A,#N/A,FALSE,"Plan2"}</definedName>
    <definedName name="KSRKOE">{#N/A,#N/A,FALSE,"Plan1";#N/A,#N/A,FALSE,"Plan2"}</definedName>
    <definedName name="KSWKE">{#N/A,#N/A,FALSE,"Plan1";#N/A,#N/A,FALSE,"Plan2"}</definedName>
    <definedName name="kubus">#REF!</definedName>
    <definedName name="kubus1">#REF!</definedName>
    <definedName name="kysdusf">{#N/A,#N/A,FALSE,"Plan1";#N/A,#N/A,FALSE,"Plan2"}</definedName>
    <definedName name="kzslçdkçle">{#N/A,#N/A,FALSE,"Plan1";#N/A,#N/A,FALSE,"Plan2"}</definedName>
    <definedName name="L_">#REF!</definedName>
    <definedName name="LAEKWRK">{#N/A,#N/A,FALSE,"Plan1";#N/A,#N/A,FALSE,"Plan2"}</definedName>
    <definedName name="laeqwep">#REF!</definedName>
    <definedName name="LAKDEWRF">{#N/A,#N/A,FALSE,"Plan1";#N/A,#N/A,FALSE,"Plan2"}</definedName>
    <definedName name="Lancamentos">#REF!</definedName>
    <definedName name="LARGURA">#REF!</definedName>
    <definedName name="LASÇDSRLF">{#N/A,#N/A,FALSE,"Plan1";#N/A,#N/A,FALSE,"Plan2"}</definedName>
    <definedName name="LASDAKWE">25</definedName>
    <definedName name="lasrlswer">{#N/A,#N/A,FALSE,"Plan1";#N/A,#N/A,FALSE,"Plan2"}</definedName>
    <definedName name="LAZER">#REF!</definedName>
    <definedName name="lbla1">#REF!</definedName>
    <definedName name="lbla10">#REF!</definedName>
    <definedName name="lbla11">#REF!</definedName>
    <definedName name="lbla12">#REF!</definedName>
    <definedName name="lbla13">#REF!</definedName>
    <definedName name="lbla14">#REF!</definedName>
    <definedName name="lbla15">#REF!</definedName>
    <definedName name="lbla16">#REF!</definedName>
    <definedName name="lbla17">#REF!</definedName>
    <definedName name="lbla18">#REF!</definedName>
    <definedName name="lbla19">#REF!</definedName>
    <definedName name="lbla2">#REF!</definedName>
    <definedName name="lbla20">#REF!</definedName>
    <definedName name="lbla21">#REF!</definedName>
    <definedName name="lbla22">#REF!</definedName>
    <definedName name="lbla23">#REF!</definedName>
    <definedName name="lbla24">#REF!</definedName>
    <definedName name="lbla25">#REF!</definedName>
    <definedName name="lbla27">#REF!</definedName>
    <definedName name="lbla28">#REF!</definedName>
    <definedName name="lçadple4r">{#N/A,#N/A,FALSE,"Plan1";#N/A,#N/A,FALSE,"Plan2"}</definedName>
    <definedName name="lçasser">{#N/A,#N/A,FALSE,"Plan1";#N/A,#N/A,FALSE,"Plan2"}</definedName>
    <definedName name="lcdgjtklfrn">{#N/A,#N/A,FALSE,"Plan1";#N/A,#N/A,FALSE,"Plan2"}</definedName>
    <definedName name="lçfklsdkçaer">{#N/A,#N/A,FALSE,"Plan1";#N/A,#N/A,FALSE,"Plan2"}</definedName>
    <definedName name="lçjkgf">{#N/A,#N/A,FALSE,"Plan1";#N/A,#N/A,FALSE,"Plan2"}</definedName>
    <definedName name="LÇJSLDFJ">{#N/A,#N/A,FALSE,"Plan1";#N/A,#N/A,FALSE,"Plan2"}</definedName>
    <definedName name="LÇKÇSDRLK">{#N/A,#N/A,FALSE,"Plan1";#N/A,#N/A,FALSE,"Plan2"}</definedName>
    <definedName name="lçkdfkdstkre">25</definedName>
    <definedName name="lçkl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>{#N/A,#N/A,FALSE,"Plan1";#N/A,#N/A,FALSE,"Plan2"}</definedName>
    <definedName name="lçslrr4r">{#N/A,#N/A,FALSE,"Plan1";#N/A,#N/A,FALSE,"Plan2"}</definedName>
    <definedName name="ldfjgry">{#N/A,#N/A,FALSE,"Plan1";#N/A,#N/A,FALSE,"Plan2"}</definedName>
    <definedName name="ldfjgtilrf">{#N/A,#N/A,FALSE,"Plan1";#N/A,#N/A,FALSE,"Plan2"}</definedName>
    <definedName name="ldk">{#N/A,#N/A,FALSE,"Plan1";#N/A,#N/A,FALSE,"Plan2"}</definedName>
    <definedName name="ldkgkdfjgkh">{#N/A,#N/A,FALSE,"Plan1";#N/A,#N/A,FALSE,"Plan2"}</definedName>
    <definedName name="LDTJGR">{#N/A,#N/A,FALSE,"Plan1";#N/A,#N/A,FALSE,"Plan2"}</definedName>
    <definedName name="Leg">#REF!</definedName>
    <definedName name="legr_cdi">#REF!</definedName>
    <definedName name="legr_hist">#REF!</definedName>
    <definedName name="legr_uss">#REF!</definedName>
    <definedName name="LEKG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EVANTAMENTO">#REF!</definedName>
    <definedName name="lfjdjrt">{#N/A,#N/A,FALSE,"Plan1";#N/A,#N/A,FALSE,"Plan2"}</definedName>
    <definedName name="LI">#REF!</definedName>
    <definedName name="LIDER_OPER">#REF!</definedName>
    <definedName name="lidfjgklruf">{#N/A,#N/A,FALSE,"Plan1";#N/A,#N/A,FALSE,"Plan2"}</definedName>
    <definedName name="LII">#REF!</definedName>
    <definedName name="LIII">#REF!</definedName>
    <definedName name="LIMBO">#REF!</definedName>
    <definedName name="limcount">3</definedName>
    <definedName name="LIN">#REF!</definedName>
    <definedName name="list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A">#REF!</definedName>
    <definedName name="LISTA_CONTAS">#REF!</definedName>
    <definedName name="lista_empresa">OFFSET(INDEX(#REF!,MATCH(#REF!,#REF!,0)),1,0,COUNTA(#REF!)-1)</definedName>
    <definedName name="LISTA_FORNECEDORES">#REF!</definedName>
    <definedName name="LISTSEL">#REF!</definedName>
    <definedName name="listt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V">#REF!</definedName>
    <definedName name="LIX">#REF!</definedName>
    <definedName name="ljdfkgyt">{#N/A,#N/A,FALSE,"Plan1";#N/A,#N/A,FALSE,"Plan2"}</definedName>
    <definedName name="LJDFLJRL">{#N/A,#N/A,FALSE,"Plan1";#N/A,#N/A,FALSE,"Plan2"}</definedName>
    <definedName name="ljsdfrd">{#N/A,#N/A,FALSE,"Plan1";#N/A,#N/A,FALSE,"Plan2"}</definedName>
    <definedName name="LJSFLDJDLKFJG">#REF!</definedName>
    <definedName name="LK">{#N/A,#N/A,TRUE,"Quinzena 01 à 15-04-98 "}</definedName>
    <definedName name="lkasdkeo">{#N/A,#N/A,FALSE,"Plan1";#N/A,#N/A,FALSE,"Plan2"}</definedName>
    <definedName name="lkdeas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>{#N/A,#N/A,FALSE,"Plan1";#N/A,#N/A,FALSE,"Plan2"}</definedName>
    <definedName name="lkfdkçtktr">{#N/A,#N/A,FALSE,"Plan1";#N/A,#N/A,FALSE,"Plan2"}</definedName>
    <definedName name="lkjr4">17</definedName>
    <definedName name="LKSSDKÇ\E" hidden="1">{#N/A,#N/A,FALSE,"Plan1";#N/A,#N/A,FALSE,"Plan2"}</definedName>
    <definedName name="lkt">{#N/A,#N/A,FALSE,"Plan1";#N/A,#N/A,FALSE,"Plan2"}</definedName>
    <definedName name="lktlyklt">{#N/A,#N/A,FALSE,"Plan1";#N/A,#N/A,FALSE,"Plan2"}</definedName>
    <definedName name="LKTTYT">{#N/A,#N/A,FALSE,"Plan1";#N/A,#N/A,FALSE,"Plan2"}</definedName>
    <definedName name="llgg">{#N/A,#N/A,FALSE,"Plan1";#N/A,#N/A,FALSE,"Plan2"}</definedName>
    <definedName name="LLL">{#N/A,#N/A,FALSE,"Plan1";#N/A,#N/A,FALSE,"Plan2"}</definedName>
    <definedName name="LM_AR">{#N/A,#N/A,FALSE,"F-01"}</definedName>
    <definedName name="LM_AT">{#N/A,#N/A,FALSE,"F-01"}</definedName>
    <definedName name="LM_INC">{#N/A,#N/A,FALSE,"F-01"}</definedName>
    <definedName name="LMPAS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CALMENU">#REF!</definedName>
    <definedName name="LOCALOBRA">#REF!</definedName>
    <definedName name="LS">#REF!</definedName>
    <definedName name="LSDFKLDKFTR">{#N/A,#N/A,FALSE,"Plan1";#N/A,#N/A,FALSE,"Plan2"}</definedName>
    <definedName name="lsdjs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>{#N/A,#N/A,FALSE,"Plan1";#N/A,#N/A,FALSE,"Plan2"}</definedName>
    <definedName name="lsdsder">{#N/A,#N/A,FALSE,"Plan1";#N/A,#N/A,FALSE,"Plan2"}</definedName>
    <definedName name="ltj6ljyhdjhngças">{#N/A,#N/A,FALSE,"Plan1";#N/A,#N/A,FALSE,"Plan2"}</definedName>
    <definedName name="LUCRO">#REF!</definedName>
    <definedName name="luis_cdi">#REF!</definedName>
    <definedName name="luis_hist">#REF!</definedName>
    <definedName name="luis_uss">#REF!</definedName>
    <definedName name="LV">#REF!</definedName>
    <definedName name="LVI">#REF!</definedName>
    <definedName name="LVII">#REF!</definedName>
    <definedName name="LVIII">#REF!</definedName>
    <definedName name="lwaeddew">#REF!</definedName>
    <definedName name="LXX">#REF!</definedName>
    <definedName name="LXXI">#REF!</definedName>
    <definedName name="LXXII">#REF!</definedName>
    <definedName name="LXXIII">#REF!</definedName>
    <definedName name="LXXIV">#REF!</definedName>
    <definedName name="LXXIX">#REF!</definedName>
    <definedName name="LXXV">#REF!</definedName>
    <definedName name="LXXVI">#REF!</definedName>
    <definedName name="LXXVII">#REF!</definedName>
    <definedName name="LXXVIII">#REF!</definedName>
    <definedName name="LXXX">#REF!</definedName>
    <definedName name="LXXXI">#REF!</definedName>
    <definedName name="LXXXII">#REF!</definedName>
    <definedName name="LXXXIII">#REF!</definedName>
    <definedName name="LXXXIV">#REF!</definedName>
    <definedName name="LXXXV">#REF!</definedName>
    <definedName name="m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DRI">#REF!</definedName>
    <definedName name="mai17RJ">#REF!</definedName>
    <definedName name="MAIO">#REF!</definedName>
    <definedName name="MAIO2001">#REF!</definedName>
    <definedName name="MAISAP">{#N/A,#N/A,FALSE,"Plan1";#N/A,#N/A,FALSE,"Plan2"}</definedName>
    <definedName name="MANTO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O_DE_OBRA">#REF!</definedName>
    <definedName name="mar17RJ">#REF!</definedName>
    <definedName name="MARCAX">#REF!</definedName>
    <definedName name="MARÇO">#REF!</definedName>
    <definedName name="MARÇO2001">#REF!</definedName>
    <definedName name="martha">#REF!</definedName>
    <definedName name="MASTER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ERIAL">#REF!</definedName>
    <definedName name="mattubcust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>{#N/A,#N/A,FALSE,"Plan1";#N/A,#N/A,FALSE,"Plan2"}</definedName>
    <definedName name="MC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V">#REF!</definedName>
    <definedName name="mdfgtr">{#N/A,#N/A,FALSE,"Plan1";#N/A,#N/A,FALSE,"Plan2"}</definedName>
    <definedName name="MDSÇLFJKJSD">{#N/A,#N/A,FALSE,"Plan1";#N/A,#N/A,FALSE,"Plan2"}</definedName>
    <definedName name="ME">{"HW",#N/A,FALSE,"1998"}</definedName>
    <definedName name="Medido_Fin_Medições">#REF!</definedName>
    <definedName name="melo_cdi">#REF!</definedName>
    <definedName name="melo_hist">#REF!</definedName>
    <definedName name="melo_uss">#REF!</definedName>
    <definedName name="MEMÓRIA">#REF!</definedName>
    <definedName name="memória2">#REF!</definedName>
    <definedName name="mensal">#REF!</definedName>
    <definedName name="MENU">#REF!</definedName>
    <definedName name="MENU1">#REF!</definedName>
    <definedName name="MENU2">#REF!</definedName>
    <definedName name="MENU3">#REF!</definedName>
    <definedName name="MENU4">#REF!</definedName>
    <definedName name="MENU5">#REF!</definedName>
    <definedName name="MENU6">#REF!</definedName>
    <definedName name="MENUBOM">#REF!</definedName>
    <definedName name="MENUEQP">#REF!</definedName>
    <definedName name="MENUFIM">#REF!</definedName>
    <definedName name="MENUMED">#REF!</definedName>
    <definedName name="MENUOBRA">#REF!</definedName>
    <definedName name="MENUOUT">#REF!</definedName>
    <definedName name="MENUOUTRO">#REF!</definedName>
    <definedName name="menures">#REF!</definedName>
    <definedName name="Mês_data_base">#REF!</definedName>
    <definedName name="Mês_Medição_Fin_Medições">#REF!</definedName>
    <definedName name="mes_relatorio">#REF!</definedName>
    <definedName name="Meses">#REF!</definedName>
    <definedName name="MESTRE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eta_venda">#REF!</definedName>
    <definedName name="MetaBP">#REF!</definedName>
    <definedName name="MILENA">#REF!</definedName>
    <definedName name="Minha_Casa_Minha_Vida">#REF!</definedName>
    <definedName name="MLMÇLKJKI">{#N/A,#N/A,FALSE,"Plan1";#N/A,#N/A,FALSE,"Plan2"}</definedName>
    <definedName name="MM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>{"tabela",#N/A,FALSE,"Tabela";"decoração",#N/A,FALSE,"Decor.";"Informações",#N/A,FALSE,"Inform."}</definedName>
    <definedName name="mmmmmmm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>{#N/A,#N/A,FALSE,"Plan1";#N/A,#N/A,FALSE,"Plan2"}</definedName>
    <definedName name="mncvbgcvmc">{#N/A,#N/A,FALSE,"Plan1";#N/A,#N/A,FALSE,"Plan2"}</definedName>
    <definedName name="MNDKZSFNCEA">{#N/A,#N/A,FALSE,"Plan1";#N/A,#N/A,FALSE,"Plan2"}</definedName>
    <definedName name="mnhdshfgfhd">{#N/A,#N/A,FALSE,"Plan1";#N/A,#N/A,FALSE,"Plan2"}</definedName>
    <definedName name="mo">#REF!</definedName>
    <definedName name="mobra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>{#N/A,#N/A,FALSE,"cdi";#N/A,#N/A,FALSE,"debent";#N/A,#N/A,FALSE,"fdos";#N/A,#N/A,FALSE,"resumo"}</definedName>
    <definedName name="Modelo1a">{#N/A,#N/A,FALSE,"cdi";#N/A,#N/A,FALSE,"debent";#N/A,#N/A,FALSE,"fdos";#N/A,#N/A,FALSE,"resumo"}</definedName>
    <definedName name="Modelo2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ódulo">#REF!</definedName>
    <definedName name="mond_cdi">#REF!</definedName>
    <definedName name="mond_hist">#REF!</definedName>
    <definedName name="mond_uss">#REF!</definedName>
    <definedName name="MP">{#N/A,#N/A,FALSE,"CCTV"}</definedName>
    <definedName name="MSDFJKDT">25</definedName>
    <definedName name="MSDRFSWER">{"Econ Consolidado",#N/A,FALSE,"Econ Consol";"Fluxo de Caixa",#N/A,FALSE,"Fluxo Caixa";"Investimentos",#N/A,FALSE,"Investimentos"}</definedName>
    <definedName name="MURBOMB">#REF!</definedName>
    <definedName name="mzshdjshjs">{#N/A,#N/A,FALSE,"Plan1";#N/A,#N/A,FALSE,"Plan2"}</definedName>
    <definedName name="na">{#N/A,#N/A,FALSE,"$170M Cash";#N/A,#N/A,FALSE,"$250M Cash";#N/A,#N/A,FALSE,"$325M Cash"}</definedName>
    <definedName name="ncdgrdhrtg">{#N/A,#N/A,FALSE,"Plan1";#N/A,#N/A,FALSE,"Plan2"}</definedName>
    <definedName name="nchngdfhgdh">{#N/A,#N/A,FALSE,"Plan1";#N/A,#N/A,FALSE,"Plan2"}</definedName>
    <definedName name="NCJFKNGJHF">{#N/A,#N/A,FALSE,"Plan1";#N/A,#N/A,FALSE,"Plan2"}</definedName>
    <definedName name="NDATA">#REF!</definedName>
    <definedName name="ndcxhgdhf">{#N/A,#N/A,FALSE,"Plan1";#N/A,#N/A,FALSE,"Plan2"}</definedName>
    <definedName name="ndfjnjkrhdgt">{#N/A,#N/A,FALSE,"Plan1";#N/A,#N/A,FALSE,"Plan2"}</definedName>
    <definedName name="ndfkghkjthfyst">{#N/A,#N/A,FALSE,"Plan1";#N/A,#N/A,FALSE,"Plan2"}</definedName>
    <definedName name="ndfldslvjnvberugberqubquierbv">#REF!</definedName>
    <definedName name="NDJGKFKGHUFG">{#N/A,#N/A,FALSE,"Plan1";#N/A,#N/A,FALSE,"Plan2"}</definedName>
    <definedName name="ndrjkt">{#N/A,#N/A,FALSE,"Plan1";#N/A,#N/A,FALSE,"Plan2"}</definedName>
    <definedName name="new">{#N/A,#N/A,FALSE,"Global by BU";#N/A,#N/A,FALSE,"U.S. by BU";#N/A,#N/A,FALSE,"Canada by BU";#N/A,#N/A,FALSE,"Europe by BU";#N/A,#N/A,FALSE,"Asia by BU";#N/A,#N/A,FALSE,"Cala by BU"}</definedName>
    <definedName name="NEWNAME">{#N/A,#N/A,FALSE,"CCTV"}</definedName>
    <definedName name="nfgjkhvhfghn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>{#N/A,#N/A,FALSE,"Plan1";#N/A,#N/A,FALSE,"Plan2"}</definedName>
    <definedName name="nh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>{#N/A,#N/A,FALSE,"Plan1";#N/A,#N/A,FALSE,"Plan2"}</definedName>
    <definedName name="NJSDFHERTG">{#N/A,#N/A,FALSE,"Plan1";#N/A,#N/A,FALSE,"Plan2"}</definedName>
    <definedName name="nkfnsskdn">{#N/A,#N/A,FALSE,"Plan1";#N/A,#N/A,FALSE,"Plan2"}</definedName>
    <definedName name="NKJL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">#REF!</definedName>
    <definedName name="nlaksjdwe">{#N/A,#N/A,FALSE,"Plan1";#N/A,#N/A,FALSE,"Plan2"}</definedName>
    <definedName name="nljsdfljfdsfr">{#N/A,#N/A,FALSE,"Plan1";#N/A,#N/A,FALSE,"Plan2"}</definedName>
    <definedName name="nm_k1">#REF!</definedName>
    <definedName name="nm_k2">#REF!</definedName>
    <definedName name="nm_k3">#REF!</definedName>
    <definedName name="nmjdfhxj">{#N/A,#N/A,FALSE,"Plan1";#N/A,#N/A,FALSE,"Plan2"}</definedName>
    <definedName name="nnmn">{#N/A,#N/A,FALSE,"Plan1";#N/A,#N/A,FALSE,"Plan2"}</definedName>
    <definedName name="nnn">{#N/A,#N/A,FALSE,"Plan1";#N/A,#N/A,FALSE,"Plan2"}</definedName>
    <definedName name="nnnnnnnnnnn">{"HW",#N/A,FALSE,"1998"}</definedName>
    <definedName name="NNNNNNNNNNNNNNN">{#N/A,#N/A,FALSE,"Plan1";#N/A,#N/A,FALSE,"Plan2"}</definedName>
    <definedName name="nnnnnnnnnnnnnnnnnnnn">{#N/A,#N/A,FALSE,"Plan1";#N/A,#N/A,FALSE,"Plan2"}</definedName>
    <definedName name="NNXFT">{#N/A,#N/A,FALSE,"Plan1";#N/A,#N/A,FALSE,"Plan2"}</definedName>
    <definedName name="no">#REF!</definedName>
    <definedName name="NOME">#REF!</definedName>
    <definedName name="nome2">#REF!</definedName>
    <definedName name="NOMEITEM">#REF!</definedName>
    <definedName name="NOMEOBRA">#REF!</definedName>
    <definedName name="nov17RJ">#REF!</definedName>
    <definedName name="NOVE">#REF!</definedName>
    <definedName name="NOVEMBRO">#REF!</definedName>
    <definedName name="nsdkfndgfdnatf">{#N/A,#N/A,FALSE,"Plan1";#N/A,#N/A,FALSE,"Plan2"}</definedName>
    <definedName name="nsfljdiljrf">{#N/A,#N/A,FALSE,"Plan1";#N/A,#N/A,FALSE,"Plan2"}</definedName>
    <definedName name="NUCOPIAS">#REF!</definedName>
    <definedName name="NUMOBRA">#REF!</definedName>
    <definedName name="NutN">#REF!</definedName>
    <definedName name="nzxcnnjkd">{#N/A,#N/A,FALSE,"Plan1";#N/A,#N/A,FALSE,"Plan2"}</definedName>
    <definedName name="OAE">#REF!</definedName>
    <definedName name="OBRA">#REF!</definedName>
    <definedName name="Obra_Fin_Medição">#REF!</definedName>
    <definedName name="OBRA_PROJETADO">#REF!</definedName>
    <definedName name="Obra_Rel_Controladoria">#REF!</definedName>
    <definedName name="Obra_Sienge">#REF!</definedName>
    <definedName name="Obra2_Fin_Medição">#REF!</definedName>
    <definedName name="OBRALOC">#REF!</definedName>
    <definedName name="OBRAS">#REF!</definedName>
    <definedName name="Obras_Apoio_Rel_Controladoria">#REF!</definedName>
    <definedName name="OBRAS_REALIZADO">#REF!</definedName>
    <definedName name="OBRASEL">#REF!</definedName>
    <definedName name="odflgj">25</definedName>
    <definedName name="odfuudor">{#N/A,#N/A,FALSE,"Plan1";#N/A,#N/A,FALSE,"Plan2"}</definedName>
    <definedName name="ODH">#REF!</definedName>
    <definedName name="oficial_mes">#REF!</definedName>
    <definedName name="oficial2_mes">#REF!</definedName>
    <definedName name="oiditrot">{#N/A,#N/A,FALSE,"Plan1";#N/A,#N/A,FALSE,"Plan2"}</definedName>
    <definedName name="oio">{#N/A,#N/A,FALSE,"Plan1";#N/A,#N/A,FALSE,"Plan2"}</definedName>
    <definedName name="OITO">#REF!</definedName>
    <definedName name="oiufioorif">#REF!</definedName>
    <definedName name="OJÇLJ">{#N/A,#N/A,FALSE,"Plan1";#N/A,#N/A,FALSE,"Plan2"}</definedName>
    <definedName name="ojkdfit">{#N/A,#N/A,FALSE,"Plan1";#N/A,#N/A,FALSE,"Plan2"}</definedName>
    <definedName name="oMISSOS">#REF!</definedName>
    <definedName name="ONZE">#REF!</definedName>
    <definedName name="ooo">{#N/A,#N/A,FALSE,"Plan1";#N/A,#N/A,FALSE,"Plan2"}</definedName>
    <definedName name="OPASEDWED">{"Econ Consolidado",#N/A,FALSE,"Econ Consol";"Fluxo de Caixa",#N/A,FALSE,"Fluxo Caixa";"Investimentos",#N/A,FALSE,"Investimentos"}</definedName>
    <definedName name="opcao_taxa_desconto">#REF!</definedName>
    <definedName name="opções">#REF!</definedName>
    <definedName name="opiwre">{#N/A,#N/A,FALSE,"Plan1";#N/A,#N/A,FALSE,"Plan2"}</definedName>
    <definedName name="ORCAMEN">#REF!</definedName>
    <definedName name="Orcamentistas">#REF!</definedName>
    <definedName name="origem_recebiveis">#REF!</definedName>
    <definedName name="origem_unidades">#REF!</definedName>
    <definedName name="Origem2_Recebimento_Fin_Medições">#REF!</definedName>
    <definedName name="os">{#N/A,#N/A,FALSE,"TABLE"}</definedName>
    <definedName name="osca_cdi">#REF!</definedName>
    <definedName name="osca_hist">#REF!</definedName>
    <definedName name="osca_uss">#REF!</definedName>
    <definedName name="otodgkrjglsrd">{#N/A,#N/A,FALSE,"Plan1";#N/A,#N/A,FALSE,"Plan2"}</definedName>
    <definedName name="OUERWRSR">{#N/A,#N/A,FALSE,"Plan1";#N/A,#N/A,FALSE,"Plan2"}</definedName>
    <definedName name="out17RJ">#REF!</definedName>
    <definedName name="outro">#REF!</definedName>
    <definedName name="OUTROS">#REF!</definedName>
    <definedName name="OUTROS_CCUSTO">#REF!</definedName>
    <definedName name="Outros_Pisos">#REF!</definedName>
    <definedName name="Outros1">#REF!</definedName>
    <definedName name="OUTUBRO">#REF!</definedName>
    <definedName name="overhaul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oxfo_cdi">#REF!</definedName>
    <definedName name="oxfo_hist">#REF!</definedName>
    <definedName name="oxfo_uss">#REF!</definedName>
    <definedName name="P">#REF!</definedName>
    <definedName name="PA">#REF!</definedName>
    <definedName name="Padrao_A">#REF!</definedName>
    <definedName name="Padrao_B">#REF!</definedName>
    <definedName name="Padrao_C">#REF!</definedName>
    <definedName name="Padrao_D">#REF!</definedName>
    <definedName name="Padrao_E">#REF!</definedName>
    <definedName name="Padrao_F">#REF!</definedName>
    <definedName name="Pagamento_Num">ROW()-Linha_Cabeçalho</definedName>
    <definedName name="Pago_Até_2015_Controladoria">#REF!</definedName>
    <definedName name="Pal_Workbook_GUID">"3HURD34M2XKWJ5V6M4BWCR5Q"</definedName>
    <definedName name="PAP">#REF!</definedName>
    <definedName name="PARAM_FIS_1">#REF!</definedName>
    <definedName name="PARAM_FIS_2">#REF!</definedName>
    <definedName name="ParamValues1">#REF!</definedName>
    <definedName name="ParamValues2">#REF!</definedName>
    <definedName name="Parao_E">#REF!</definedName>
    <definedName name="Parede1">#REF!</definedName>
    <definedName name="Parede2">#REF!</definedName>
    <definedName name="PAREDES">#REF!</definedName>
    <definedName name="PAV">#REF!</definedName>
    <definedName name="PAVILHAO">#REF!</definedName>
    <definedName name="PAVT">#REF!</definedName>
    <definedName name="pçgktr">#REF!</definedName>
    <definedName name="PDER">#REF!</definedName>
    <definedName name="PDIVERS">#REF!</definedName>
    <definedName name="PE">#REF!</definedName>
    <definedName name="PEMD">#REF!</definedName>
    <definedName name="Pendencias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rfura">#REF!</definedName>
    <definedName name="Perímetro_lajão">#REF!</definedName>
    <definedName name="Perímetro_Terreno">#REF!</definedName>
    <definedName name="Perímetro_torre">#REF!</definedName>
    <definedName name="pessoal">#REF!</definedName>
    <definedName name="petro2">#REF!</definedName>
    <definedName name="PhyG">#REF!</definedName>
    <definedName name="PhyGS">#REF!</definedName>
    <definedName name="PI">#REF!</definedName>
    <definedName name="piaz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IEQUIP">#REF!</definedName>
    <definedName name="Pintura">#REF!</definedName>
    <definedName name="PIS_COFINS">#REF!</definedName>
    <definedName name="PisCofins">#REF!</definedName>
    <definedName name="Piso1">#REF!</definedName>
    <definedName name="Piso2">#REF!</definedName>
    <definedName name="PISOS">#REF!</definedName>
    <definedName name="PL">#REF!</definedName>
    <definedName name="PLACAS">{#N/A,#N/A,TRUE,"Quinzena 01 à 15-04-98 "}</definedName>
    <definedName name="Placas_Areas">{#N/A,#N/A,TRUE,"Quinzena 01 à 15-04-98 "}</definedName>
    <definedName name="PLAN">#REF!</definedName>
    <definedName name="plan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>#REF!</definedName>
    <definedName name="Planilha2">#REF!</definedName>
    <definedName name="plasçdeaw">{#N/A,#N/A,FALSE,"Plan1";#N/A,#N/A,FALSE,"Plan2"}</definedName>
    <definedName name="plaslrswe">{#N/A,#N/A,FALSE,"Plan1";#N/A,#N/A,FALSE,"Plan2"}</definedName>
    <definedName name="pls">#REF!</definedName>
    <definedName name="plsearpef">{#N/A,#N/A,FALSE,"Plan1";#N/A,#N/A,FALSE,"Plan2"}</definedName>
    <definedName name="plss">{#N/A,#N/A,FALSE,"Plan1";#N/A,#N/A,FALSE,"Plan2"}</definedName>
    <definedName name="PMUR">#REF!</definedName>
    <definedName name="PN2건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nderações">#REF!</definedName>
    <definedName name="Pós_Chaves">#REF!</definedName>
    <definedName name="pr">#REF!</definedName>
    <definedName name="PRAZO">#REF!</definedName>
    <definedName name="Prazo_da_Estrutura">#REF!</definedName>
    <definedName name="PRAZO_EDITAL">#REF!</definedName>
    <definedName name="Prazo_Obra">#REF!</definedName>
    <definedName name="PRAZO_ORC">#REF!</definedName>
    <definedName name="prazo2">#REF!</definedName>
    <definedName name="PRE">#REF!</definedName>
    <definedName name="PREÇ">OFFSET(#REF!,0,0,COUNTA(#REF!),1)</definedName>
    <definedName name="Preço">ROW()-Linha_Cabeçalho</definedName>
    <definedName name="Previsão_Inicial_abr_16">#REF!</definedName>
    <definedName name="Previsão_Inicial_ago_16">#REF!</definedName>
    <definedName name="Previsão_Inicial_dez_16">#REF!</definedName>
    <definedName name="Previsão_Inicial_fev_16">#REF!</definedName>
    <definedName name="Previsão_Inicial_jan_16">#REF!</definedName>
    <definedName name="Previsão_Inicial_jul_16">#REF!</definedName>
    <definedName name="Previsão_Inicial_jun_16">#REF!</definedName>
    <definedName name="Previsão_Inicial_mai_16">#REF!</definedName>
    <definedName name="Previsão_Inicial_mar_16">#REF!</definedName>
    <definedName name="Previsão_Inicial_nov_16">#REF!</definedName>
    <definedName name="Previsão_Inicial_out_16">#REF!</definedName>
    <definedName name="Previsão_Inicial_set_16">#REF!</definedName>
    <definedName name="Previsão_Vento1">#REF!</definedName>
    <definedName name="Previsto_a_medir_Fin_Medições">#REF!</definedName>
    <definedName name="print">{#N/A,#N/A,FALSE,"$170M Cash";#N/A,#N/A,FALSE,"$250M Cash";#N/A,#N/A,FALSE,"$325M Cash"}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ograma">#REF!</definedName>
    <definedName name="Programaa">#REF!</definedName>
    <definedName name="Projeção_torre">#REF!</definedName>
    <definedName name="projeto_nome_com">IF((COUNTA(#REF!)-2)&gt;1,"TERRENO "&amp;VLOOKUP(#REF!,#REF!,8,0),VLOOKUP(#REF!,#REF!,3,0))</definedName>
    <definedName name="PROPAGANDA">#REF!</definedName>
    <definedName name="ptirigyiotut">{#N/A,#N/A,FALSE,"Plan1";#N/A,#N/A,FALSE,"Plan2"}</definedName>
    <definedName name="PWER3">{#N/A,#N/A,FALSE,"Plan1";#N/A,#N/A,FALSE,"Plan2"}</definedName>
    <definedName name="q">#REF!</definedName>
    <definedName name="QCLIENTE_PCLIENTE">#REF!</definedName>
    <definedName name="QCliente_PCliente1">#REF!</definedName>
    <definedName name="qe">#REF!</definedName>
    <definedName name="qee">#REF!</definedName>
    <definedName name="qkqh1">{#N/A,#N/A,FALSE,"명세표"}</definedName>
    <definedName name="QOAS_POAS">#REF!</definedName>
    <definedName name="QQ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QQ">#REF!:#REF!</definedName>
    <definedName name="QQQQQQQQ">#REF!</definedName>
    <definedName name="QREAL_PCLIENTE">#REF!</definedName>
    <definedName name="QReal_PCliente1">#REF!</definedName>
    <definedName name="QSQWSE">{#N/A,#N/A,FALSE,"Plan1";#N/A,#N/A,FALSE,"Plan2"}</definedName>
    <definedName name="qtd_mensal">#REF!</definedName>
    <definedName name="qtd3esta">#REF!</definedName>
    <definedName name="qtdbase">#REF!</definedName>
    <definedName name="qtdbltub">#REF!</definedName>
    <definedName name="qtdestac">#REF!</definedName>
    <definedName name="qtdsap">#REF!</definedName>
    <definedName name="qtdtub">#REF!</definedName>
    <definedName name="QTNULO">#REF!</definedName>
    <definedName name="QTPADRAO">#REF!</definedName>
    <definedName name="QTRES">#REF!</definedName>
    <definedName name="QuadraE">#REF!</definedName>
    <definedName name="quadrocompar.">#REF!</definedName>
    <definedName name="QUANT">#REF!</definedName>
    <definedName name="Quant_Aptos">#REF!</definedName>
    <definedName name="Quant_Cremalheira">#REF!</definedName>
    <definedName name="Quant_grua">#REF!</definedName>
    <definedName name="Quant_pav_lajão">#REF!</definedName>
    <definedName name="Quant_tipo">#REF!</definedName>
    <definedName name="Quant_torres">#REF!</definedName>
    <definedName name="Quantidade_Elevadores">#REF!</definedName>
    <definedName name="QUANTP">#REF!</definedName>
    <definedName name="QUATRO">#REF!</definedName>
    <definedName name="QUINZE">#REF!</definedName>
    <definedName name="qwdqw">{#N/A,#N/A,FALSE,"Plan1";#N/A,#N/A,FALSE,"Plan2"}</definedName>
    <definedName name="qweqwe">{#N/A,#N/A,FALSE,"Plan1";#N/A,#N/A,FALSE,"Plan2"}</definedName>
    <definedName name="qweqwe4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qwewqe">#REF!</definedName>
    <definedName name="qwqw">#REF!</definedName>
    <definedName name="R.imobAtualiz">#REF!</definedName>
    <definedName name="R_CorretAtualiz">#REF!</definedName>
    <definedName name="R_G.Cobr.Atualiz">#REF!</definedName>
    <definedName name="R_PmaisJAtualiz">#REF!</definedName>
    <definedName name="R_Prev.PerdaAtualiz">#REF!</definedName>
    <definedName name="RADIO">{"HW",#N/A,FALSE,"1998"}</definedName>
    <definedName name="RANGE">#REF!</definedName>
    <definedName name="RANGE1">#REF!</definedName>
    <definedName name="RANGE2">#REF!</definedName>
    <definedName name="RARQIMP">#REF!</definedName>
    <definedName name="RawData">#REF!</definedName>
    <definedName name="RE">#REF!</definedName>
    <definedName name="RECADUC">#REF!</definedName>
    <definedName name="Recebido_Acumulado_2015_Controladoria">#REF!</definedName>
    <definedName name="RE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forsu">#REF!</definedName>
    <definedName name="REL_RJ">#REF!</definedName>
    <definedName name="REL_SP">#REF!</definedName>
    <definedName name="relat3">#REF!</definedName>
    <definedName name="ren">#REF!</definedName>
    <definedName name="REPETIÇÃO">#REF!</definedName>
    <definedName name="ReqC">#REF!</definedName>
    <definedName name="Responsável_Rel_Controladoria">#REF!</definedName>
    <definedName name="resum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">#REF!</definedName>
    <definedName name="RESUMO2">{#N/A,#N/A,TRUE,"Quinzena 01 à 15-04-98 "}</definedName>
    <definedName name="REV">#REF!</definedName>
    <definedName name="RF">{#N/A,#N/A,FALSE,"CCTV"}</definedName>
    <definedName name="rgedrfrgfdg">{#N/A,#N/A,FALSE,"Plan1";#N/A,#N/A,FALSE,"Plan2"}</definedName>
    <definedName name="rhdrmq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I">#REF!</definedName>
    <definedName name="ridbeb">#REF!</definedName>
    <definedName name="RIDCHAF">#REF!</definedName>
    <definedName name="ridres05">#REF!</definedName>
    <definedName name="RIDRES10">#REF!</definedName>
    <definedName name="RIDRES15">#REF!</definedName>
    <definedName name="RiskAfterRecalcMacro">""</definedName>
    <definedName name="RiskAfterSimMacro">""</definedName>
    <definedName name="RiskBeforeRecalcMacro">""</definedName>
    <definedName name="RiskBeforeSimMacro">""</definedName>
    <definedName name="RiskCollectDistributionSamples">2</definedName>
    <definedName name="RiskFixedSeed">1</definedName>
    <definedName name="RiskHasSettings">5</definedName>
    <definedName name="RiskMinimizeOnStart">FALSE</definedName>
    <definedName name="RiskMonitorConvergence">FALSE</definedName>
    <definedName name="RiskMultipleCPUSupportEnabled">TRUE</definedName>
    <definedName name="RiskNumIterations">1000</definedName>
    <definedName name="RiskNumSimulations">1</definedName>
    <definedName name="RiskPauseOnError">FALSE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tandardRecalc">1</definedName>
    <definedName name="RiskSwapState">"True"</definedName>
    <definedName name="RiskUpdateDisplay">FALSE</definedName>
    <definedName name="RiskUseDifferentSeedForEachSim">FALSE</definedName>
    <definedName name="RiskUseFixedSeed">FALSE</definedName>
    <definedName name="RiskUseMultipleCPUs">TRUE</definedName>
    <definedName name="RO">#REF!</definedName>
    <definedName name="Rodapé">#REF!</definedName>
    <definedName name="RODAPÉS">#REF!</definedName>
    <definedName name="ROMANO">#REF!</definedName>
    <definedName name="ROTCOMP">#REF!</definedName>
    <definedName name="ROTIMP">#REF!</definedName>
    <definedName name="ROTRES">#REF!</definedName>
    <definedName name="RQTADUC">#REF!</definedName>
    <definedName name="rqtbeb">#REF!</definedName>
    <definedName name="RQTCHAF">#REF!</definedName>
    <definedName name="RQTDERV">#REF!</definedName>
    <definedName name="rres05">#REF!</definedName>
    <definedName name="RRES10">#REF!</definedName>
    <definedName name="RRES15">#REF!</definedName>
    <definedName name="RRES20">#REF!</definedName>
    <definedName name="RRR">#REF!</definedName>
    <definedName name="rrrrr">{"'장비'!$A$3:$M$12"}</definedName>
    <definedName name="rrrrrrrr">{"'장비'!$A$3:$M$12"}</definedName>
    <definedName name="rrrrrrrrrrr">{#N/A,#N/A,TRUE,"Quinzena 01 à 15-04-98 "}</definedName>
    <definedName name="RSEQ">#REF!</definedName>
    <definedName name="RSUBTOT">#REF!</definedName>
    <definedName name="rtitbeb">#REF!</definedName>
    <definedName name="RTITCHAF">#REF!</definedName>
    <definedName name="rtubos">#REF!</definedName>
    <definedName name="RTYE">{"'장비'!$A$3:$M$12"}</definedName>
    <definedName name="s">#REF!</definedName>
    <definedName name="sa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>{#N/A,#N/A,FALSE,"Plan1";#N/A,#N/A,FALSE,"Plan2"}</definedName>
    <definedName name="sadke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>{#N/A,#N/A,FALSE,"Plan1";#N/A,#N/A,FALSE,"Plan2"}</definedName>
    <definedName name="SADSRTR">{#N/A,#N/A,FALSE,"Plan1";#N/A,#N/A,FALSE,"Plan2"}</definedName>
    <definedName name="sadwde">{#N/A,#N/A,FALSE,"Plan1";#N/A,#N/A,FALSE,"Plan2"}</definedName>
    <definedName name="Salas">#REF!</definedName>
    <definedName name="sanjay">{#N/A,#N/A,FALSE,"TABLE"}</definedName>
    <definedName name="sapata">#REF!</definedName>
    <definedName name="SAPBEXrevision">14</definedName>
    <definedName name="SAPBEXsysID">"BW3"</definedName>
    <definedName name="SAPBEXwbID">"3SO04G3IWYENSZLK6QOKKYLB2"</definedName>
    <definedName name="SAS">{#N/A,#N/A,FALSE,"Plan1";#N/A,#N/A,FALSE,"Plan2"}</definedName>
    <definedName name="sasads">{#N/A,#N/A,FALSE,"Plan1";#N/A,#N/A,FALSE,"Plan2"}</definedName>
    <definedName name="SC">#REF!</definedName>
    <definedName name="sçadldfsfd">25</definedName>
    <definedName name="sda">#REF!</definedName>
    <definedName name="sda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>{#N/A,#N/A,FALSE,"Plan1";#N/A,#N/A,FALSE,"Plan2"}</definedName>
    <definedName name="sdckd">{#N/A,#N/A,FALSE,"Plan1";#N/A,#N/A,FALSE,"Plan2"}</definedName>
    <definedName name="SDDFKSEDE">{#N/A,#N/A,FALSE,"Plan1";#N/A,#N/A,FALSE,"Plan2"}</definedName>
    <definedName name="sddkslker">{#N/A,#N/A,FALSE,"Plan1";#N/A,#N/A,FALSE,"Plan2"}</definedName>
    <definedName name="sdefr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t">#REF!</definedName>
    <definedName name="sdf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>{#N/A,#N/A,FALSE,"Plan1";#N/A,#N/A,FALSE,"Plan2"}</definedName>
    <definedName name="sdfdfc">{#N/A,#N/A,FALSE,"Plan1";#N/A,#N/A,FALSE,"Plan2"}</definedName>
    <definedName name="sdfdf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>{#N/A,#N/A,FALSE,"Plan1";#N/A,#N/A,FALSE,"Plan2"}</definedName>
    <definedName name="sdfdsf">{#N/A,#N/A,FALSE,"Plan1";#N/A,#N/A,FALSE,"Plan2"}</definedName>
    <definedName name="sdfdsf\da" hidden="1">{#N/A,#N/A,FALSE,"Plan1";#N/A,#N/A,FALSE,"Plan2"}</definedName>
    <definedName name="SDFEDRT">{#N/A,#N/A,FALSE,"Plan1";#N/A,#N/A,FALSE,"Plan2"}</definedName>
    <definedName name="sdfer">{#N/A,#N/A,FALSE,"Plan1";#N/A,#N/A,FALSE,"Plan2"}</definedName>
    <definedName name="sdferr">{#N/A,#N/A,FALSE,"Plan1";#N/A,#N/A,FALSE,"Plan2"}</definedName>
    <definedName name="sdfe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>{#N/A,#N/A,FALSE,"Plan1";#N/A,#N/A,FALSE,"Plan2"}</definedName>
    <definedName name="sdfgtr">{#N/A,#N/A,FALSE,"Plan1";#N/A,#N/A,FALSE,"Plan2"}</definedName>
    <definedName name="sdfjdetrt">{#N/A,#N/A,FALSE,"Plan1";#N/A,#N/A,FALSE,"Plan2"}</definedName>
    <definedName name="SDFJDRTJEIDR">{#N/A,#N/A,FALSE,"Plan1";#N/A,#N/A,FALSE,"Plan2"}</definedName>
    <definedName name="sdfjergtij">{#N/A,#N/A,FALSE,"Plan1";#N/A,#N/A,FALSE,"Plan2"}</definedName>
    <definedName name="SDFOPJKWE">{#N/A,#N/A,FALSE,"Plan1";#N/A,#N/A,FALSE,"Plan2"}</definedName>
    <definedName name="sdfrdt5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>{#N/A,#N/A,FALSE,"Plan1";#N/A,#N/A,FALSE,"Plan2"}</definedName>
    <definedName name="SDFRTKK">{#N/A,#N/A,FALSE,"Plan1";#N/A,#N/A,FALSE,"Plan2"}</definedName>
    <definedName name="SDFRTR">{#N/A,#N/A,FALSE,"Plan1";#N/A,#N/A,FALSE,"Plan2"}</definedName>
    <definedName name="sdfry6">{#N/A,#N/A,FALSE,"Plan1";#N/A,#N/A,FALSE,"Plan2"}</definedName>
    <definedName name="sdfsaf">{#N/A,#N/A,FALSE,"Plan1";#N/A,#N/A,FALSE,"Plan2"}</definedName>
    <definedName name="sdfsd">{"'Estimativa de Lançamento-JAN'!$A$1:$AI$85"}</definedName>
    <definedName name="sdfsdfg">{#N/A,#N/A,FALSE,"Plan1";#N/A,#N/A,FALSE,"Plan2"}</definedName>
    <definedName name="SDFSDFK">{#N/A,#N/A,FALSE,"Plan1";#N/A,#N/A,FALSE,"Plan2"}</definedName>
    <definedName name="sdfsdgftret">{#N/A,#N/A,FALSE,"Plan1";#N/A,#N/A,FALSE,"Plan2"}</definedName>
    <definedName name="sdfsdr">1</definedName>
    <definedName name="sdfsf">{#N/A,#N/A,FALSE,"Plan1";#N/A,#N/A,FALSE,"Plan2"}</definedName>
    <definedName name="SDFSFRT">{"Econ Consolidado",#N/A,FALSE,"Econ Consol";"Fluxo de Caixa",#N/A,FALSE,"Fluxo Caixa";"Investimentos",#N/A,FALSE,"Investimentos"}</definedName>
    <definedName name="sdfsr">{#N/A,#N/A,FALSE,"Plan1";#N/A,#N/A,FALSE,"Plan2"}</definedName>
    <definedName name="sdfty">{#N/A,#N/A,FALSE,"Plan1";#N/A,#N/A,FALSE,"Plan2"}</definedName>
    <definedName name="sdgdf">{#N/A,#N/A,FALSE,"Plan1";#N/A,#N/A,FALSE,"Plan2"}</definedName>
    <definedName name="sdgfrt">{#N/A,#N/A,FALSE,"Plan1";#N/A,#N/A,FALSE,"Plan2"}</definedName>
    <definedName name="sdgft">{#N/A,#N/A,FALSE,"Plan1";#N/A,#N/A,FALSE,"Plan2"}</definedName>
    <definedName name="sdgt">{#N/A,#N/A,FALSE,"Plan1";#N/A,#N/A,FALSE,"Plan2"}</definedName>
    <definedName name="sdgtry">#REF!</definedName>
    <definedName name="sdhfghdsfg">{#N/A,#N/A,FALSE,"Plan1";#N/A,#N/A,FALSE,"Plan2"}</definedName>
    <definedName name="SDHFJKHDFJRE">{#N/A,#N/A,FALSE,"Plan1";#N/A,#N/A,FALSE,"Plan2"}</definedName>
    <definedName name="SDHKFDRKGTR">{#N/A,#N/A,FALSE,"Plan1";#N/A,#N/A,FALSE,"Plan2"}</definedName>
    <definedName name="sdjdswger">{#N/A,#N/A,FALSE,"Plan1";#N/A,#N/A,FALSE,"Plan2"}</definedName>
    <definedName name="sdjfdf">{#N/A,#N/A,FALSE,"Plan1";#N/A,#N/A,FALSE,"Plan2"}</definedName>
    <definedName name="sdjfhdjk">{#N/A,#N/A,FALSE,"Plan1";#N/A,#N/A,FALSE,"Plan2"}</definedName>
    <definedName name="SDJFJDER">{#N/A,#N/A,FALSE,"Plan1";#N/A,#N/A,FALSE,"Plan2"}</definedName>
    <definedName name="sdjflsdjfl">{#N/A,#N/A,FALSE,"Plan1";#N/A,#N/A,FALSE,"Plan2"}</definedName>
    <definedName name="SDJHF">{#N/A,#N/A,FALSE,"Plan1";#N/A,#N/A,FALSE,"Plan2"}</definedName>
    <definedName name="sdjrderertrr">{#N/A,#N/A,FALSE,"Plan1";#N/A,#N/A,FALSE,"Plan2"}</definedName>
    <definedName name="sdkdjk">{#N/A,#N/A,FALSE,"Plan1";#N/A,#N/A,FALSE,"Plan2"}</definedName>
    <definedName name="sdkfjhkdgfhk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>{#N/A,#N/A,FALSE,"Plan1";#N/A,#N/A,FALSE,"Plan2"}</definedName>
    <definedName name="sdkk">{#N/A,#N/A,FALSE,"Plan1";#N/A,#N/A,FALSE,"Plan2"}</definedName>
    <definedName name="sdlfsdflj">{#N/A,#N/A,FALSE,"Plan1";#N/A,#N/A,FALSE,"Plan2"}</definedName>
    <definedName name="sdmfmdfsgfd">{#N/A,#N/A,FALSE,"Plan1";#N/A,#N/A,FALSE,"Plan2"}</definedName>
    <definedName name="sd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>{#N/A,#N/A,FALSE,"Plan1";#N/A,#N/A,FALSE,"Plan2"}</definedName>
    <definedName name="sdsd">{#N/A,#N/A,FALSE,"Plan1";#N/A,#N/A,FALSE,"Plan2"}</definedName>
    <definedName name="sdser">{#N/A,#N/A,FALSE,"Plan1";#N/A,#N/A,FALSE,"Plan2"}</definedName>
    <definedName name="sdsre">{#N/A,#N/A,FALSE,"Plan1";#N/A,#N/A,FALSE,"Plan2"}</definedName>
    <definedName name="sdss">{#N/A,#N/A,FALSE,"Plan1";#N/A,#N/A,FALSE,"Plan2"}</definedName>
    <definedName name="sdtrtg">#REF!</definedName>
    <definedName name="sdusi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>{"Econ Consolidado",#N/A,FALSE,"Econ Consol";"Fluxo de Caixa",#N/A,FALSE,"Fluxo Caixa";"Investimentos",#N/A,FALSE,"Investimentos"}</definedName>
    <definedName name="sdxfrt">{#N/A,#N/A,FALSE,"Plan1";#N/A,#N/A,FALSE,"Plan2"}</definedName>
    <definedName name="SDZFERF">{#N/A,#N/A,FALSE,"Plan1";#N/A,#N/A,FALSE,"Plan2"}</definedName>
    <definedName name="se">#REF!</definedName>
    <definedName name="SEDE">#REF!</definedName>
    <definedName name="sefret4r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">#REF!</definedName>
    <definedName name="segftru">{#N/A,#N/A,FALSE,"Plan1";#N/A,#N/A,FALSE,"Plan2"}</definedName>
    <definedName name="SegmentaçãodeDados_UF1">""</definedName>
    <definedName name="SegmentaçãodeDados_UF11">""</definedName>
    <definedName name="SegmentaçãodeDados_UF12">""</definedName>
    <definedName name="SEIS">#REF!</definedName>
    <definedName name="sencount">3</definedName>
    <definedName name="SEQUENCIA">#REF!</definedName>
    <definedName name="SEREWRSWE">{"tabela",#N/A,FALSE,"Tabela";"decoração",#N/A,FALSE,"Decor.";"Informações",#N/A,FALSE,"Inform."}</definedName>
    <definedName name="Set_17">#REF!</definedName>
    <definedName name="SETE">#REF!</definedName>
    <definedName name="SETEMBRO">#REF!</definedName>
    <definedName name="setRJ17">#REF!</definedName>
    <definedName name="severo">#REF!</definedName>
    <definedName name="sf">{#N/A,#N/A,FALSE,"Plan1";#N/A,#N/A,FALSE,"Plan2"}</definedName>
    <definedName name="sfcrer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>{#N/A,#N/A,FALSE,"Plan1";#N/A,#N/A,FALSE,"Plan2"}</definedName>
    <definedName name="sfds">{#N/A,#N/A,FALSE,"Plan1";#N/A,#N/A,FALSE,"Plan2"}</definedName>
    <definedName name="sfdsd">{#N/A,#N/A,FALSE,"Plan1";#N/A,#N/A,FALSE,"Plan2"}</definedName>
    <definedName name="SFDSF">34</definedName>
    <definedName name="sfrsdrgt">{#N/A,#N/A,FALSE,"Plan1";#N/A,#N/A,FALSE,"Plan2"}</definedName>
    <definedName name="SFRT">{#N/A,#N/A,FALSE,"Plan1";#N/A,#N/A,FALSE,"Plan2"}</definedName>
    <definedName name="sfsdferf">{#N/A,#N/A,FALSE,"Plan1";#N/A,#N/A,FALSE,"Plan2"}</definedName>
    <definedName name="sfsdfs">34</definedName>
    <definedName name="SFSDS">{#N/A,#N/A,FALSE,"Plan1";#N/A,#N/A,FALSE,"Plan2"}</definedName>
    <definedName name="SGarantia">#REF!</definedName>
    <definedName name="sgtghty">{#N/A,#N/A,FALSE,"Plan1";#N/A,#N/A,FALSE,"Plan2"}</definedName>
    <definedName name="SH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HARED_FORMULA_0">#REF!</definedName>
    <definedName name="SHARED_FORMULA_1">#REF!</definedName>
    <definedName name="SHARED_FORMULA_10">#REF!</definedName>
    <definedName name="SHARED_FORMULA_11">#REF!</definedName>
    <definedName name="SHARED_FORMULA_12">#REF!</definedName>
    <definedName name="SHARED_FORMULA_13">#REF!</definedName>
    <definedName name="SHARED_FORMULA_14">#REF!</definedName>
    <definedName name="SHARED_FORMULA_15">#REF!</definedName>
    <definedName name="SHARED_FORMULA_16">#REF!</definedName>
    <definedName name="SHARED_FORMULA_17">#REF!</definedName>
    <definedName name="SHARED_FORMULA_18">#REF!</definedName>
    <definedName name="SHARED_FORMULA_19">#REF!</definedName>
    <definedName name="SHARED_FORMULA_2">#REF!</definedName>
    <definedName name="SHARED_FORMULA_20">#REF!</definedName>
    <definedName name="SHARED_FORMULA_21">#REF!</definedName>
    <definedName name="SHARED_FORMULA_22">#REF!</definedName>
    <definedName name="SHARED_FORMULA_23">#REF!</definedName>
    <definedName name="SHARED_FORMULA_24">#REF!</definedName>
    <definedName name="SHARED_FORMULA_25">#REF!</definedName>
    <definedName name="SHARED_FORMULA_26">#REF!</definedName>
    <definedName name="SHARED_FORMULA_27">#REF!</definedName>
    <definedName name="SHARED_FORMULA_28">#REF!</definedName>
    <definedName name="SHARED_FORMULA_29">#REF!</definedName>
    <definedName name="SHARED_FORMULA_3">#REF!</definedName>
    <definedName name="SHARED_FORMULA_30">#REF!</definedName>
    <definedName name="SHARED_FORMULA_31">#REF!</definedName>
    <definedName name="SHARED_FORMULA_32">#REF!</definedName>
    <definedName name="SHARED_FORMULA_33">#REF!</definedName>
    <definedName name="SHARED_FORMULA_34">#REF!</definedName>
    <definedName name="SHARED_FORMULA_35">#REF!</definedName>
    <definedName name="SHARED_FORMULA_36">#REF!</definedName>
    <definedName name="SHARED_FORMULA_37">#REF!</definedName>
    <definedName name="SHARED_FORMULA_38">#REF!</definedName>
    <definedName name="SHARED_FORMULA_39">#REF!</definedName>
    <definedName name="SHARED_FORMULA_4">#REF!</definedName>
    <definedName name="SHARED_FORMULA_40">#REF!</definedName>
    <definedName name="SHARED_FORMULA_41">#REF!</definedName>
    <definedName name="SHARED_FORMULA_42">#REF!</definedName>
    <definedName name="SHARED_FORMULA_43">#REF!</definedName>
    <definedName name="SHARED_FORMULA_44">#REF!</definedName>
    <definedName name="SHARED_FORMULA_45">#REF!</definedName>
    <definedName name="SHARED_FORMULA_46">#REF!</definedName>
    <definedName name="SHARED_FORMULA_47">#REF!</definedName>
    <definedName name="SHARED_FORMULA_48">#REF!</definedName>
    <definedName name="SHARED_FORMULA_49">#REF!</definedName>
    <definedName name="SHARED_FORMULA_5">#REF!</definedName>
    <definedName name="SHARED_FORMULA_50">#REF!</definedName>
    <definedName name="SHARED_FORMULA_51">#REF!</definedName>
    <definedName name="SHARED_FORMULA_52">#REF!</definedName>
    <definedName name="SHARED_FORMULA_53">#REF!</definedName>
    <definedName name="SHARED_FORMULA_54">#REF!</definedName>
    <definedName name="SHARED_FORMULA_55">#REF!</definedName>
    <definedName name="SHARED_FORMULA_56">#REF!</definedName>
    <definedName name="SHARED_FORMULA_57">#REF!</definedName>
    <definedName name="SHARED_FORMULA_58">#REF!</definedName>
    <definedName name="SHARED_FORMULA_59">#REF!</definedName>
    <definedName name="SHARED_FORMULA_6">#REF!</definedName>
    <definedName name="SHARED_FORMULA_60">#REF!</definedName>
    <definedName name="SHARED_FORMULA_61">#REF!</definedName>
    <definedName name="SHARED_FORMULA_62">#REF!</definedName>
    <definedName name="SHARED_FORMULA_7">#REF!</definedName>
    <definedName name="SHARED_FORMULA_8">#REF!</definedName>
    <definedName name="SHARED_FORMULA_9">#REF!</definedName>
    <definedName name="SIH">#REF!</definedName>
    <definedName name="SISTEM1">#REF!</definedName>
    <definedName name="SISTEM2">#REF!</definedName>
    <definedName name="SIV">#REF!</definedName>
    <definedName name="sjawe">{#N/A,#N/A,FALSE,"Plan1";#N/A,#N/A,FALSE,"Plan2"}</definedName>
    <definedName name="sjdffd">{#N/A,#N/A,FALSE,"Plan1";#N/A,#N/A,FALSE,"Plan2"}</definedName>
    <definedName name="SJDFHDJS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>{#N/A,#N/A,FALSE,"Plan1";#N/A,#N/A,FALSE,"Plan2"}</definedName>
    <definedName name="SJDKJDE">{"Econ Consolidado",#N/A,FALSE,"Econ Consol";"Fluxo de Caixa",#N/A,FALSE,"Fluxo Caixa";"Investimentos",#N/A,FALSE,"Investimentos"}</definedName>
    <definedName name="sjekwjri">{#N/A,#N/A,FALSE,"Plan1";#N/A,#N/A,FALSE,"Plan2"}</definedName>
    <definedName name="sjfkdhsfds">{#N/A,#N/A,FALSE,"Plan1";#N/A,#N/A,FALSE,"Plan2"}</definedName>
    <definedName name="sjkdljslkrje">{#N/A,#N/A,FALSE,"Plan1";#N/A,#N/A,FALSE,"Plan2"}</definedName>
    <definedName name="skadadaszs">{#N/A,#N/A,FALSE,"Plan1";#N/A,#N/A,FALSE,"Plan2"}</definedName>
    <definedName name="SKASH">{#N/A,#N/A,FALSE,"Plan1";#N/A,#N/A,FALSE,"Plan2"}</definedName>
    <definedName name="skldfrde">{#N/A,#N/A,FALSE,"Plan1";#N/A,#N/A,FALSE,"Plan2"}</definedName>
    <definedName name="skosroer">{#N/A,#N/A,FALSE,"Plan1";#N/A,#N/A,FALSE,"Plan2"}</definedName>
    <definedName name="SO">#REF!</definedName>
    <definedName name="solver_lin">0</definedName>
    <definedName name="solver_num">0</definedName>
    <definedName name="solver_rel1">3</definedName>
    <definedName name="solver_rhs1">0</definedName>
    <definedName name="solver_tmp">0</definedName>
    <definedName name="solver_typ">1</definedName>
    <definedName name="solver_val">0</definedName>
    <definedName name="soma">#REF!</definedName>
    <definedName name="sp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>{#N/A,#N/A,FALSE,"Plan1";#N/A,#N/A,FALSE,"Plan2"}</definedName>
    <definedName name="SR">#REF!</definedName>
    <definedName name="SRH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S">#REF!</definedName>
    <definedName name="sssss">#REF!</definedName>
    <definedName name="stake_cury">#REF!</definedName>
    <definedName name="status_projeto">OFFSET(INDEX(#REF!,MATCH(#REF!,#REF!,0)),1,0,COUNTA(#REF!)-1)</definedName>
    <definedName name="SUB_TOTAL_1">#REF!</definedName>
    <definedName name="SUBDER">#REF!</definedName>
    <definedName name="SUBDIV">#REF!</definedName>
    <definedName name="SUBEQP">#REF!</definedName>
    <definedName name="SUBMUR">#REF!</definedName>
    <definedName name="summ">#REF!</definedName>
    <definedName name="susref">#REF!</definedName>
    <definedName name="Swvu.Características.">#REF!</definedName>
    <definedName name="Swvu.Ciclos.">#REF!</definedName>
    <definedName name="Swvu.Custos.">#REF!</definedName>
    <definedName name="Swvu.PLANILHA2.">#REF!</definedName>
    <definedName name="Swvu.Recursos.">#REF!</definedName>
    <definedName name="T_actual">#REF!</definedName>
    <definedName name="t_cc">#REF!</definedName>
    <definedName name="t_KSB1_Transport">#REF!</definedName>
    <definedName name="tab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_GASTOS">#REF!</definedName>
    <definedName name="TABACABAMENTOS">#REF!</definedName>
    <definedName name="tabela">#REF!</definedName>
    <definedName name="Tabela_Atribuição">#REF!</definedName>
    <definedName name="TABELA_DE_REVESTIMENTOS">#REF!</definedName>
    <definedName name="Tabela_Recursos">#REF!</definedName>
    <definedName name="Tabela_Tarefas">#REF!</definedName>
    <definedName name="Tabela1">#REF!</definedName>
    <definedName name="Tabela2">#REF!</definedName>
    <definedName name="tabela3">#REF!</definedName>
    <definedName name="TABREF">#REF!</definedName>
    <definedName name="tania">#REF!</definedName>
    <definedName name="TAUX2">OFFSET(#REF!,0,0,COUNTA(#REF!)+1,1)</definedName>
    <definedName name="TAUX3">OFFSET(#REF!,0,0,COUNTA(#REF!)+1,1)</definedName>
    <definedName name="TAXA_VENTO">#REF!</definedName>
    <definedName name="TAXAS">#REF!</definedName>
    <definedName name="TbDin">OFFSET(#REF!,0,0,COUNTA(#REF!),13)</definedName>
    <definedName name="tc">#REF!</definedName>
    <definedName name="TE">#REF!</definedName>
    <definedName name="TECLA">#REF!</definedName>
    <definedName name="Tendência_Obra_Controladoria">#REF!</definedName>
    <definedName name="TERRENO">#REF!</definedName>
    <definedName name="Test">{"'Edit'!$A$1:$V$2277"}</definedName>
    <definedName name="TESTANDO">{#N/A,#N/A,TRUE,"Quinzena 01 à 15-04-98 "}</definedName>
    <definedName name="teste">#REF!</definedName>
    <definedName name="teste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este3">#REF!</definedName>
    <definedName name="TESTHKEY">#REF!</definedName>
    <definedName name="teto1">#REF!</definedName>
    <definedName name="Teto2">#REF!</definedName>
    <definedName name="tetuytw">#REF!</definedName>
    <definedName name="TextRefCopyRangeCount">1</definedName>
    <definedName name="thjgsergsr">{#N/A,#N/A,FALSE,"Plan1";#N/A,#N/A,FALSE,"Plan2"}</definedName>
    <definedName name="THYJ">{#N/A,#N/A,FALSE,"Plan1";#N/A,#N/A,FALSE,"Plan2"}</definedName>
    <definedName name="tihjgih">{#N/A,#N/A,FALSE,"Plan1";#N/A,#N/A,FALSE,"Plan2"}</definedName>
    <definedName name="TIPO_CTT">#REF!</definedName>
    <definedName name="Tipo_de_Diretoria">#REF!</definedName>
    <definedName name="Tipo_de_Gestao">#REF!</definedName>
    <definedName name="Tipo_de_Padrao">#REF!</definedName>
    <definedName name="Tipo_de_Regiao">#REF!</definedName>
    <definedName name="Tipo_de_Segmento">#REF!</definedName>
    <definedName name="Tipo_de_Status">#REF!</definedName>
    <definedName name="Tipo_de_UF">#REF!</definedName>
    <definedName name="Tipo_de_Unidade_de_Negocio">#REF!</definedName>
    <definedName name="Tipo_do_cliente">#REF!</definedName>
    <definedName name="tipo_subtotal">#REF!</definedName>
    <definedName name="tipobloco">#REF!</definedName>
    <definedName name="titbeb">#REF!</definedName>
    <definedName name="TITCHAF">#REF!</definedName>
    <definedName name="TituloMkt">#REF!</definedName>
    <definedName name="titulos">#REF!</definedName>
    <definedName name="Títulos_impressão_IM">#REF!</definedName>
    <definedName name="TMO">#REF!</definedName>
    <definedName name="TOLTAL2">#REF!</definedName>
    <definedName name="TOT">#REF!</definedName>
    <definedName name="tot3estac">#REF!</definedName>
    <definedName name="TOTAIS">#REF!</definedName>
    <definedName name="Total">#REF!</definedName>
    <definedName name="Total_2016_Rel_Controladoria">#REF!</definedName>
    <definedName name="Total_Parcelas_MAP">#REF!</definedName>
    <definedName name="total_unid">#REF!</definedName>
    <definedName name="TOTAL1">#REF!</definedName>
    <definedName name="TOTAL10">#REF!</definedName>
    <definedName name="TOTAL11">#REF!</definedName>
    <definedName name="TOTAL12">#REF!</definedName>
    <definedName name="TOTAL13">#REF!</definedName>
    <definedName name="TOTAL14">#REF!</definedName>
    <definedName name="TOTAL15">#REF!</definedName>
    <definedName name="TOTAL16">#REF!</definedName>
    <definedName name="TOTAL2">#REF!</definedName>
    <definedName name="TOTAL3">#REF!</definedName>
    <definedName name="TOTAL4">#REF!</definedName>
    <definedName name="TOTAL5">#REF!</definedName>
    <definedName name="TOTAL6">#REF!</definedName>
    <definedName name="TOTAL7">#REF!</definedName>
    <definedName name="TOTAL8">#REF!</definedName>
    <definedName name="TOTAL9">#REF!</definedName>
    <definedName name="TOTALITEM">#REF!</definedName>
    <definedName name="totbase">#REF!</definedName>
    <definedName name="totestaca">#REF!</definedName>
    <definedName name="TOTG">OFFSET(#REF!,0,0,COUNTA(#REF!),1)</definedName>
    <definedName name="totperfura">#REF!</definedName>
    <definedName name="TOTQTS">#REF!</definedName>
    <definedName name="TOTT">OFFSET(#REF!,0,0,COUNTA(#REF!)+1,1)</definedName>
    <definedName name="TR">#REF!</definedName>
    <definedName name="Transferencia1">#REF!</definedName>
    <definedName name="TRES">#REF!</definedName>
    <definedName name="TREZE">#REF!</definedName>
    <definedName name="tri">#REF!</definedName>
    <definedName name="Trimestre_data_base">#REF!</definedName>
    <definedName name="trjyidih">{#N/A,#N/A,FALSE,"Plan1";#N/A,#N/A,FALSE,"Plan2"}</definedName>
    <definedName name="TRP">#REF!</definedName>
    <definedName name="TTT">#REF!</definedName>
    <definedName name="TURNO">#REF!</definedName>
    <definedName name="tuyedjsksj">{#N/A,#N/A,FALSE,"Plan1";#N/A,#N/A,FALSE,"Plan2"}</definedName>
    <definedName name="TX_ADM">#REF!</definedName>
    <definedName name="tx_desconto_real">#REF!</definedName>
    <definedName name="TxAplicMes">#REF!</definedName>
    <definedName name="TxCdiMes">#REF!</definedName>
    <definedName name="TxDescMes">#REF!</definedName>
    <definedName name="TxSecuritizacaoMes">#REF!</definedName>
    <definedName name="TxSfhEco">#REF!</definedName>
    <definedName name="TxSfhMap">#REF!</definedName>
    <definedName name="TXTEQUIP">#REF!</definedName>
    <definedName name="TXTMARCA">#REF!</definedName>
    <definedName name="TXTMOD">#REF!</definedName>
    <definedName name="TXTPOT">#REF!</definedName>
    <definedName name="TYHGFHFHG">{#N/A,#N/A,FALSE,"Plan1";#N/A,#N/A,FALSE,"Plan2"}</definedName>
    <definedName name="u">{#N/A,#N/A,FALSE,"ET-CAPA";#N/A,#N/A,FALSE,"ET-PAG1";#N/A,#N/A,FALSE,"ET-PAG2";#N/A,#N/A,FALSE,"ET-PAG3";#N/A,#N/A,FALSE,"ET-PAG4";#N/A,#N/A,FALSE,"ET-PAG5"}</definedName>
    <definedName name="udhgfhfg">{#N/A,#N/A,FALSE,"Plan1";#N/A,#N/A,FALSE,"Plan2"}</definedName>
    <definedName name="ueiutriuef">{#N/A,#N/A,FALSE,"Plan1";#N/A,#N/A,FALSE,"Plan2"}</definedName>
    <definedName name="UENSIT">#REF!</definedName>
    <definedName name="UENSITS">#REF!</definedName>
    <definedName name="UHGSDUS">{#N/A,#N/A,FALSE,"Plan1";#N/A,#N/A,FALSE,"Plan2"}</definedName>
    <definedName name="UI">#REF!</definedName>
    <definedName name="UIHWER45R">{#N/A,#N/A,FALSE,"Plan1";#N/A,#N/A,FALSE,"Plan2"}</definedName>
    <definedName name="uiosderuiu">{#N/A,#N/A,FALSE,"Plan1";#N/A,#N/A,FALSE,"Plan2"}</definedName>
    <definedName name="UIOURET">{#N/A,#N/A,FALSE,"Plan1";#N/A,#N/A,FALSE,"Plan2"}</definedName>
    <definedName name="uiwuer">{#N/A,#N/A,FALSE,"Plan1";#N/A,#N/A,FALSE,"Plan2"}</definedName>
    <definedName name="UKHDFDSGUDFKD">{#N/A,#N/A,FALSE,"Plan1";#N/A,#N/A,FALSE,"Plan2"}</definedName>
    <definedName name="UM">#REF!</definedName>
    <definedName name="UNI_FILT_OFFSPEC">2</definedName>
    <definedName name="UNI_FILT_ONSPEC">1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QUIP">1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NID">OFFSET(#REF!,0,0,COUNTA(#REF!),1)</definedName>
    <definedName name="unit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niv_cdi">#REF!</definedName>
    <definedName name="univ_hist">#REF!</definedName>
    <definedName name="univ_uss">#REF!</definedName>
    <definedName name="UPS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>{#N/A,#N/A,FALSE,"Plan1";#N/A,#N/A,FALSE,"Plan2"}</definedName>
    <definedName name="V">#REF!</definedName>
    <definedName name="VALIDADE_EXECUÇÃO">#REF!</definedName>
    <definedName name="Valor_PLS_Controladoria">#REF!</definedName>
    <definedName name="Valor_Previsto_Fin_Medições">#REF!</definedName>
    <definedName name="VALOR_REAIS">#REF!</definedName>
    <definedName name="Valor_Recebido_Fin_Medições">#REF!</definedName>
    <definedName name="Valor_Sienge">#REF!</definedName>
    <definedName name="VALOR_VENDA">#REF!</definedName>
    <definedName name="valores_diferidos">#REF!</definedName>
    <definedName name="valve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AOS">#REF!</definedName>
    <definedName name="vdsgfrhgfr">{#N/A,#N/A,FALSE,"Plan1";#N/A,#N/A,FALSE,"Plan2"}</definedName>
    <definedName name="Veiculos">#REF!</definedName>
    <definedName name="VENDA_ADOTADA">#REF!</definedName>
    <definedName name="VENDAFINAL_R">#REF!</definedName>
    <definedName name="VENDAFINAL_U">#REF!</definedName>
    <definedName name="Vendas">#REF!</definedName>
    <definedName name="vendas_">#REF!</definedName>
    <definedName name="VERIFICAR">{#N/A,#N/A,TRUE,"Quinzena 01 à 15-04-98 "}</definedName>
    <definedName name="versao_estudo">#REF!</definedName>
    <definedName name="vfbg">#REF!</definedName>
    <definedName name="vfnijfd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>{#N/A,#N/A,FALSE,"Plan1";#N/A,#N/A,FALSE,"Plan2"}</definedName>
    <definedName name="VI">#REF!</definedName>
    <definedName name="VINTE">#REF!</definedName>
    <definedName name="visao_cashflow">#REF!</definedName>
    <definedName name="visao_VL">#REF!</definedName>
    <definedName name="vl_cd">#REF!</definedName>
    <definedName name="vl_k1">#REF!</definedName>
    <definedName name="vl_k2">#REF!</definedName>
    <definedName name="vl_k3">#REF!</definedName>
    <definedName name="vld_classificacao">IF(#REF!="Ativa",OFFSET(INDEX(rng_list_classificacao,MATCH(#REF!,rng_list_classificacao,0)),1,0,COUNTA(rng_list_classificacao)-1),#REF!)</definedName>
    <definedName name="vld_regional">OFFSET(INDEX(rng_list_regional,MATCH(#REF!,rng_list_regional,0)),1,0,COUNTA(rng_list_regional)-1)</definedName>
    <definedName name="vld_segmento">IF(#REF!="Ativa",OFFSET(INDEX(rng_list_segmento,MATCH(#REF!,rng_list_segmento,0)),1,0,COUNTA(rng_list_segmento)-1),#REF!)</definedName>
    <definedName name="vld_sociedade">OFFSET(INDEX(rng_list_sociedade,MATCH(#REF!,rng_list_sociedade,0)),1,0,COUNTA(rng_list_sociedade)-1)</definedName>
    <definedName name="vld_status_empresa">OFFSET(INDEX(rng_list_status_empresa,MATCH(#REF!,rng_list_status_empresa,0)),1,0,COUNTA(rng_list_status_empresa)-1)</definedName>
    <definedName name="vld_status_lancamento">IF(#REF!="Ativa",OFFSET(INDEX(rng_list_status_lancamento,MATCH(#REF!,rng_list_status_lancamento,0)),1,0,COUNTA(rng_list_status_lancamento)-1),#REF!)</definedName>
    <definedName name="vld_status_projeto">IF(#REF!="Ativa",OFFSET(INDEX(rng_list_status_projeto,MATCH(#REF!,rng_list_status_projeto,0)),1,0,COUNTA(rng_list_status_projeto)-1),#REF!)</definedName>
    <definedName name="vld_status_viabilidade">OFFSET(INDEX(rng_list_status_viabilidade,MATCH(#REF!,rng_list_status_viabilidade,0)),1,0,COUNTA(rng_list_status_viabilidade)-1)</definedName>
    <definedName name="VOLUME1">#REF!</definedName>
    <definedName name="VOLUME2">#REF!</definedName>
    <definedName name="VOLUME3">#REF!</definedName>
    <definedName name="VSDHFGDFGR">{#N/A,#N/A,FALSE,"Plan1";#N/A,#N/A,FALSE,"Plan2"}</definedName>
    <definedName name="vvbb">{"tabela",#N/A,FALSE,"Tabela";"decoração",#N/A,FALSE,"Decor.";"Informações",#N/A,FALSE,"Inform."}</definedName>
    <definedName name="vvcbnb">{#N/A,#N/A,FALSE,"Plan1";#N/A,#N/A,FALSE,"Plan2"}</definedName>
    <definedName name="vvvvv">{"Econ Consolidado",#N/A,FALSE,"Econ Consol";"Fluxo de Caixa",#N/A,FALSE,"Fluxo Caixa";"Investimentos",#N/A,FALSE,"Investimentos"}</definedName>
    <definedName name="vvvvvv">{#N/A,#N/A,FALSE,"Plan1";#N/A,#N/A,FALSE,"Plan2"}</definedName>
    <definedName name="vvvvvvvvvvvvvvvvv">{"HW",#N/A,FALSE,"1998"}</definedName>
    <definedName name="VX">#REF!</definedName>
    <definedName name="w">#REF!</definedName>
    <definedName name="wacc">#REF!</definedName>
    <definedName name="wadalrdjlaev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dewr">#REF!</definedName>
    <definedName name="WE">#REF!</definedName>
    <definedName name="weki_9701.xls">#REF!</definedName>
    <definedName name="wekir9701.xls">#REF!</definedName>
    <definedName name="werw4tr">{#N/A,#N/A,FALSE,"Plan1";#N/A,#N/A,FALSE,"Plan2"}</definedName>
    <definedName name="wetoedjtkdr">{#N/A,#N/A,FALSE,"Plan1";#N/A,#N/A,FALSE,"Plan2"}</definedName>
    <definedName name="WHATS">{"'Edit'!$A$1:$V$2277"}</definedName>
    <definedName name="win.VESSEL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TENS">#REF!</definedName>
    <definedName name="WKJHIR">{#N/A,#N/A,FALSE,"Plan1";#N/A,#N/A,FALSE,"Plan2"}</definedName>
    <definedName name="WLQ">{#N/A,#N/A,FALSE,"명세표"}</definedName>
    <definedName name="WNMLOCAL">#REF!</definedName>
    <definedName name="WNMMUN">#REF!</definedName>
    <definedName name="WNMSERV">#REF!</definedName>
    <definedName name="worl_cdi">#REF!</definedName>
    <definedName name="worl_hist">#REF!</definedName>
    <definedName name="worl_uss">#REF!</definedName>
    <definedName name="WRITE">{#N/A,#N/A,FALSE,"CCTV"}</definedName>
    <definedName name="wrn.BM.">{#N/A,#N/A,FALSE,"CCTV"}</definedName>
    <definedName name="wrn.Brita98.xls.">{#N/A,#N/A,TRUE,"Quinzena 01 à 15-04-98 "}</definedName>
    <definedName name="wrn.Completo.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>{"EconCons",#N/A,TRUE,"Econômico - Consolidado";"CaixaCons",#N/A,TRUE,"Caixa - Consolidado";"InvestCons",#N/A,TRUE,"Invest Consolidado"}</definedName>
    <definedName name="wrn.Consolidado.">{"Econ Consolidado",#N/A,FALSE,"Econ Consol";"Fluxo de Caixa",#N/A,FALSE,"Fluxo Caixa";"Investimentos",#N/A,FALSE,"Investimentos"}</definedName>
    <definedName name="wrn.GERAL.">{#N/A,#N/A,FALSE,"ET-CAPA";#N/A,#N/A,FALSE,"ET-PAG1";#N/A,#N/A,FALSE,"ET-PAG2";#N/A,#N/A,FALSE,"ET-PAG3";#N/A,#N/A,FALSE,"ET-PAG4";#N/A,#N/A,FALSE,"ET-PAG5"}</definedName>
    <definedName name="wrn.HAGE.">{#N/A,#N/A,FALSE,"cdi";#N/A,#N/A,FALSE,"debent";#N/A,#N/A,FALSE,"fdos";#N/A,#N/A,FALSE,"resumo"}</definedName>
    <definedName name="wrn.HAGE01">{#N/A,#N/A,FALSE,"cdi";#N/A,#N/A,FALSE,"debent";#N/A,#N/A,FALSE,"fdos";#N/A,#N/A,FALSE,"resumo"}</definedName>
    <definedName name="wrn.HW.">{"HW",#N/A,FALSE,"1998"}</definedName>
    <definedName name="wrn.imp_flx.">{#N/A,#N/A,FALSE,"CONSOLID";#N/A,#N/A,FALSE,"CIMENTO";#N/A,#N/A,FALSE,"METALURGIA";#N/A,#N/A,FALSE,"PAPEL";#N/A,#N/A,FALSE,"QUÍMICA";#N/A,#N/A,FALSE,"AGROINDL";#N/A,#N/A,FALSE,"OUTROS";#N/A,#N/A,FALSE,"REAL_ORCADO"}</definedName>
    <definedName name="wrn.IMPRESSO.">{#N/A,#N/A,FALSE,"Plan1";#N/A,#N/A,FALSE,"Plan2"}</definedName>
    <definedName name="wrn.Imprimir.">{"tabela",#N/A,FALSE,"Tabela";"decoração",#N/A,FALSE,"Decor.";"Informações",#N/A,FALSE,"Inform."}</definedName>
    <definedName name="wrn.LPU._.MG.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>{#N/A,#N/A,FALSE,"ALVENARIA";#N/A,#N/A,FALSE,"BLOCOS";#N/A,#N/A,FALSE,"CINTAS";#N/A,#N/A,FALSE,"CORTINA";#N/A,#N/A,FALSE,"LAJES";#N/A,#N/A,FALSE,"PILARES";#N/A,#N/A,FALSE,"VIGAS"}</definedName>
    <definedName name="wrn.Month._.Report._.Package.">{#N/A,#N/A,FALSE,"Global Wls Trend";#N/A,#N/A,FALSE,"Region Trend";#N/A,#N/A,FALSE,"PBU Trend"}</definedName>
    <definedName name="wrn.Monthly._.Report._.Package.">{#N/A,#N/A,FALSE,"Global by BU";#N/A,#N/A,FALSE,"U.S. by BU";#N/A,#N/A,FALSE,"Canada by BU";#N/A,#N/A,FALSE,"Europe by BU";#N/A,#N/A,FALSE,"Asia by BU";#N/A,#N/A,FALSE,"Cala by BU"}</definedName>
    <definedName name="wrn.PENDENCIAS.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>{#N/A,#N/A,FALSE,"F-01"}</definedName>
    <definedName name="wrn.Planiha._.de._.Medição._.F._.01._1">{#N/A,#N/A,FALSE,"F-01"}</definedName>
    <definedName name="wrn.Planilha_de_Medição_F_02">{#N/A,#N/A,FALSE,"F-01"}</definedName>
    <definedName name="wrn.print._.all.">{#N/A,#N/A,FALSE,"$170M Cash";#N/A,#N/A,FALSE,"$250M Cash";#N/A,#N/A,FALSE,"$325M Cash"}</definedName>
    <definedName name="wrn.PrintAll.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>{#N/A,#N/A,FALSE,"Sheet1";#N/A,#N/A,FALSE,"Sheet2";#N/A,#N/A,FALSE,"Sheet3"}</definedName>
    <definedName name="wrn.PrintPrev1.">{#N/A,#N/A,FALSE,"Sheet4";#N/A,#N/A,FALSE,"Sheet5";#N/A,#N/A,FALSE,"Sheet6"}</definedName>
    <definedName name="wrn.PrintPrev2.">{#N/A,#N/A,FALSE,"Sheet7";#N/A,#N/A,FALSE,"Sheet8";#N/A,#N/A,FALSE,"Sheet9"}</definedName>
    <definedName name="wrn.Quadros._.relatório.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>{#N/A,#N/A,FALSE,"표지";#N/A,#N/A,FALSE,"목차";#N/A,#N/A,FALSE,"내용1";#N/A,#N/A,FALSE,"내용2";#N/A,#N/A,FALSE,"결론";#N/A,#N/A,FALSE,"첨부";#N/A,#N/A,FALSE,"진공도달시간";#N/A,#N/A,FALSE,"배가스속도"}</definedName>
    <definedName name="wrn.STAFFS.">{#N/A,#N/A,FALSE,"TABLE"}</definedName>
    <definedName name="wrn.TERCEIRO.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>{#N/A,#N/A,FALSE,"명세표"}</definedName>
    <definedName name="wrn.Unidades.">{"Rio Branco",#N/A,FALSE,"Rio Branco";"Itajaí",#N/A,FALSE,"Itajaí";"Pinheiro Machado",#N/A,FALSE,"PMachado";"Esteio",#N/A,FALSE,"Esteio"}</definedName>
    <definedName name="wrn.VESSEL및N2._.구입사양서.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>{#N/A,#N/A,FALSE,"Sheet1";#N/A,#N/A,FALSE,"Sheet2";#N/A,#N/A,FALSE,"TAB96-1"}</definedName>
    <definedName name="wrn.보호계전기.">{#N/A,#N/A,FALSE,"ENG'G(보호계전기)"}</definedName>
    <definedName name="wrn.현장._.NCR._.분석.">{#N/A,#N/A,FALSE,"현장 NCR 분석";#N/A,#N/A,FALSE,"현장품질감사";#N/A,#N/A,FALSE,"현장품질감사"}</definedName>
    <definedName name="wrn1.Cons.">{"EconCons",#N/A,TRUE,"Econômico - Consolidado";"CaixaCons",#N/A,TRUE,"Caixa - Consolidado";"InvestCons",#N/A,TRUE,"Invest Consolidado"}</definedName>
    <definedName name="wrn1.print._.all.">{#N/A,#N/A,FALSE,"$170M Cash";#N/A,#N/A,FALSE,"$250M Cash";#N/A,#N/A,FALSE,"$325M Cash"}</definedName>
    <definedName name="WRS">{"'장비'!$A$3:$M$12"}</definedName>
    <definedName name="wrt">{#N/A,#N/A,FALSE,"$170M Cash";#N/A,#N/A,FALSE,"$250M Cash";#N/A,#N/A,FALSE,"$325M Cash"}</definedName>
    <definedName name="wvu.PLANILHA2.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">#REF!</definedName>
    <definedName name="XALFA">#REF!</definedName>
    <definedName name="XC">#REF!</definedName>
    <definedName name="xcfrt">{#N/A,#N/A,FALSE,"Plan1";#N/A,#N/A,FALSE,"Plan2"}</definedName>
    <definedName name="xcgjkfghf">{#N/A,#N/A,FALSE,"Plan1";#N/A,#N/A,FALSE,"Plan2"}</definedName>
    <definedName name="XCGJKVHFDG">{#N/A,#N/A,FALSE,"Plan1";#N/A,#N/A,FALSE,"Plan2"}</definedName>
    <definedName name="xcgtrty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I">#REF!</definedName>
    <definedName name="XCII">#REF!</definedName>
    <definedName name="XCIII">#REF!</definedName>
    <definedName name="XCIV">#REF!</definedName>
    <definedName name="XCIX">#REF!</definedName>
    <definedName name="xçl">{#N/A,#N/A,FALSE,"Plan1";#N/A,#N/A,FALSE,"Plan2"}</definedName>
    <definedName name="xcndj">{#N/A,#N/A,FALSE,"Plan1";#N/A,#N/A,FALSE,"Plan2"}</definedName>
    <definedName name="XCV">#REF!</definedName>
    <definedName name="XCVGGT">{#N/A,#N/A,FALSE,"Plan1";#N/A,#N/A,FALSE,"Plan2"}</definedName>
    <definedName name="XCVI">#REF!</definedName>
    <definedName name="XCVII">#REF!</definedName>
    <definedName name="XCVIII">#REF!</definedName>
    <definedName name="xcvrg">{#N/A,#N/A,FALSE,"Plan1";#N/A,#N/A,FALSE,"Plan2"}</definedName>
    <definedName name="XDATA">#REF!</definedName>
    <definedName name="xdfef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>{#N/A,#N/A,FALSE,"Plan1";#N/A,#N/A,FALSE,"Plan2"}</definedName>
    <definedName name="xfdlfj">{#N/A,#N/A,FALSE,"Plan1";#N/A,#N/A,FALSE,"Plan2"}</definedName>
    <definedName name="xfdxfdf">{#N/A,#N/A,FALSE,"Plan1";#N/A,#N/A,FALSE,"Plan2"}</definedName>
    <definedName name="XFJKLDJKLGJ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>{#N/A,#N/A,FALSE,"Plan1";#N/A,#N/A,FALSE,"Plan2"}</definedName>
    <definedName name="XFT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>{"Econ Consolidado",#N/A,FALSE,"Econ Consol";"Fluxo de Caixa",#N/A,FALSE,"Fluxo Caixa";"Investimentos",#N/A,FALSE,"Investimentos"}</definedName>
    <definedName name="xfvgcfgt">{#N/A,#N/A,FALSE,"Plan1";#N/A,#N/A,FALSE,"Plan2"}</definedName>
    <definedName name="xgrg">{#N/A,#N/A,FALSE,"Plan1";#N/A,#N/A,FALSE,"Plan2"}</definedName>
    <definedName name="XI">#REF!</definedName>
    <definedName name="XII">#REF!</definedName>
    <definedName name="XIII">#REF!</definedName>
    <definedName name="XITEM">#REF!</definedName>
    <definedName name="XIV">#REF!</definedName>
    <definedName name="XLOC">#REF!</definedName>
    <definedName name="xmght">{#N/A,#N/A,FALSE,"Plan1";#N/A,#N/A,FALSE,"Plan2"}</definedName>
    <definedName name="xnInforme_quantos_bebedouros____bebqt__if_bebqt__0__xlQt.bebedouros_invalida___ENTER_p_reinformar__xresp__branch_rqtderv">#REF!</definedName>
    <definedName name="XNUCOPIAS">#REF!</definedName>
    <definedName name="xo">{#N/A,#N/A,FALSE,"Global by BU";#N/A,#N/A,FALSE,"U.S. by BU";#N/A,#N/A,FALSE,"Canada by BU";#N/A,#N/A,FALSE,"Europe by BU";#N/A,#N/A,FALSE,"Asia by BU";#N/A,#N/A,FALSE,"Cala by BU"}</definedName>
    <definedName name="XREF_COLUMN_1">#REF!</definedName>
    <definedName name="XREF_COLUMN_2">#REF!</definedName>
    <definedName name="XREF_COLUMN_3">#REF!</definedName>
    <definedName name="XREF_COLUMN_4">#REF!</definedName>
    <definedName name="XRefColumnsCount">1</definedName>
    <definedName name="XRefCopy2">#REF!</definedName>
    <definedName name="XRefCopy3Row">#REF!</definedName>
    <definedName name="XRefCopy4Row">#REF!</definedName>
    <definedName name="XRefCopy6">#REF!</definedName>
    <definedName name="XRefCopyRangeCount">1</definedName>
    <definedName name="XRefPaste2">#REF!</definedName>
    <definedName name="XRefPaste4">#REF!</definedName>
    <definedName name="XRefPaste5">#REF!</definedName>
    <definedName name="XRefPaste6">#REF!</definedName>
    <definedName name="XRefPaste7Row">#REF!</definedName>
    <definedName name="XRefPasteRangeCount">1</definedName>
    <definedName name="XRESP">#REF!</definedName>
    <definedName name="XTITRES">#REF!</definedName>
    <definedName name="XV">#REF!</definedName>
    <definedName name="XX">#REF!</definedName>
    <definedName name="XXI">#REF!</definedName>
    <definedName name="XXII">#REF!</definedName>
    <definedName name="XXIII">#REF!</definedName>
    <definedName name="XXIV">#REF!</definedName>
    <definedName name="XXV">#REF!</definedName>
    <definedName name="XXX">#REF!</definedName>
    <definedName name="XXXI">#REF!</definedName>
    <definedName name="XXXII">#REF!</definedName>
    <definedName name="XXXIII">#REF!</definedName>
    <definedName name="XXXIV">#REF!</definedName>
    <definedName name="XXXIX">#REF!</definedName>
    <definedName name="XXXV">#REF!</definedName>
    <definedName name="XXXVI">#REF!</definedName>
    <definedName name="XXXVII">#REF!</definedName>
    <definedName name="XXXVIII">#REF!</definedName>
    <definedName name="xxxx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>#REF!</definedName>
    <definedName name="xxxxxxxxxxxxxx">{#N/A,#N/A,FALSE,"Plan1";#N/A,#N/A,FALSE,"Plan2"}</definedName>
    <definedName name="xzfrt">{#N/A,#N/A,FALSE,"Plan1";#N/A,#N/A,FALSE,"Plan2"}</definedName>
    <definedName name="yeitrtged">{#N/A,#N/A,FALSE,"Plan1";#N/A,#N/A,FALSE,"Plan2"}</definedName>
    <definedName name="yhdfiuygrui">{#N/A,#N/A,FALSE,"Plan1";#N/A,#N/A,FALSE,"Plan2"}</definedName>
    <definedName name="YRGUYDRIY">{"Econ Consolidado",#N/A,FALSE,"Econ Consol";"Fluxo de Caixa",#N/A,FALSE,"Fluxo Caixa";"Investimentos",#N/A,FALSE,"Investimentos"}</definedName>
    <definedName name="ytdju">#REF!</definedName>
    <definedName name="yuegursdmksf">{#N/A,#N/A,FALSE,"Plan1";#N/A,#N/A,FALSE,"Plan2"}</definedName>
    <definedName name="yuekl4fr">{#N/A,#N/A,FALSE,"Plan1";#N/A,#N/A,FALSE,"Plan2"}</definedName>
    <definedName name="yureytuyrea">{#N/A,#N/A,FALSE,"Plan1";#N/A,#N/A,FALSE,"Plan2"}</definedName>
    <definedName name="z">{"'Estimativa de Lançamento-JAN'!$A$1:$AI$85"}</definedName>
    <definedName name="z\djs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_022B7420_7F94_427F_B370_84030F9B3342_.wvu.FilterData" hidden="1">#REF!</definedName>
    <definedName name="Z_04BC043C_175B_412D_8093_6F29CD74FBAE_.wvu.FilterData" hidden="1">#REF!</definedName>
    <definedName name="Z_058B9256_CB4D_4C39_834D_D693FEEB491F_.wvu.FilterData" hidden="1">#REF!</definedName>
    <definedName name="Z_05D1A71D_3B7B_4FB7_8DF3_B8E29CA3927A_.wvu.FilterData" hidden="1">#REF!</definedName>
    <definedName name="Z_07C2CF55_E6DF_411A_AB00_7E155615468C_.wvu.FilterData" hidden="1">#REF!</definedName>
    <definedName name="Z_0B1003A7_69DB_4D5B_966D_57B9E8AF76FB_.wvu.FilterData" hidden="1">#REF!</definedName>
    <definedName name="Z_0C3EE359_64F6_4049_9576_8EACA8563EA4_.wvu.FilterData" hidden="1">#REF!</definedName>
    <definedName name="Z_0D05AC4E_32D3_4985_8208_9776E00AC749_.wvu.FilterData" hidden="1">#REF!</definedName>
    <definedName name="Z_0DB407A0_1449_11D8_ADD1_0060083A646F_.wvu.PrintArea">#REF!</definedName>
    <definedName name="Z_0DC459DE_F68C_4E33_8D1E_F1663ABAC944_.wvu.FilterData" hidden="1">#REF!</definedName>
    <definedName name="Z_0FACBA89_1203_4ED8_87E5_EC1D45B051B7_.wvu.FilterData" hidden="1">#REF!</definedName>
    <definedName name="Z_0FEA3536_5108_4591_BECF_C3181387F85F_.wvu.FilterData" hidden="1">#REF!</definedName>
    <definedName name="Z_0FEFDB42_ECBC_4500_A6C8_FEE3D368790B_.wvu.FilterData" hidden="1">#REF!</definedName>
    <definedName name="Z_110A0651_47C7_408E_B3BF_0C80D30B95FC_.wvu.FilterData" hidden="1">#REF!</definedName>
    <definedName name="Z_128E64DD_BE84_40EE_A6D2_C9B0EB25CBBD_.wvu.FilterData" hidden="1">#REF!</definedName>
    <definedName name="Z_12F2973E_0018_407B_98AD_CD9C5D1F65FA_.wvu.FilterData" hidden="1">#REF!</definedName>
    <definedName name="Z_137DAE61_8A8D_4219_A4CC_0EEC18A94882_.wvu.FilterData" hidden="1">#REF!</definedName>
    <definedName name="Z_13E06FB5_D019_406D_B278_1B53AD2F6386_.wvu.FilterData" hidden="1">#REF!</definedName>
    <definedName name="Z_14D375AC_5615_46DE_8EE3_95915B2A8B54_.wvu.FilterData" hidden="1">#REF!</definedName>
    <definedName name="Z_15697660_066E_11D5_AF15_00010242ED40_.wvu.PrintArea">#REF!</definedName>
    <definedName name="Z_15697660_066E_11D5_AF15_00010242ED40_.wvu.PrintTitles">#REF!</definedName>
    <definedName name="Z_15697660_066E_11D5_AF15_00010242ED40_.wvu.Rows">#REF!</definedName>
    <definedName name="Z_15B5DC78_B02F_4AC6_8572_015040A55619_.wvu.FilterData" hidden="1">#REF!</definedName>
    <definedName name="Z_166D6F0F_4D44_46E7_8C36_48FD4848B5AA_.wvu.FilterData" hidden="1">#REF!</definedName>
    <definedName name="Z_16FAB836_2255_4D4C_90E4_6B46255F3759_.wvu.FilterData" hidden="1">#REF!</definedName>
    <definedName name="Z_198D391C_95CB_49F5_8924_5FEA3CE5C98A_.wvu.FilterData" hidden="1">#REF!</definedName>
    <definedName name="Z_1D9C37CC_3E33_4D4D_B7CD_819F75C83D65_.wvu.FilterData" hidden="1">#REF!</definedName>
    <definedName name="Z_1DF9838C_880D_4C4E_BFFE_89B5894EC40F_.wvu.FilterData" hidden="1">#REF!</definedName>
    <definedName name="Z_1EF42BFC_874B_4E01_B67D_1607E823ACD0_.wvu.FilterData" hidden="1">#REF!</definedName>
    <definedName name="Z_1F94C6E7_3CCA_4599_AF6F_4D6291B2AD93_.wvu.FilterData" hidden="1">#REF!</definedName>
    <definedName name="Z_20A9AA17_0DEB_4190_8DAD_FC60D0D33A52_.wvu.FilterData" hidden="1">#REF!</definedName>
    <definedName name="Z_2103F656_ECB2_4F99_BE9B_56F4D7A5CEE2_.wvu.FilterData" hidden="1">#REF!</definedName>
    <definedName name="Z_2158A2BC_8DB5_455D_AFDE_914B22949288_.wvu.FilterData" hidden="1">#REF!</definedName>
    <definedName name="Z_21A967FF_561E_495F_AEB9_4DD3BEDA53BC_.wvu.FilterData" hidden="1">#REF!</definedName>
    <definedName name="Z_227E7522_DC52_4EA7_A11A_0741FF23CC42_.wvu.FilterData" hidden="1">#REF!</definedName>
    <definedName name="Z_23BA0C23_280B_4568_A53C_1C6D2E85772A_.wvu.FilterData" hidden="1">#REF!</definedName>
    <definedName name="Z_244346C6_3866_4160_9E2E_C77913F25398_.wvu.FilterData" hidden="1">#REF!</definedName>
    <definedName name="Z_25117F67_F0EE_43EF_8FF9_79F533CE10B0_.wvu.FilterData" hidden="1">#REF!</definedName>
    <definedName name="Z_259E2DDE_5459_4510_B7A2_66F49964C56E_.wvu.FilterData" hidden="1">#REF!</definedName>
    <definedName name="Z_25C7DFCF_BE54_4A41_B957_DE39B9B2A5B5_.wvu.FilterData" hidden="1">#REF!</definedName>
    <definedName name="Z_272E0E4D_901D_11D7_B59C_0050DAB35C7B_.wvu.FilterData" hidden="1">#REF!</definedName>
    <definedName name="Z_27D9353E_5A5F_49BF_8724_FA312A4073FF_.wvu.FilterData" hidden="1">#REF!</definedName>
    <definedName name="Z_299BE965_B904_49FA_A79D_B9538F94936F_.wvu.FilterData" hidden="1">#REF!</definedName>
    <definedName name="Z_29D37CE9_76D1_4D09_99A0_55ABA6929929_.wvu.FilterData" hidden="1">#REF!</definedName>
    <definedName name="Z_2C05BC27_731C_41F4_980F_CD81E4A7A662_.wvu.FilterData" hidden="1">#REF!</definedName>
    <definedName name="Z_2C0BDCBF_705B_4E5A_9659_05D99EC56641_.wvu.FilterData" hidden="1">#REF!</definedName>
    <definedName name="Z_2CD580B5_D99D_45ED_AC1E_45F8CBBBB9F1_.wvu.FilterData" hidden="1">#REF!</definedName>
    <definedName name="Z_2D98D706_A306_4353_8B3D_DA92F9EAEC9A_.wvu.FilterData" hidden="1">#REF!</definedName>
    <definedName name="Z_2F8736FC_F07E_49E8_9C13_8E0A0F5EFE5F_.wvu.FilterData" hidden="1">#REF!</definedName>
    <definedName name="Z_304C2F7A_D3A6_4DBA_A568_C3E56D7C6E2F_.wvu.FilterData" hidden="1">#REF!</definedName>
    <definedName name="Z_30E0ACE8_B29A_44E9_B542_E8C1CA3FD802_.wvu.FilterData" hidden="1">#REF!</definedName>
    <definedName name="Z_31A27EA2_D574_43B8_A671_7419A12151C9_.wvu.FilterData" hidden="1">#REF!</definedName>
    <definedName name="Z_32D1B352_62AB_4105_8DFC_EAA2DF743365_.wvu.FilterData" hidden="1">#REF!</definedName>
    <definedName name="Z_330DF436_5BED_40AF_AC51_73D268BD9DF4_.wvu.FilterData" hidden="1">#REF!</definedName>
    <definedName name="Z_33B8EF57_2FB1_4600_9590_B0A2F2FE409B_.wvu.FilterData" hidden="1">#REF!</definedName>
    <definedName name="Z_3404588C_6CE7_4C97_A62C_D19D9EE290D3_.wvu.FilterData" hidden="1">#REF!</definedName>
    <definedName name="Z_34E71878_8D1A_4343_91A1_3FE085136D2B_.wvu.FilterData" hidden="1">#REF!</definedName>
    <definedName name="Z_37611AA0_E86A_42C8_8705_108B25E060A1_.wvu.FilterData" hidden="1">#REF!</definedName>
    <definedName name="Z_38FE6CED_4C19_4332_9788_ACC902B20A46_.wvu.FilterData" hidden="1">#REF!</definedName>
    <definedName name="Z_394E75CB_4F7F_4C88_A08F_29E48E587341_.wvu.FilterData" hidden="1">#REF!</definedName>
    <definedName name="Z_3C200595_20A3_4A0C_B071_705F4AD5DAD3_.wvu.FilterData" hidden="1">#REF!</definedName>
    <definedName name="Z_3E93FF4A_0B7F_475C_A63C_54FBDB9DB4C5_.wvu.FilterData" hidden="1">#REF!</definedName>
    <definedName name="Z_3FF05DC4_CA9E_470D_A193_91785ACE00EF_.wvu.FilterData" hidden="1">#REF!</definedName>
    <definedName name="Z_43791B95_57D7_42F4_8815_D1B7E488543E_.wvu.FilterData" hidden="1">#REF!</definedName>
    <definedName name="Z_445AA90F_6D9B_40F5_8E1D_CE1EF57CF450_.wvu.FilterData" hidden="1">#REF!</definedName>
    <definedName name="Z_454E0C40_F84F_42A3_A371_6F23C1F38595_.wvu.FilterData" hidden="1">#REF!</definedName>
    <definedName name="Z_4608FCB3_3552_4D58_B6CE_B8F34D78221E_.wvu.FilterData" hidden="1">#REF!</definedName>
    <definedName name="Z_46E47F7C_9185_4E39_BED5_B4A69FF64CC1_.wvu.FilterData" hidden="1">#REF!</definedName>
    <definedName name="Z_48202D5D_77CB_41DE_8C59_9325C98D7C97_.wvu.FilterData" hidden="1">#REF!</definedName>
    <definedName name="Z_48824DFE_B714_4D0B_9E95_F01C5BAD5D1F_.wvu.FilterData" hidden="1">#REF!</definedName>
    <definedName name="Z_4C45D885_33EE_4DA9_BF96_6B10CFBA5596_.wvu.FilterData" hidden="1">#REF!</definedName>
    <definedName name="Z_4CA4BF7C_65C1_4E25_8563_22DF58586D2C_.wvu.PrintArea">#REF!</definedName>
    <definedName name="Z_4CA4BF7C_65C1_4E25_8563_22DF58586D2C_.wvu.PrintTitles">#REF!</definedName>
    <definedName name="Z_4CA4BF7C_65C1_4E25_8563_22DF58586D2C_.wvu.Rows">#REF!</definedName>
    <definedName name="Z_4D344757_9064_4D2F_A3A5_69132D23B7B9_.wvu.FilterData" hidden="1">#REF!</definedName>
    <definedName name="Z_4E773EE1_0A5B_43A9_9C28_FFB0A27D19C3_.wvu.FilterData" hidden="1">#REF!</definedName>
    <definedName name="Z_5122F04C_91B2_4031_BAE2_43203D520992_.wvu.FilterData" hidden="1">#REF!</definedName>
    <definedName name="Z_52B8D0B0_5872_4367_8D38_9AA5A4B975B3_.wvu.FilterData" hidden="1">#REF!</definedName>
    <definedName name="Z_532423B2_94C7_44C1_9A2A_9712DAE92CE9_.wvu.FilterData" hidden="1">#REF!</definedName>
    <definedName name="Z_53F31130_5EA7_42BA_93EB_88A7CB743782_.wvu.FilterData" hidden="1">#REF!</definedName>
    <definedName name="Z_55213581_1831_4A94_AB4D_23E4F8BC8085_.wvu.FilterData" hidden="1">#REF!</definedName>
    <definedName name="Z_552B9204_1C85_45BC_B148_AF3E206BDAA2_.wvu.FilterData" hidden="1">#REF!</definedName>
    <definedName name="Z_566671FC_5910_47FD_B961_1065A17D262D_.wvu.FilterData" hidden="1">#REF!</definedName>
    <definedName name="Z_569D17FA_30FE_42CA_8D65_E126C1C01EC2_.wvu.FilterData" hidden="1">#REF!</definedName>
    <definedName name="Z_573E904E_5C2F_4CA2_AFCF_918B916322E4_.wvu.FilterData" hidden="1">#REF!</definedName>
    <definedName name="Z_58DA6172_DC47_4A5F_B420_207BB6987764_.wvu.FilterData" hidden="1">#REF!</definedName>
    <definedName name="Z_58FCB891_F6F4_46F2_BF6B_861E585C9231_.wvu.FilterData" hidden="1">#REF!</definedName>
    <definedName name="Z_59A87EBA_E018_40E8_A580_AB2176E95D7E_.wvu.FilterData" hidden="1">#REF!</definedName>
    <definedName name="Z_5A3E740D_87C0_4F85_AB6D_B402AD860D04_.wvu.FilterData" hidden="1">#REF!</definedName>
    <definedName name="Z_5B42E6B5_40AA_4D3F_B932_EF1583491CDE_.wvu.FilterData" hidden="1">#REF!</definedName>
    <definedName name="Z_5B7B4951_7310_4C66_B906_4D046076272E_.wvu.FilterData" hidden="1">#REF!</definedName>
    <definedName name="Z_5D41F4B9_83DF_4509_9C07_453BA5A62846_.wvu.FilterData" hidden="1">#REF!</definedName>
    <definedName name="Z_5DB05E9F_8F3B_4886_A6CB_2CC53331BA7A_.wvu.FilterData" hidden="1">#REF!</definedName>
    <definedName name="Z_5F096896_2CB8_4B96_A0FE_9AB50EEEEFAB_.wvu.FilterData" hidden="1">#REF!</definedName>
    <definedName name="Z_60DF8B29_1C1F_4B50_BDA8_B8E0C7DD04C3_.wvu.Cols">#REF!,#REF!</definedName>
    <definedName name="Z_60DF8B29_1C1F_4B50_BDA8_B8E0C7DD04C3_.wvu.FilterData" hidden="1">#REF!</definedName>
    <definedName name="Z_615F4A4D_D5AB_4A04_81F5_F436484247A5_.wvu.FilterData" hidden="1">#REF!</definedName>
    <definedName name="Z_616443B5_6F0D_4082_9223_F71B54305366_.wvu.FilterData" hidden="1">#REF!</definedName>
    <definedName name="Z_631F0312_B404_409F_AF2B_39FB2D25040B_.wvu.FilterData" hidden="1">#REF!</definedName>
    <definedName name="Z_632CF316_8294_4588_87E1_2B69E184A62B_.wvu.FilterData" hidden="1">#REF!</definedName>
    <definedName name="Z_66D1BA5F_F4AE_443C_8583_CE89D6674A73_.wvu.FilterData" hidden="1">#REF!</definedName>
    <definedName name="Z_66DD4806_8039_438A_B1CE_46CC5B464050_.wvu.FilterData" hidden="1">#REF!</definedName>
    <definedName name="Z_67B65FDF_FF67_490E_B8E5_92DC66C9FC9D_.wvu.FilterData" hidden="1">#REF!</definedName>
    <definedName name="Z_68B709DF_9429_4090_9106_386C5F16C4D7_.wvu.FilterData" hidden="1">#REF!</definedName>
    <definedName name="Z_690BC25F_5AA3_4B4B_9507_8C197E768E98_.wvu.FilterData" hidden="1">#REF!</definedName>
    <definedName name="Z_6A66B8A7_491B_4A29_94A1_39F4FDA32C48_.wvu.FilterData" hidden="1">#REF!</definedName>
    <definedName name="Z_6A6F36C8_24A1_4147_9C63_27B7978935DD_.wvu.FilterData" hidden="1">#REF!</definedName>
    <definedName name="Z_6C2050D3_ABE5_4B48_B2A7_DDDD21669987_.wvu.FilterData" hidden="1">#REF!</definedName>
    <definedName name="Z_6CD84A0B_C00D_4BC8_A655_6383CCA4B296_.wvu.FilterData" hidden="1">#REF!</definedName>
    <definedName name="Z_6D5E5F42_E924_48A0_A50F_5BB481AFD1D5_.wvu.FilterData" hidden="1">#REF!</definedName>
    <definedName name="Z_6D789842_F56B_40C4_8907_F36C02855F76_.wvu.FilterData" hidden="1">#REF!</definedName>
    <definedName name="Z_6E345713_0818_471C_B54B_D890B987A0BC_.wvu.FilterData" hidden="1">#REF!</definedName>
    <definedName name="Z_701DEAE4_9CF1_491A_A54B_A6AE3235639D_.wvu.FilterData" hidden="1">#REF!</definedName>
    <definedName name="Z_7319B1DA_C8AE_4D1D_AB4C_B14141921483_.wvu.FilterData" hidden="1">#REF!</definedName>
    <definedName name="Z_75A1B66F_9EE1_4406_8264_C9BF12113183_.wvu.FilterData" hidden="1">#REF!</definedName>
    <definedName name="Z_7651BD63_D75B_41A5_B133_06AE6A84AE8F_.wvu.FilterData" hidden="1">#REF!</definedName>
    <definedName name="Z_767B7DB4_B657_4E6E_831B_84CA933FFCBE_.wvu.FilterData" hidden="1">#REF!</definedName>
    <definedName name="Z_76FA93EF_40A9_4929_9B4A_2213742C1620_.wvu.FilterData" hidden="1">#REF!</definedName>
    <definedName name="Z_78A33412_D032_45F7_9C2D_D4A31DB937D9_.wvu.FilterData" hidden="1">#REF!</definedName>
    <definedName name="Z_796E4E5E_16C3_474D_B1D5_F6D39CD34051_.wvu.FilterData" hidden="1">#REF!</definedName>
    <definedName name="Z_7BFA9C41_C881_48A8_90C2_F93F8E16E599_.wvu.FilterData" hidden="1">#REF!</definedName>
    <definedName name="Z_7BFBCE1E_B6C5_4BAC_AD95_2B50D2ED28AB_.wvu.FilterData" hidden="1">#REF!</definedName>
    <definedName name="Z_7C6FEBF3_4382_4282_BBB0_E0269BEE42DE_.wvu.FilterData" hidden="1">#REF!</definedName>
    <definedName name="Z_7D057642_92FA_4DD6_84C5_B10B17893E1F_.wvu.FilterData" hidden="1">#REF!</definedName>
    <definedName name="Z_7ED5F3D1_B838_492E_9467_7E7CE6B348ED_.wvu.FilterData" hidden="1">#REF!</definedName>
    <definedName name="Z_8090FD3B_94DF_4ACF_9708_D5B9ADEFD29C_.wvu.FilterData" hidden="1">#REF!</definedName>
    <definedName name="Z_8149A5A7_8307_4FA6_B457_A66B8A6DFABD_.wvu.FilterData" hidden="1">#REF!</definedName>
    <definedName name="Z_819A0FD3_B678_47E8_9DFB_641B3990B590_.wvu.FilterData" hidden="1">#REF!</definedName>
    <definedName name="Z_82999604_BD48_4054_BDCB_CB8B074A34A3_.wvu.FilterData" hidden="1">#REF!</definedName>
    <definedName name="Z_8473B3F0_0740_4E9F_9BAE_9113E5077DE8_.wvu.FilterData" hidden="1">#REF!</definedName>
    <definedName name="Z_85A83A94_71B4_44C8_8B5A_68CAA2461241_.wvu.FilterData" hidden="1">#REF!</definedName>
    <definedName name="Z_86E0C273_91AF_11D7_9C1E_0004231B06E7_.wvu.FilterData" hidden="1">#REF!</definedName>
    <definedName name="Z_87F04A72_68BF_497D_8569_47D1A3B89590_.wvu.FilterData" hidden="1">#REF!</definedName>
    <definedName name="Z_893CBEFD_F317_41F0_BA87_CC1860E1F73B_.wvu.FilterData" hidden="1">#REF!</definedName>
    <definedName name="Z_89D83FA2_2F4F_4275_9074_3A6247C2CDA6_.wvu.FilterData" hidden="1">#REF!</definedName>
    <definedName name="Z_8B2E8E84_1A68_4B75_A867_04E8EAC8E685_.wvu.FilterData" hidden="1">#REF!</definedName>
    <definedName name="Z_8B5FADF8_BAFC_44E0_9D1D_DE21657D83CA_.wvu.FilterData" hidden="1">#REF!</definedName>
    <definedName name="Z_8CBA7976_3F45_4926_8F5C_251343B1DCDB_.wvu.FilterData" hidden="1">#REF!</definedName>
    <definedName name="Z_8D213052_8AFD_4E06_B410_DCB431062572_.wvu.FilterData" hidden="1">#REF!</definedName>
    <definedName name="Z_8EA755F4_0515_4AA0_970C_55F473C7FD9B_.wvu.FilterData" hidden="1">#REF!</definedName>
    <definedName name="Z_8F33F4E3_A14E_4DD4_ADD4_B19023A45B10_.wvu.FilterData" hidden="1">#REF!</definedName>
    <definedName name="Z_901BF8EA_CA8A_411C_8FD3_BCB793FCF48A_.wvu.FilterData" hidden="1">#REF!</definedName>
    <definedName name="Z_9066F505_4944_4582_AAF9_B40B49D59413_.wvu.PrintArea">#REF!</definedName>
    <definedName name="Z_9066F505_4944_4582_AAF9_B40B49D59413_.wvu.PrintTitles">#REF!</definedName>
    <definedName name="Z_9066F505_4944_4582_AAF9_B40B49D59413_.wvu.Rows">#REF!</definedName>
    <definedName name="Z_91488B6D_F045_4050_BA1B_41C2E3B3B10A_.wvu.FilterData" hidden="1">#REF!</definedName>
    <definedName name="Z_92919032_3A1D_4E0A_A8D8_FD23494D13A8_.wvu.FilterData" hidden="1">#REF!</definedName>
    <definedName name="Z_9587B38A_B060_410B_8598_4B23623A371C_.wvu.FilterData" hidden="1">#REF!</definedName>
    <definedName name="Z_96EB0306_BB94_45E8_9D0D_4C07A6623010_.wvu.FilterData" hidden="1">#REF!</definedName>
    <definedName name="Z_97666733_8666_4F9D_9588_AF9B6CF9224C_.wvu.FilterData" hidden="1">#REF!</definedName>
    <definedName name="Z_98599B4F_1D05_4040_9183_E1D7A1DDEB9C_.wvu.FilterData" hidden="1">#REF!</definedName>
    <definedName name="Z_98C8BF36_C172_45C3_8EFB_521E6ACCA0D3_.wvu.FilterData" hidden="1">#REF!</definedName>
    <definedName name="Z_9A372634_7C2D_4502_BF44_0C63FD1FB6D2_.wvu.FilterData" hidden="1">#REF!</definedName>
    <definedName name="Z_9A5CC0D4_28E7_4461_BE2E_802002496535_.wvu.FilterData" hidden="1">#REF!</definedName>
    <definedName name="Z_9C86BF25_210A_4B5C_9F2A_856CA801294A_.wvu.FilterData" hidden="1">#REF!</definedName>
    <definedName name="Z_9C8AF864_7E20_415C_848E_C2849E8CBF0C_.wvu.FilterData" hidden="1">#REF!</definedName>
    <definedName name="Z_9E7B61E2_2701_4257_A261_86548A6D7D7C_.wvu.FilterData" hidden="1">#REF!</definedName>
    <definedName name="Z_A0276843_5A14_4A7A_AD1C_583475FE9ED2_.wvu.FilterData" hidden="1">#REF!</definedName>
    <definedName name="Z_A2CB926C_E33A_4E38_9626_682814771DB1_.wvu.FilterData" hidden="1">#REF!</definedName>
    <definedName name="Z_A320C8A7_8D87_4204_85D4_AE25493D1363_.wvu.FilterData" hidden="1">#REF!</definedName>
    <definedName name="Z_A5F4C2AC_640B_40D9_88C9_69B3215DBE96_.wvu.FilterData" hidden="1">#REF!</definedName>
    <definedName name="Z_A686C168_1672_48B1_ADFD_481A1276CC81_.wvu.FilterData" hidden="1">#REF!</definedName>
    <definedName name="Z_A933351F_4BD3_4901_98D5_53D192BD61DC_.wvu.FilterData" hidden="1">#REF!</definedName>
    <definedName name="Z_AA0BD2F5_1513_40DB_B224_CC27CA57E181_.wvu.FilterData" hidden="1">#REF!</definedName>
    <definedName name="Z_AA329A38_94E6_4014_8D54_EFB48C7FA433_.wvu.FilterData" hidden="1">#REF!</definedName>
    <definedName name="Z_AC5679A6_5A24_441C_BBA3_F0C9D8E8E441_.wvu.FilterData" hidden="1">#REF!</definedName>
    <definedName name="Z_ACE528A7_3516_429C_8E77_FA07F86ED2D8_.wvu.Cols">#REF!</definedName>
    <definedName name="Z_AE302359_F16A_4874_8921_3865B0ECD878_.wvu.FilterData" hidden="1">#REF!</definedName>
    <definedName name="Z_AF0BF736_181F_4A59_8FB9_D3BCA8E591F7_.wvu.FilterData" hidden="1">#REF!</definedName>
    <definedName name="Z_AF12B415_1D2E_4088_9C86_BB0173951217_.wvu.FilterData" hidden="1">#REF!</definedName>
    <definedName name="Z_AF537E87_E5DE_4792_8C82_FFA1FC35463A_.wvu.FilterData" hidden="1">#REF!</definedName>
    <definedName name="Z_B1269BAB_A618_45E5_8379_9ECE98405A14_.wvu.FilterData" hidden="1">#REF!</definedName>
    <definedName name="Z_B20EEB3D_E9E6_496E_8678_B417DDC74718_.wvu.FilterData" hidden="1">#REF!</definedName>
    <definedName name="Z_B3255642_8A6B_11D5_916F_005004920FCB_.wvu.PrintTitles">#REF!</definedName>
    <definedName name="Z_B4864B96_AD18_4114_8AFA_A8BAA8915737_.wvu.FilterData" hidden="1">#REF!</definedName>
    <definedName name="Z_B645C4A8_1830_42C7_9DBF_0F519499A6CE_.wvu.FilterData" hidden="1">#REF!</definedName>
    <definedName name="Z_B7475313_60A1_440E_A07B_6B97978B34F2_.wvu.FilterData" hidden="1">#REF!</definedName>
    <definedName name="Z_B891B51F_1CA2_435F_A819_8A494B08D3EE_.wvu.FilterData" hidden="1">#REF!</definedName>
    <definedName name="Z_B8CE2FA5_D3F2_48A0_8603_A3FBA2808CB4_.wvu.FilterData" hidden="1">#REF!</definedName>
    <definedName name="Z_B9837360_94DA_11D7_9C1E_0004231B06E7_.wvu.FilterData" hidden="1">#REF!</definedName>
    <definedName name="Z_BBE1AFA0_C6F6_4019_9D53_075DA4654337_.wvu.FilterData" hidden="1">#REF!</definedName>
    <definedName name="Z_BC0EED6A_3F15_49FF_A48F_B40AC74B528A_.wvu.FilterData" hidden="1">#REF!</definedName>
    <definedName name="Z_BC4212E8_2D54_48E9_A2B4_66875F86EBEF_.wvu.FilterData" hidden="1">#REF!</definedName>
    <definedName name="Z_BE48B5BF_102F_4FB8_8807_DA126440E01B_.wvu.FilterData" hidden="1">#REF!</definedName>
    <definedName name="Z_BE949522_4A35_4352_9A91_0CE0E28D3461_.wvu.FilterData" hidden="1">#REF!</definedName>
    <definedName name="Z_C1310828_8567_4952_A9D3_7183F1221321_.wvu.FilterData" hidden="1">#REF!</definedName>
    <definedName name="Z_C581774C_2FCD_4906_B930_CCB3F9F9A50B_.wvu.FilterData" hidden="1">#REF!</definedName>
    <definedName name="Z_C67C9A44_7556_4756_AC39_E00F137116ED_.wvu.FilterData" hidden="1">#REF!</definedName>
    <definedName name="Z_C908089F_9A5A_11D7_9C1E_0004231B06E7_.wvu.FilterData" hidden="1">#REF!</definedName>
    <definedName name="Z_C942EE3A_8DBF_41D7_ADAF_F43C01F31E23_.wvu.FilterData" hidden="1">#REF!</definedName>
    <definedName name="Z_CB8FB7EE_B771_11D7_9C1E_0004231B06E7_.wvu.FilterData" hidden="1">#REF!</definedName>
    <definedName name="Z_CB8FB7F1_B771_11D7_9C1E_0004231B06E7_.wvu.FilterData" hidden="1">#REF!</definedName>
    <definedName name="Z_CD48E0DF_E307_492A_9CFD_ADF6DE6ECCFB_.wvu.FilterData" hidden="1">#REF!</definedName>
    <definedName name="Z_CDAD3BC7_95B1_4949_91B3_EAB234D2A550_.wvu.FilterData" hidden="1">#REF!</definedName>
    <definedName name="Z_CE1A6073_4007_44EE_88D3_3C79CF746C78_.wvu.FilterData" hidden="1">#REF!</definedName>
    <definedName name="Z_D0500033_B90B_46E5_BD62_60D0DA033A55_.wvu.FilterData" hidden="1">#REF!</definedName>
    <definedName name="Z_D11C04A2_606C_4EF4_9AD3_4865E5EFAE70_.wvu.FilterData" hidden="1">#REF!</definedName>
    <definedName name="Z_D1371C66_ADFD_11D7_9C1E_0004231B06E7_.wvu.FilterData" hidden="1">#REF!</definedName>
    <definedName name="Z_D1371C82_ADFD_11D7_9C1E_0004231B06E7_.wvu.FilterData" hidden="1">#REF!</definedName>
    <definedName name="Z_D1371C98_ADFD_11D7_9C1E_0004231B06E7_.wvu.FilterData" hidden="1">#REF!</definedName>
    <definedName name="Z_D15727E9_9BC2_420E_AC98_E8E9B60BD754_.wvu.FilterData" hidden="1">#REF!</definedName>
    <definedName name="Z_D371D622_5497_46A4_826D_01F2F492E39D_.wvu.FilterData" hidden="1">#REF!</definedName>
    <definedName name="Z_D3FF2053_BD11_4CA8_9648_A06F387C0C79_.wvu.FilterData" hidden="1">#REF!</definedName>
    <definedName name="Z_D4D6DC3A_302F_4BF4_8221_EFB7EA05B30F_.wvu.FilterData" hidden="1">#REF!</definedName>
    <definedName name="Z_D4FF4BA0_F9BE_4CEE_B334_FBD19DA86BF4_.wvu.FilterData" hidden="1">#REF!</definedName>
    <definedName name="Z_D5810466_54E3_455B_B341_3E7B86FB72D3_.wvu.FilterData" hidden="1">#REF!</definedName>
    <definedName name="Z_D60B1DF7_D653_4F01_B5AD_6A66E578C24F_.wvu.FilterData" hidden="1">#REF!</definedName>
    <definedName name="Z_D684BA0E_B94B_4BF7_8F27_4E3A1924425C_.wvu.FilterData" hidden="1">#REF!</definedName>
    <definedName name="Z_D9443332_B48E_4E65_8F23_AC96FB75A5A9_.wvu.FilterData" hidden="1">#REF!</definedName>
    <definedName name="Z_DAA35AF8_874B_4671_A195_994D9700CFB0_.wvu.FilterData" hidden="1">#REF!</definedName>
    <definedName name="Z_DB31579F_8662_40C5_BB19_660F0F7B70E5_.wvu.FilterData" hidden="1">#REF!</definedName>
    <definedName name="Z_DB349C77_BBCF_4BF0_8906_770DC9CEB279_.wvu.FilterData" hidden="1">#REF!</definedName>
    <definedName name="Z_DBA9A16F_C863_43D6_BEF6_4907AD7FF11A_.wvu.FilterData" hidden="1">#REF!</definedName>
    <definedName name="Z_DC39DC03_5BF1_41DE_A26D_8DA774859990_.wvu.FilterData" hidden="1">#REF!</definedName>
    <definedName name="Z_DC4BE57B_E9B6_4823_AAB5_0B4AD0A1C9F8_.wvu.FilterData" hidden="1">#REF!</definedName>
    <definedName name="Z_DD40B456_B833_4D7B_A3C9_47AA2D6A0830_.wvu.FilterData" hidden="1">#REF!</definedName>
    <definedName name="Z_DDC9046D_2716_4CA3_9471_7091058B3C12_.wvu.FilterData" hidden="1">#REF!</definedName>
    <definedName name="Z_DF3B204A_F509_4DA0_BCB7_F89536B5FEBF_.wvu.FilterData" hidden="1">#REF!</definedName>
    <definedName name="Z_E3FFE9E0_6C4F_4FB4_A56E_FBE96871B5C8_.wvu.Cols">#REF!,#REF!</definedName>
    <definedName name="Z_E3FFE9E0_6C4F_4FB4_A56E_FBE96871B5C8_.wvu.FilterData" hidden="1">#REF!</definedName>
    <definedName name="Z_E42D429F_E4E8_41D2_9176_83C726BAF8E3_.wvu.FilterData" hidden="1">#REF!</definedName>
    <definedName name="Z_E491B72F_902A_11D7_9C1E_0004231B06E7_.wvu.FilterData" hidden="1">#REF!</definedName>
    <definedName name="Z_E491B77E_902A_11D7_9C1E_0004231B06E7_.wvu.FilterData" hidden="1">#REF!</definedName>
    <definedName name="Z_E4A534A8_CD89_4423_9F3F_8134353F3CAC_.wvu.FilterData" hidden="1">#REF!</definedName>
    <definedName name="Z_E4E1532E_DC25_47E7_8CAC_8E70342889F1_.wvu.FilterData" hidden="1">#REF!</definedName>
    <definedName name="Z_E74731A0_5CEF_4B97_AFDD_B1DCA3953478_.wvu.FilterData" hidden="1">#REF!</definedName>
    <definedName name="Z_E7582842_0D7F_4174_A223_2AB1DD8C9047_.wvu.FilterData" hidden="1">#REF!</definedName>
    <definedName name="Z_E7E3B215_0D2B_424B_B9A9_091ABF42A9B2_.wvu.FilterData" hidden="1">#REF!</definedName>
    <definedName name="Z_E833D806_B408_4951_8EA0_84873DD98CC6_.wvu.FilterData" hidden="1">#REF!</definedName>
    <definedName name="Z_E84FA520_D8B7_472A_9913_1B62E15D532D_.wvu.FilterData" hidden="1">#REF!</definedName>
    <definedName name="Z_E856A7FB_F0DE_4CE8_85BE_FBD78193AF0B_.wvu.FilterData" hidden="1">#REF!</definedName>
    <definedName name="Z_E8B81FC8_C17A_451A_B505_641DE5886245_.wvu.FilterData" hidden="1">#REF!</definedName>
    <definedName name="Z_EA900FC6_5EC3_4E18_9ED9_37FAC8862A4C_.wvu.FilterData" hidden="1">#REF!</definedName>
    <definedName name="Z_EC12F0CE_807C_4CF2_B52D_1E5945238C05_.wvu.FilterData" hidden="1">#REF!</definedName>
    <definedName name="Z_EC74CDC8_4C91_4C55_BE9F_24DF0A9793FF_.wvu.FilterData" hidden="1">#REF!</definedName>
    <definedName name="Z_ED3E33DB_FBFA_4FDE_929F_AD12074101A3_.wvu.FilterData" hidden="1">#REF!</definedName>
    <definedName name="Z_EE21DFC7_81AA_40DA_B313_9BC83DA41DD6_.wvu.FilterData" hidden="1">#REF!</definedName>
    <definedName name="Z_EE5311D7_3149_40F1_82F5_7EEC6ACB6C85_.wvu.FilterData" hidden="1">#REF!</definedName>
    <definedName name="Z_EEE8CD21_C3A5_4786_B8BE_B9E68F0A5347_.wvu.FilterData" hidden="1">#REF!</definedName>
    <definedName name="Z_F0522591_4E2E_4AD6_B99B_B69551272A68_.wvu.FilterData" hidden="1">#REF!</definedName>
    <definedName name="Z_F1326E0B_5376_4D6E_9BC8_214AA525DE83_.wvu.FilterData" hidden="1">#REF!</definedName>
    <definedName name="Z_F2145668_4090_4220_8C3C_9C4DCC7A01D1_.wvu.Cols">#REF!</definedName>
    <definedName name="Z_F2145668_4090_4220_8C3C_9C4DCC7A01D1_.wvu.FilterData" hidden="1">#REF!</definedName>
    <definedName name="Z_F300E2D5_C458_4E4B_AB71_FF06367EF684_.wvu.FilterData" hidden="1">#REF!</definedName>
    <definedName name="Z_F3F443DB_8EE1_48F9_9BF4_EAF21EDD719F_.wvu.FilterData" hidden="1">#REF!</definedName>
    <definedName name="Z_F6923408_DB58_4A59_8717_D0133A922204_.wvu.FilterData" hidden="1">#REF!</definedName>
    <definedName name="Z_F9CB3A99_6D24_412C_93C4_575819594890_.wvu.FilterData" hidden="1">#REF!</definedName>
    <definedName name="Z_FA40CB26_17FE_4901_96A4_2176E8FA5EEE_.wvu.FilterData" hidden="1">#REF!</definedName>
    <definedName name="Z_FC4D1412_4B52_4393_A184_1BAD70B9C231_.wvu.FilterData" hidden="1">#REF!</definedName>
    <definedName name="Z_FD259A29_AD61_4284_9BC7_5C3B20DD002B_.wvu.FilterData" hidden="1">#REF!</definedName>
    <definedName name="Z_FDFF93A6_D487_497C_8FA1_B8636451E74C_.wvu.FilterData" hidden="1">#REF!</definedName>
    <definedName name="Z_FE37516D_56E4_424C_8DE6_6B2719F76EF4_.wvu.FilterData" hidden="1">#REF!</definedName>
    <definedName name="Z_FEBB3479_FB57_4CDC_BCCD_5D8B83257FC7_.wvu.FilterData" hidden="1">#REF!</definedName>
    <definedName name="zcdçskld">{#N/A,#N/A,FALSE,"Plan1";#N/A,#N/A,FALSE,"Plan2"}</definedName>
    <definedName name="zcsdrfrt">{#N/A,#N/A,FALSE,"Plan1";#N/A,#N/A,FALSE,"Plan2"}</definedName>
    <definedName name="ZDRE">{#N/A,#N/A,FALSE,"Plan1";#N/A,#N/A,FALSE,"Plan2"}</definedName>
    <definedName name="ZEZE">#REF!</definedName>
    <definedName name="ZIN">#REF!</definedName>
    <definedName name="ZINS">#REF!</definedName>
    <definedName name="ZSADF">{#N/A,#N/A,FALSE,"Plan1";#N/A,#N/A,FALSE,"Plan2"}</definedName>
    <definedName name="zsads">{#N/A,#N/A,FALSE,"Plan1";#N/A,#N/A,FALSE,"Plan2"}</definedName>
    <definedName name="ZSDFSETR">#REF!</definedName>
    <definedName name="zsds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>{#N/A,#N/A,FALSE,"Plan1";#N/A,#N/A,FALSE,"Plan2"}</definedName>
    <definedName name="zxcdsf">#REF!</definedName>
    <definedName name="zxcfdstrrt">{#N/A,#N/A,FALSE,"Plan1";#N/A,#N/A,FALSE,"Plan2"}</definedName>
    <definedName name="zxcx">{#N/A,#N/A,FALSE,"Plan1";#N/A,#N/A,FALSE,"Plan2"}</definedName>
    <definedName name="ZXFCRF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>{#N/A,#N/A,FALSE,"Plan1";#N/A,#N/A,FALSE,"Plan2"}</definedName>
    <definedName name="ZZ">#REF!</definedName>
    <definedName name="zzdftr">{#N/A,#N/A,FALSE,"Plan1";#N/A,#N/A,FALSE,"Plan2"}</definedName>
    <definedName name="zzz">#REF!</definedName>
    <definedName name="ㄱ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>{"'장비'!$A$3:$M$12"}</definedName>
    <definedName name="가나다">#REF!</definedName>
    <definedName name="검증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조건">#REF!</definedName>
    <definedName name="계약고햔황2">#REF!</definedName>
    <definedName name="계약고현황2">#REF!</definedName>
    <definedName name="고문">{#N/A,#N/A,FALSE,"현장 NCR 분석";#N/A,#N/A,FALSE,"현장품질감사";#N/A,#N/A,FALSE,"현장품질감사"}</definedName>
    <definedName name="고문2">{#N/A,#N/A,FALSE,"현장 NCR 분석";#N/A,#N/A,FALSE,"현장품질감사";#N/A,#N/A,FALSE,"현장품질감사"}</definedName>
    <definedName name="공공공표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>{#N/A,#N/A,FALSE,"ENG'G(보호계전기)"}</definedName>
    <definedName name="공급표표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ㄴㄴ">#REF!</definedName>
    <definedName name="내역">{#N/A,#N/A,FALSE,"CCTV"}</definedName>
    <definedName name="ㄷㄳ">{"'장비'!$A$3:$M$12"}</definedName>
    <definedName name="ㄷㄷㄷㄷ">{"'장비'!$A$3:$M$12"}</definedName>
    <definedName name="ㄷㅈㅂㄷ">{"'장비'!$A$3:$M$12"}</definedName>
    <definedName name="당초계획">#REF!</definedName>
    <definedName name="도면외주">#REF!</definedName>
    <definedName name="도면용역비">#REF!</definedName>
    <definedName name="ㄹㄹ">{"'장비'!$A$3:$M$12"}</definedName>
    <definedName name="ㄹㄹㄹ">#REF!</definedName>
    <definedName name="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>{#N/A,#N/A,FALSE,"현장 NCR 분석";#N/A,#N/A,FALSE,"현장품질감사";#N/A,#N/A,FALSE,"현장품질감사"}</definedName>
    <definedName name="ㅁ">{#N/A,#N/A,FALSE,"명세표"}</definedName>
    <definedName name="ㅁㄱ해ㅜ5">#REF!</definedName>
    <definedName name="ㅁ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>{#N/A,#N/A,FALSE,"명세표"}</definedName>
    <definedName name="ㅁㅁㅁ">#REF!</definedName>
    <definedName name="ㅁㅁㅁㅁㅁㅁㅁㅁㅁㅁㅁㅁ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>{#N/A,#N/A,FALSE,"명세표"}</definedName>
    <definedName name="ㅂㅂㅂㅂ">{#N/A,#N/A,FALSE,"명세표"}</definedName>
    <definedName name="ㅂㅂㅂㅂㅂㅂㅂ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>{"'장비'!$A$3:$M$12"}</definedName>
    <definedName name="ㅂㅈㄷ">{"'장비'!$A$3:$M$12"}</definedName>
    <definedName name="ㅂㅈㄷㄷㅂㅈㅈㅂ">{"'장비'!$A$3:$M$12"}</definedName>
    <definedName name="ㅂㅈㄷㅂㅈ">{"'장비'!$A$3:$M$12"}</definedName>
    <definedName name="ㅂㅈㄷㅂㅈㅈㅂㄷ">{"'장비'!$A$3:$M$12"}</definedName>
    <definedName name="ㅂㅈㄷㅈㅂㄷ">{"'장비'!$A$3:$M$12"}</definedName>
    <definedName name="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충">#REF!</definedName>
    <definedName name="보호">{#N/A,#N/A,FALSE,"ENG'G(보호계전기)"}</definedName>
    <definedName name="본공사공정표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>#REF!</definedName>
    <definedName name="부손익">{#N/A,#N/A,FALSE,"현장 NCR 분석";#N/A,#N/A,FALSE,"현장품질감사";#N/A,#N/A,FALSE,"현장품질감사"}</definedName>
    <definedName name="분야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>{"'장비'!$A$3:$M$12"}</definedName>
    <definedName name="ㅅㅅㅅㅅㅅ">{"'장비'!$A$3:$M$12"}</definedName>
    <definedName name="사업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계획수정">#REF!</definedName>
    <definedName name="사업관리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부양식2">#REF!</definedName>
    <definedName name="산출">#REF!</definedName>
    <definedName name="새안">{#N/A,#N/A,FALSE,"TABLE"}</definedName>
    <definedName name="석항">{#N/A,#N/A,FALSE,"명세표"}</definedName>
    <definedName name="설계현황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손익계산서">#REF!</definedName>
    <definedName name="쇼ㅗㅎ로">{"'장비'!$A$3:$M$12"}</definedName>
    <definedName name="수">#REF!</definedName>
    <definedName name="수당">#REF!</definedName>
    <definedName name="신설">{#N/A,#N/A,FALSE,"명세표"}</definedName>
    <definedName name="실적총괄1">#REF!</definedName>
    <definedName name="실총">#REF!</definedName>
    <definedName name="ㅇㄹㄹ">#REF!</definedName>
    <definedName name="ㅇㅇ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ㅇㅇㅇ">#REF!</definedName>
    <definedName name="양식변경12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월">#REF!</definedName>
    <definedName name="이이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>{#N/A,#N/A,FALSE,"명세표"}</definedName>
    <definedName name="ㅈㅈㅈㅈ">{#N/A,#N/A,FALSE,"명세표"}</definedName>
    <definedName name="자미">{#N/A,#N/A,FALSE,"명세표"}</definedName>
    <definedName name="자운">#REF!</definedName>
    <definedName name="자재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계장금액">#REF!</definedName>
    <definedName name="전기사양_SAMPLE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>#REF!</definedName>
    <definedName name="조직표현장">#REF!</definedName>
    <definedName name="종합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>{#N/A,#N/A,FALSE,"ENG'G(보호계전기)"}</definedName>
    <definedName name="집계">{#N/A,#N/A,FALSE,"명세표"}</definedName>
    <definedName name="철골공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>{#N/A,#N/A,FALSE,"명세표"}</definedName>
    <definedName name="ㅋㅋㅋ">{#N/A,#N/A,FALSE,"명세표"}</definedName>
    <definedName name="ㅌㅌ">{#N/A,#N/A,FALSE,"명세표"}</definedName>
    <definedName name="토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>{"'장비'!$A$3:$M$12"}</definedName>
    <definedName name="하하하">{#N/A,#N/A,FALSE,"명세표"}</definedName>
    <definedName name="한국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>{#N/A,#N/A,FALSE,"명세표"}</definedName>
    <definedName name="ㅏㅏㅏ">{#N/A,#N/A,FALSE,"명세표"}</definedName>
    <definedName name="ㅔㅔ">{#N/A,#N/A,FALSE,"명세표"}</definedName>
    <definedName name="ㅔㅔㅔㅔㅔ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>{"'장비'!$A$3:$M$12"}</definedName>
    <definedName name="ㅗㅗ">{#N/A,#N/A,FALSE,"명세표"}</definedName>
    <definedName name="ㅗㅗㅗㅗㅗ">{"'장비'!$A$3:$M$12"}</definedName>
    <definedName name="ㅛ">{"'장비'!$A$3:$M$12"}</definedName>
    <definedName name="ㅛㅕㅛㅕㅛ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>{"'장비'!$A$3:$M$12"}</definedName>
    <definedName name="ㅜ">{#N/A,#N/A,FALSE,"명세표"}</definedName>
    <definedName name="ㅠㅠ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>{#N/A,#N/A,FALSE,"명세표"}</definedName>
    <definedName name="\0" localSheetId="0">#REF!</definedName>
    <definedName name="\a" localSheetId="0">#REF!</definedName>
    <definedName name="\m" localSheetId="0">#REF!</definedName>
    <definedName name="\xasd" localSheetId="0" hidden="1">{#N/A,#N/A,FALSE,"Plan1";#N/A,#N/A,FALSE,"Plan2"}</definedName>
    <definedName name="_" localSheetId="0" hidden="1">#REF!</definedName>
    <definedName name="_\m" localSheetId="0">#REF!</definedName>
    <definedName name="_\xasd" localSheetId="0" hidden="1">{#N/A,#N/A,FALSE,"Plan1";#N/A,#N/A,FALSE,"Plan2"}</definedName>
    <definedName name="_\z" localSheetId="0">#REF!</definedName>
    <definedName name="__" localSheetId="0" hidden="1">#REF!</definedName>
    <definedName name="_______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key2" localSheetId="0" hidden="1">#REF!</definedName>
    <definedName name="_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key2" localSheetId="0" hidden="1">#REF!</definedName>
    <definedName name="____la29" localSheetId="0" hidden="1">#REF!</definedName>
    <definedName name="____la3" localSheetId="0" hidden="1">#REF!</definedName>
    <definedName name="____PK2" localSheetId="0" hidden="1">{"'장비'!$A$3:$M$12"}</definedName>
    <definedName name="____PKG3" localSheetId="0" hidden="1">{"'장비'!$A$3:$M$12"}</definedName>
    <definedName name="____qqq222" localSheetId="0" hidden="1">{"'장비'!$A$3:$M$12"}</definedName>
    <definedName name="_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key2" localSheetId="0" hidden="1">#REF!</definedName>
    <definedName name="___la29" localSheetId="0" hidden="1">#REF!</definedName>
    <definedName name="___la3" localSheetId="0" hidden="1">#REF!</definedName>
    <definedName name="___PK2" localSheetId="0" hidden="1">{"'장비'!$A$3:$M$12"}</definedName>
    <definedName name="___PKG3" localSheetId="0" hidden="1">{"'장비'!$A$3:$M$12"}</definedName>
    <definedName name="___qqq222" localSheetId="0" hidden="1">{"'장비'!$A$3:$M$12"}</definedName>
    <definedName name="_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123Graph_AChart1" localSheetId="0" hidden="1">#REF!</definedName>
    <definedName name="__123Graph_AGRA1" localSheetId="0" hidden="1">#REF!</definedName>
    <definedName name="__123Graph_ARES" localSheetId="0" hidden="1">#REF!</definedName>
    <definedName name="__123Graph_B" localSheetId="0" hidden="1">#REF!</definedName>
    <definedName name="__123Graph_BChart1" localSheetId="0" hidden="1">#REF!</definedName>
    <definedName name="__123Graph_C" localSheetId="0" hidden="1">#REF!</definedName>
    <definedName name="__123Graph_D" localSheetId="0" hidden="1">#REF!</definedName>
    <definedName name="__123Graph_X" localSheetId="0" hidden="1">#REF!</definedName>
    <definedName name="__123Graph_XChart1" localSheetId="0" hidden="1">#REF!</definedName>
    <definedName name="__123Graph_XGRA1" localSheetId="0" hidden="1">#REF!</definedName>
    <definedName name="__123Graph_XRES" localSheetId="0" hidden="1">#REF!</definedName>
    <definedName name="__CO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key2" localSheetId="0" hidden="1">#REF!</definedName>
    <definedName name="__la29" localSheetId="0" hidden="1">#REF!</definedName>
    <definedName name="__la3" localSheetId="0" hidden="1">#REF!</definedName>
    <definedName name="__PK2" localSheetId="0" hidden="1">{"'장비'!$A$3:$M$12"}</definedName>
    <definedName name="__PKG3" localSheetId="0" hidden="1">{"'장비'!$A$3:$M$12"}</definedName>
    <definedName name="__qqq222" localSheetId="0" hidden="1">{"'장비'!$A$3:$M$12"}</definedName>
    <definedName name="_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1__123Graph_ACHART_1" localSheetId="0" hidden="1">#REF!</definedName>
    <definedName name="_10__123Graph_CCHART_1" localSheetId="0" hidden="1">#REF!</definedName>
    <definedName name="_11__123Graph_DCHART_1" localSheetId="0" hidden="1">#REF!</definedName>
    <definedName name="_2__123Graph_BCHART_1" localSheetId="0" hidden="1">#REF!</definedName>
    <definedName name="_3__123Graph_XCHART_1" localSheetId="0" hidden="1">#REF!</definedName>
    <definedName name="_5__123Graph_ACHART_1" localSheetId="0" hidden="1">#REF!</definedName>
    <definedName name="_7__123Graph_ACHART_2" localSheetId="0" hidden="1">#REF!</definedName>
    <definedName name="_9__123Graph_BCHART_2" localSheetId="0" hidden="1">#REF!</definedName>
    <definedName name="_Builtin13" localSheetId="0" hidden="1">#REF!</definedName>
    <definedName name="_CO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Dist_Bin" localSheetId="0" hidden="1">#REF!</definedName>
    <definedName name="_Dist_Values" localSheetId="0" hidden="1">#REF!</definedName>
    <definedName name="_ECS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Fill" localSheetId="0" hidden="1">#REF!</definedName>
    <definedName name="_fill1" localSheetId="0" hidden="1">#REF!</definedName>
    <definedName name="_IA0542" localSheetId="0" hidden="1">{#N/A,#N/A,FALSE,"Plan1";#N/A,#N/A,FALSE,"Plan2"}</definedName>
    <definedName name="_Key1" localSheetId="0" hidden="1">#REF!</definedName>
    <definedName name="_Key2" localSheetId="0" hidden="1">#REF!</definedName>
    <definedName name="_la29" localSheetId="0" hidden="1">#REF!</definedName>
    <definedName name="_la3" localSheetId="0" hidden="1">#REF!</definedName>
    <definedName name="_MatMult_A" localSheetId="0" hidden="1">#REF!</definedName>
    <definedName name="_new11" localSheetId="0" hidden="1">{#N/A,#N/A,FALSE,"Global by BU";#N/A,#N/A,FALSE,"U.S. by BU";#N/A,#N/A,FALSE,"Canada by BU";#N/A,#N/A,FALSE,"Europe by BU";#N/A,#N/A,FALSE,"Asia by BU";#N/A,#N/A,FALSE,"Cala by BU"}</definedName>
    <definedName name="_Order2" localSheetId="0" hidden="1">255</definedName>
    <definedName name="_Parse_Out" localSheetId="0" hidden="1">#REF!</definedName>
    <definedName name="_PK2" localSheetId="0" hidden="1">{"'장비'!$A$3:$M$12"}</definedName>
    <definedName name="_PKG3" localSheetId="0" hidden="1">{"'장비'!$A$3:$M$12"}</definedName>
    <definedName name="_qqq222" localSheetId="0" hidden="1">{"'장비'!$A$3:$M$12"}</definedName>
    <definedName name="_r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egression_Out" localSheetId="0" hidden="1">#REF!</definedName>
    <definedName name="_Regression_X" localSheetId="0" hidden="1">#REF!</definedName>
    <definedName name="_Regression_Y" localSheetId="0" hidden="1">#REF!</definedName>
    <definedName name="_sfe5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Sort" localSheetId="0" hidden="1">#REF!</definedName>
    <definedName name="_Table1_In1" localSheetId="0" hidden="1">#REF!</definedName>
    <definedName name="_wer3" localSheetId="0" hidden="1">{#N/A,#N/A,FALSE,"Plan1";#N/A,#N/A,FALSE,"Plan2"}</definedName>
    <definedName name="_wrn.pendencias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x10" localSheetId="0" hidden="1">#REF!</definedName>
    <definedName name="_x11" localSheetId="0" hidden="1">#REF!</definedName>
    <definedName name="_x12" localSheetId="0" hidden="1">#REF!</definedName>
    <definedName name="_xlcn.WorksheetConnection_2018_03ResumoRGOObrasRJ.xlsbTabela1" localSheetId="0" hidden="1">#REF!</definedName>
    <definedName name="_xlcn.WorksheetConnection_ProjetocontrolefisicoefinanceiroRJ.xlsxTabela31" localSheetId="0" hidden="1">#REF!</definedName>
    <definedName name="´cAE°eE¹" localSheetId="0" hidden="1">#REF!</definedName>
    <definedName name="a" localSheetId="0" hidden="1">#REF!</definedName>
    <definedName name="a\sgt" localSheetId="0" hidden="1">{#N/A,#N/A,FALSE,"Plan1";#N/A,#N/A,FALSE,"Plan2"}</definedName>
    <definedName name="aa" localSheetId="0">#REF!</definedName>
    <definedName name="AAAA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0" hidden="1">{#N/A,#N/A,FALSE,"Plan1";#N/A,#N/A,FALSE,"Plan2"}</definedName>
    <definedName name="AB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D" localSheetId="0" hidden="1">#REF!</definedName>
    <definedName name="ac" localSheetId="0" hidden="1">#REF!</definedName>
    <definedName name="acdb" localSheetId="0" hidden="1">#REF!</definedName>
    <definedName name="ACDS" localSheetId="0" hidden="1">#REF!</definedName>
    <definedName name="achar18" localSheetId="0" hidden="1">#REF!</definedName>
    <definedName name="açoeeer" localSheetId="0" hidden="1">{#N/A,#N/A,FALSE,"Plan1";#N/A,#N/A,FALSE,"Plan2"}</definedName>
    <definedName name="ACwvu.Características." localSheetId="0" hidden="1">#REF!</definedName>
    <definedName name="ACwvu.Ciclos." localSheetId="0" hidden="1">#REF!</definedName>
    <definedName name="ACwvu.Custos." localSheetId="0" hidden="1">#REF!</definedName>
    <definedName name="ACwvu.PLANILHA2." localSheetId="0" hidden="1">#REF!</definedName>
    <definedName name="ad" localSheetId="0" hidden="1">{#N/A,#N/A,FALSE,"Plan1";#N/A,#N/A,FALSE,"Plan2"}</definedName>
    <definedName name="adads" localSheetId="0" hidden="1">{#N/A,#N/A,FALSE,"Plan1";#N/A,#N/A,FALSE,"Plan2"}</definedName>
    <definedName name="adads2" localSheetId="0" hidden="1">{#N/A,#N/A,FALSE,"Plan1";#N/A,#N/A,FALSE,"Plan2"}</definedName>
    <definedName name="adced" localSheetId="0" hidden="1">{#N/A,#N/A,FALSE,"Plan1";#N/A,#N/A,FALSE,"Plan2"}</definedName>
    <definedName name="adced2" localSheetId="0" hidden="1">{#N/A,#N/A,FALSE,"Plan1";#N/A,#N/A,FALSE,"Plan2"}</definedName>
    <definedName name="ader" localSheetId="0" hidden="1">{#N/A,#N/A,FALSE,"Plan1";#N/A,#N/A,FALSE,"Plan2"}</definedName>
    <definedName name="ader2" localSheetId="0" hidden="1">{#N/A,#N/A,FALSE,"Plan1";#N/A,#N/A,FALSE,"Plan2"}</definedName>
    <definedName name="adesr" localSheetId="0" hidden="1">{#N/A,#N/A,FALSE,"Plan1";#N/A,#N/A,FALSE,"Plan2"}</definedName>
    <definedName name="adewr" localSheetId="0" hidden="1">{#N/A,#N/A,FALSE,"Plan1";#N/A,#N/A,FALSE,"Plan2"}</definedName>
    <definedName name="adf" localSheetId="0" hidden="1">{#N/A,#N/A,FALSE,"Plan1";#N/A,#N/A,FALSE,"Plan2"}</definedName>
    <definedName name="adsfr" localSheetId="0" hidden="1">{#N/A,#N/A,FALSE,"Plan1";#N/A,#N/A,FALSE,"Plan2"}</definedName>
    <definedName name="adssrgtg" localSheetId="0" hidden="1">{#N/A,#N/A,FALSE,"Plan1";#N/A,#N/A,FALSE,"Plan2"}</definedName>
    <definedName name="adtsetrr6t" localSheetId="0" hidden="1">{#N/A,#N/A,FALSE,"Plan1";#N/A,#N/A,FALSE,"Plan2"}</definedName>
    <definedName name="adwr" localSheetId="0" hidden="1">{#N/A,#N/A,FALSE,"Plan1";#N/A,#N/A,FALSE,"Plan2"}</definedName>
    <definedName name="aeiresft" localSheetId="0" hidden="1">{#N/A,#N/A,FALSE,"Plan1";#N/A,#N/A,FALSE,"Plan2"}</definedName>
    <definedName name="aEL3QE" localSheetId="0" hidden="1">{#N/A,#N/A,FALSE,"Plan1";#N/A,#N/A,FALSE,"Plan2"}</definedName>
    <definedName name="afeasfre" localSheetId="0" hidden="1">{#N/A,#N/A,FALSE,"Plan1";#N/A,#N/A,FALSE,"Plan2"}</definedName>
    <definedName name="agdsf" localSheetId="0" hidden="1">#REF!</definedName>
    <definedName name="agua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0" hidden="1">{#N/A,#N/A,FALSE,"CCTV"}</definedName>
    <definedName name="angelo" localSheetId="0">#REF!</definedName>
    <definedName name="anscount" localSheetId="0" hidden="1">3</definedName>
    <definedName name="AQE" localSheetId="0" hidden="1">{"'장비'!$A$3:$M$12"}</definedName>
    <definedName name="ArComprimido" localSheetId="0" hidden="1">{"'Estimativa de Lançamento-JAN'!$A$1:$AI$85"}</definedName>
    <definedName name="area" localSheetId="0" hidden="1">{#N/A,#N/A,FALSE,"Plan1";#N/A,#N/A,FALSE,"Plan2"}</definedName>
    <definedName name="Área_Construída" localSheetId="0">#REF!</definedName>
    <definedName name="Área_Privativa" localSheetId="0">#REF!</definedName>
    <definedName name="Área_Terreno" localSheetId="0">#REF!</definedName>
    <definedName name="Areaimpresso" localSheetId="0">#REF!</definedName>
    <definedName name="asawe3" localSheetId="0" hidden="1">{#N/A,#N/A,FALSE,"Plan1";#N/A,#N/A,FALSE,"Plan2"}</definedName>
    <definedName name="ASD" localSheetId="0" hidden="1">17</definedName>
    <definedName name="ASDA" localSheetId="0" hidden="1">{#N/A,#N/A,FALSE,"Plan1";#N/A,#N/A,FALSE,"Plan2"}</definedName>
    <definedName name="asdade" localSheetId="0" hidden="1">{#N/A,#N/A,FALSE,"Plan1";#N/A,#N/A,FALSE,"Plan2"}</definedName>
    <definedName name="asdas" localSheetId="0" hidden="1">{#N/A,#N/A,FALSE,"Plan1";#N/A,#N/A,FALSE,"Plan2"}</definedName>
    <definedName name="asdawed" localSheetId="0" hidden="1">{#N/A,#N/A,FALSE,"Plan1";#N/A,#N/A,FALSE,"Plan2"}</definedName>
    <definedName name="ASDER" localSheetId="0" hidden="1">{#N/A,#N/A,FALSE,"Plan1";#N/A,#N/A,FALSE,"Plan2"}</definedName>
    <definedName name="asderr" localSheetId="0" hidden="1">{#N/A,#N/A,FALSE,"Plan1";#N/A,#N/A,FALSE,"Plan2"}</definedName>
    <definedName name="asdesre" localSheetId="0" hidden="1">{#N/A,#N/A,FALSE,"Plan1";#N/A,#N/A,FALSE,"Plan2"}</definedName>
    <definedName name="asdewr" localSheetId="0" hidden="1">{#N/A,#N/A,FALSE,"Plan1";#N/A,#N/A,FALSE,"Plan2"}</definedName>
    <definedName name="ASDFASDFA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0" hidden="1">{#N/A,#N/A,FALSE,"Plan1";#N/A,#N/A,FALSE,"Plan2"}</definedName>
    <definedName name="asdg" localSheetId="0" hidden="1">{#N/A,#N/A,FALSE,"Plan1";#N/A,#N/A,FALSE,"Plan2"}</definedName>
    <definedName name="asdjksej" localSheetId="0" hidden="1">#REF!</definedName>
    <definedName name="asdke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0" hidden="1">{#N/A,#N/A,FALSE,"Plan1";#N/A,#N/A,FALSE,"Plan2"}</definedName>
    <definedName name="asdqwe" localSheetId="0" hidden="1">{#N/A,#N/A,FALSE,"Plan1";#N/A,#N/A,FALSE,"Plan2"}</definedName>
    <definedName name="asdsa" localSheetId="0" hidden="1">{#N/A,#N/A,FALSE,"Plan1";#N/A,#N/A,FALSE,"Plan2"}</definedName>
    <definedName name="asdser" localSheetId="0" hidden="1">{#N/A,#N/A,FALSE,"Plan1";#N/A,#N/A,FALSE,"Plan2"}</definedName>
    <definedName name="asdwef" localSheetId="0" hidden="1">{#N/A,#N/A,FALSE,"Plan1";#N/A,#N/A,FALSE,"Plan2"}</definedName>
    <definedName name="aseiuw" localSheetId="0" hidden="1">#REF!</definedName>
    <definedName name="ASET" localSheetId="0" hidden="1">{#N/A,#N/A,FALSE,"Plan1";#N/A,#N/A,FALSE,"Plan2"}</definedName>
    <definedName name="asfDSF" localSheetId="0" hidden="1">{#N/A,#N/A,FALSE,"Plan1";#N/A,#N/A,FALSE,"Plan2"}</definedName>
    <definedName name="ASFERTE" localSheetId="0" hidden="1">{#N/A,#N/A,FALSE,"Plan1";#N/A,#N/A,FALSE,"Plan2"}</definedName>
    <definedName name="asfl" localSheetId="0" hidden="1">{#N/A,#N/A,FALSE,"Plan1";#N/A,#N/A,FALSE,"Plan2"}</definedName>
    <definedName name="asfsz" localSheetId="0" hidden="1">{#N/A,#N/A,FALSE,"Plan1";#N/A,#N/A,FALSE,"Plan2"}</definedName>
    <definedName name="askserf" localSheetId="0" hidden="1">{#N/A,#N/A,FALSE,"Plan1";#N/A,#N/A,FALSE,"Plan2"}</definedName>
    <definedName name="ASSFSDF" localSheetId="0" hidden="1">{#N/A,#N/A,FALSE,"Plan1";#N/A,#N/A,FALSE,"Plan2"}</definedName>
    <definedName name="asw" localSheetId="0" hidden="1">{#N/A,#N/A,FALSE,"Plan1";#N/A,#N/A,FALSE,"Plan2"}</definedName>
    <definedName name="ATIVOS" localSheetId="0" hidden="1">{#N/A,#N/A,FALSE,"F-01"}</definedName>
    <definedName name="aux" localSheetId="0">#REF!</definedName>
    <definedName name="awdjw" localSheetId="0" hidden="1">{#N/A,#N/A,FALSE,"Plan1";#N/A,#N/A,FALSE,"Plan2"}</definedName>
    <definedName name="aweqw4" localSheetId="0" hidden="1">{#N/A,#N/A,FALSE,"Plan1";#N/A,#N/A,FALSE,"Plan2"}</definedName>
    <definedName name="awssdwaer" localSheetId="0" hidden="1">{#N/A,#N/A,FALSE,"Plan1";#N/A,#N/A,FALSE,"Plan2"}</definedName>
    <definedName name="AZ" localSheetId="0" hidden="1">#REF!</definedName>
    <definedName name="b" localSheetId="0" hidden="1">{#N/A,#N/A,FALSE,"Plan1";#N/A,#N/A,FALSE,"Plan2"}</definedName>
    <definedName name="bbbbbbbbbbbbbbb" localSheetId="0" hidden="1">{"'Edit'!$A$1:$V$2277"}</definedName>
    <definedName name="BDA" localSheetId="0">#REF!</definedName>
    <definedName name="bdfjghf" localSheetId="0" hidden="1">{#N/A,#N/A,FALSE,"Plan1";#N/A,#N/A,FALSE,"Plan2"}</definedName>
    <definedName name="BDI" localSheetId="0">#REF!</definedName>
    <definedName name="bdzbfbdr" localSheetId="0" hidden="1">{#N/A,#N/A,FALSE,"Plan1";#N/A,#N/A,FALSE,"Plan2"}</definedName>
    <definedName name="bg" localSheetId="0" hidden="1">#REF!</definedName>
    <definedName name="BGG" localSheetId="0" hidden="1">{#N/A,#N/A,FALSE,"Plan1";#N/A,#N/A,FALSE,"Plan2"}</definedName>
    <definedName name="bhjgfhfh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0" hidden="1">{#N/A,#N/A,FALSE,"Plan1";#N/A,#N/A,FALSE,"Plan2"}</definedName>
    <definedName name="BLPH1" localSheetId="0" hidden="1">#REF!</definedName>
    <definedName name="BLPH100" localSheetId="0" hidden="1">#REF!</definedName>
    <definedName name="BLPH101" localSheetId="0" hidden="1">#REF!</definedName>
    <definedName name="BLPH102" localSheetId="0" hidden="1">#REF!</definedName>
    <definedName name="BLPH103" localSheetId="0" hidden="1">#REF!</definedName>
    <definedName name="BLPH104" localSheetId="0" hidden="1">#REF!</definedName>
    <definedName name="BLPH96" localSheetId="0" hidden="1">#REF!</definedName>
    <definedName name="BLPH97" localSheetId="0" hidden="1">#REF!</definedName>
    <definedName name="BLPH98" localSheetId="0" hidden="1">#REF!</definedName>
    <definedName name="BLPH99" localSheetId="0" hidden="1">#REF!</definedName>
    <definedName name="bmdgghrtfde" localSheetId="0" hidden="1">{#N/A,#N/A,FALSE,"Plan1";#N/A,#N/A,FALSE,"Plan2"}</definedName>
    <definedName name="bnkjhjhdfxgt" localSheetId="0" hidden="1">{#N/A,#N/A,FALSE,"Plan1";#N/A,#N/A,FALSE,"Plan2"}</definedName>
    <definedName name="BORDA1" localSheetId="0">#N/A</definedName>
    <definedName name="BV" localSheetId="0" hidden="1">#REF!</definedName>
    <definedName name="bxnzfmkzxbhdf" localSheetId="0" hidden="1">{#N/A,#N/A,FALSE,"Plan1";#N/A,#N/A,FALSE,"Plan2"}</definedName>
    <definedName name="ca" localSheetId="0">#REF!</definedName>
    <definedName name="CAB" localSheetId="0">#N/A</definedName>
    <definedName name="caixas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çaos\ewapo" localSheetId="0" hidden="1">{#N/A,#N/A,FALSE,"Plan1";#N/A,#N/A,FALSE,"Plan2"}</definedName>
    <definedName name="Capa" localSheetId="0">#REF!</definedName>
    <definedName name="CAT6_IP" localSheetId="0" hidden="1">{#N/A,#N/A,FALSE,"F-01"}</definedName>
    <definedName name="ççç" localSheetId="0" hidden="1">{#N/A,#N/A,FALSE,"Plan1";#N/A,#N/A,FALSE,"Plan2"}</definedName>
    <definedName name="cccc" localSheetId="0" hidden="1">{#N/A,#N/A,FALSE,"Plan1";#N/A,#N/A,FALSE,"Plan2"}</definedName>
    <definedName name="ççççççç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0" hidden="1">{"HW",#N/A,FALSE,"1998"}</definedName>
    <definedName name="cchart1" localSheetId="0" hidden="1">#REF!</definedName>
    <definedName name="cchart10" localSheetId="0" hidden="1">#REF!</definedName>
    <definedName name="cchart11" localSheetId="0" hidden="1">#REF!</definedName>
    <definedName name="çcklfjk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0" hidden="1">{#N/A,#N/A,FALSE,"Plan1";#N/A,#N/A,FALSE,"Plan2"}</definedName>
    <definedName name="CDSGHE" localSheetId="0" hidden="1">{#N/A,#N/A,FALSE,"Plan1";#N/A,#N/A,FALSE,"Plan2"}</definedName>
    <definedName name="çfhjglkjhkljy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0" hidden="1">{#N/A,#N/A,FALSE,"Plan1";#N/A,#N/A,FALSE,"Plan2"}</definedName>
    <definedName name="chfch" localSheetId="0" hidden="1">{#N/A,#N/A,FALSE,"Plan1";#N/A,#N/A,FALSE,"Plan2"}</definedName>
    <definedName name="ÇJKRÇLFS" localSheetId="0" hidden="1">{"Econ Consolidado",#N/A,FALSE,"Econ Consol";"Fluxo de Caixa",#N/A,FALSE,"Fluxo Caixa";"Investimentos",#N/A,FALSE,"Investimentos"}</definedName>
    <definedName name="ÇJsrejtçe" localSheetId="0" hidden="1">{#N/A,#N/A,FALSE,"Plan1";#N/A,#N/A,FALSE,"Plan2"}</definedName>
    <definedName name="çkaçekow" localSheetId="0" hidden="1">{#N/A,#N/A,FALSE,"Plan1";#N/A,#N/A,FALSE,"Plan2"}</definedName>
    <definedName name="ÇKSDOEKR" localSheetId="0" hidden="1">{#N/A,#N/A,FALSE,"Plan1";#N/A,#N/A,FALSE,"Plan2"}</definedName>
    <definedName name="çl" localSheetId="0" hidden="1">{#N/A,#N/A,FALSE,"Plan1";#N/A,#N/A,FALSE,"Plan2"}</definedName>
    <definedName name="çlassde" localSheetId="0" hidden="1">{#N/A,#N/A,FALSE,"Plan1";#N/A,#N/A,FALSE,"Plan2"}</definedName>
    <definedName name="çlçlç" localSheetId="0" hidden="1">{#N/A,#N/A,FALSE,"Plan1";#N/A,#N/A,FALSE,"Plan2"}</definedName>
    <definedName name="çld" localSheetId="0" hidden="1">{#N/A,#N/A,FALSE,"Plan1";#N/A,#N/A,FALSE,"Plan2"}</definedName>
    <definedName name="çlererr" localSheetId="0" hidden="1">{#N/A,#N/A,FALSE,"Plan1";#N/A,#N/A,FALSE,"Plan2"}</definedName>
    <definedName name="çlertert" localSheetId="0" hidden="1">{#N/A,#N/A,FALSE,"Plan1";#N/A,#N/A,FALSE,"Plan2"}</definedName>
    <definedName name="çlkdflçkrlr" localSheetId="0" hidden="1">#REF!</definedName>
    <definedName name="çll" localSheetId="0" hidden="1">{#N/A,#N/A,FALSE,"Plan1";#N/A,#N/A,FALSE,"Plan2"}</definedName>
    <definedName name="CMC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0" hidden="1">{#N/A,#N/A,TRUE,"Quinzena 01 à 15-04-98 "}</definedName>
    <definedName name="cont" localSheetId="0" hidden="1">{#N/A,#N/A,FALSE,"Plan1";#N/A,#N/A,FALSE,"Plan2"}</definedName>
    <definedName name="Controle_Tecnologico" localSheetId="0" hidden="1">{#N/A,#N/A,FALSE,"Plan1";#N/A,#N/A,FALSE,"Plan2"}</definedName>
    <definedName name="Controle_tecnologico1" localSheetId="0" hidden="1">#REF!</definedName>
    <definedName name="cronograma" localSheetId="0">#REF!</definedName>
    <definedName name="ÇSAÇDFW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dkfçdrkt" localSheetId="0" hidden="1">#REF!</definedName>
    <definedName name="CS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0" hidden="1">{#N/A,#N/A,FALSE,"Plan1";#N/A,#N/A,FALSE,"Plan2"}</definedName>
    <definedName name="CTH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" localSheetId="0">#REF!</definedName>
    <definedName name="dalmo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0" hidden="1">{#N/A,#N/A,FALSE,"Plan1";#N/A,#N/A,FALSE,"Plan2"}</definedName>
    <definedName name="DÇDL" localSheetId="0" hidden="1">{#N/A,#N/A,FALSE,"Plan1";#N/A,#N/A,FALSE,"Plan2"}</definedName>
    <definedName name="dchart26" localSheetId="0" hidden="1">#REF!</definedName>
    <definedName name="dchart31" localSheetId="0" hidden="1">#REF!</definedName>
    <definedName name="dcnsfgdjkgb" localSheetId="0" hidden="1">{#N/A,#N/A,FALSE,"Plan1";#N/A,#N/A,FALSE,"Plan2"}</definedName>
    <definedName name="DÇWK" localSheetId="0" hidden="1">{#N/A,#N/A,FALSE,"Plan1";#N/A,#N/A,FALSE,"Plan2"}</definedName>
    <definedName name="DD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0" hidden="1">{"'장비'!$A$3:$M$12"}</definedName>
    <definedName name="ddddd" localSheetId="0" hidden="1">{#N/A,#N/A,FALSE,"Plan1";#N/A,#N/A,FALSE,"Plan2"}</definedName>
    <definedName name="dde" localSheetId="0" hidden="1">{#N/A,#N/A,FALSE,"Plan1";#N/A,#N/A,FALSE,"Plan2"}</definedName>
    <definedName name="ddfs" localSheetId="0" hidden="1">#REF!</definedName>
    <definedName name="ddgfdvgd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0" hidden="1">{#N/A,#N/A,FALSE,"Plan1";#N/A,#N/A,FALSE,"Plan2"}</definedName>
    <definedName name="dede" localSheetId="0" hidden="1">{#N/A,#N/A,FALSE,"Plan1";#N/A,#N/A,FALSE,"Plan2"}</definedName>
    <definedName name="des" localSheetId="0" hidden="1">{#N/A,#N/A,FALSE,"Plan1";#N/A,#N/A,FALSE,"Plan2"}</definedName>
    <definedName name="desc" localSheetId="0" hidden="1">{#N/A,#N/A,FALSE,"Plan1";#N/A,#N/A,FALSE,"Plan2"}</definedName>
    <definedName name="d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0" hidden="1">{#N/A,#N/A,FALSE,"명세표"}</definedName>
    <definedName name="dfdfty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0" hidden="1">{#N/A,#N/A,FALSE,"Plan1";#N/A,#N/A,FALSE,"Plan2"}</definedName>
    <definedName name="dfdrtrr" localSheetId="0" hidden="1">{#N/A,#N/A,FALSE,"Plan1";#N/A,#N/A,FALSE,"Plan2"}</definedName>
    <definedName name="DFDSG" localSheetId="0" hidden="1">{#N/A,#N/A,FALSE,"Plan1";#N/A,#N/A,FALSE,"Plan2"}</definedName>
    <definedName name="dfer" localSheetId="0" hidden="1">{#N/A,#N/A,FALSE,"Plan1";#N/A,#N/A,FALSE,"Plan2"}</definedName>
    <definedName name="dffbty" localSheetId="0" hidden="1">{#N/A,#N/A,FALSE,"Plan1";#N/A,#N/A,FALSE,"Plan2"}</definedName>
    <definedName name="dffgk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0" hidden="1">{#N/A,#N/A,FALSE,"Plan1";#N/A,#N/A,FALSE,"Plan2"}</definedName>
    <definedName name="dfg" localSheetId="0" hidden="1">{#N/A,#N/A,FALSE,"Plan1";#N/A,#N/A,FALSE,"Plan2"}</definedName>
    <definedName name="dfgdf" localSheetId="0" hidden="1">{#N/A,#N/A,FALSE,"Plan1";#N/A,#N/A,FALSE,"Plan2"}</definedName>
    <definedName name="dfgdytygr" localSheetId="0" hidden="1">{#N/A,#N/A,FALSE,"Plan1";#N/A,#N/A,FALSE,"Plan2"}</definedName>
    <definedName name="dfgftrrdt5" localSheetId="0" hidden="1">{#N/A,#N/A,FALSE,"Plan1";#N/A,#N/A,FALSE,"Plan2"}</definedName>
    <definedName name="dfghjfhsg" localSheetId="0" hidden="1">{#N/A,#N/A,FALSE,"Plan1";#N/A,#N/A,FALSE,"Plan2"}</definedName>
    <definedName name="dfgj" localSheetId="0" hidden="1">{#N/A,#N/A,FALSE,"Plan1";#N/A,#N/A,FALSE,"Plan2"}</definedName>
    <definedName name="dfgjfttyd" localSheetId="0" hidden="1">{#N/A,#N/A,FALSE,"Plan1";#N/A,#N/A,FALSE,"Plan2"}</definedName>
    <definedName name="dfgjjtdrtg" localSheetId="0" hidden="1">{#N/A,#N/A,FALSE,"Plan1";#N/A,#N/A,FALSE,"Plan2"}</definedName>
    <definedName name="dfgt" localSheetId="0" hidden="1">{#N/A,#N/A,FALSE,"Plan1";#N/A,#N/A,FALSE,"Plan2"}</definedName>
    <definedName name="dfgtrkjhk" localSheetId="0" hidden="1">{#N/A,#N/A,FALSE,"Plan1";#N/A,#N/A,FALSE,"Plan2"}</definedName>
    <definedName name="dfgty" localSheetId="0" hidden="1">{#N/A,#N/A,FALSE,"Plan1";#N/A,#N/A,FALSE,"Plan2"}</definedName>
    <definedName name="dfhdgfdgf" localSheetId="0" hidden="1">{#N/A,#N/A,FALSE,"Plan1";#N/A,#N/A,FALSE,"Plan2"}</definedName>
    <definedName name="DFHDJGJFHJGF" localSheetId="0" hidden="1">{#N/A,#N/A,FALSE,"Plan1";#N/A,#N/A,FALSE,"Plan2"}</definedName>
    <definedName name="dfhdyg" localSheetId="0" hidden="1">{#N/A,#N/A,FALSE,"Plan1";#N/A,#N/A,FALSE,"Plan2"}</definedName>
    <definedName name="DFHGDHUR" localSheetId="0" hidden="1">{#N/A,#N/A,FALSE,"Plan1";#N/A,#N/A,FALSE,"Plan2"}</definedName>
    <definedName name="dfhgjfgdhfjdrf" localSheetId="0" hidden="1">{#N/A,#N/A,FALSE,"Plan1";#N/A,#N/A,FALSE,"Plan2"}</definedName>
    <definedName name="dfhgkhfut" localSheetId="0" hidden="1">{#N/A,#N/A,FALSE,"Plan1";#N/A,#N/A,FALSE,"Plan2"}</definedName>
    <definedName name="dfhgkjdhkjghjd" localSheetId="0" hidden="1">#REF!</definedName>
    <definedName name="dfhguitrhfg" localSheetId="0" hidden="1">{#N/A,#N/A,FALSE,"Plan1";#N/A,#N/A,FALSE,"Plan2"}</definedName>
    <definedName name="DFHKHDGKJHDKS" localSheetId="0" hidden="1">{#N/A,#N/A,FALSE,"Plan1";#N/A,#N/A,FALSE,"Plan2"}</definedName>
    <definedName name="dfjgjfhykj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0" hidden="1">{#N/A,#N/A,FALSE,"Plan1";#N/A,#N/A,FALSE,"Plan2"}</definedName>
    <definedName name="dfkhgfg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0" hidden="1">{#N/A,#N/A,FALSE,"Plan1";#N/A,#N/A,FALSE,"Plan2"}</definedName>
    <definedName name="dfnert" localSheetId="0" hidden="1">{#N/A,#N/A,FALSE,"Plan1";#N/A,#N/A,FALSE,"Plan2"}</definedName>
    <definedName name="dfrt" localSheetId="0" hidden="1">{#N/A,#N/A,FALSE,"Plan1";#N/A,#N/A,FALSE,"Plan2"}</definedName>
    <definedName name="dfsdr5tt" localSheetId="0" hidden="1">{#N/A,#N/A,FALSE,"Plan1";#N/A,#N/A,FALSE,"Plan2"}</definedName>
    <definedName name="dfsds" localSheetId="0" hidden="1">#REF!</definedName>
    <definedName name="dfsd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0" hidden="1">{#N/A,#N/A,FALSE,"Plan1";#N/A,#N/A,FALSE,"Plan2"}</definedName>
    <definedName name="dfsf" localSheetId="0" hidden="1">{#N/A,#N/A,FALSE,"Plan1";#N/A,#N/A,FALSE,"Plan2"}</definedName>
    <definedName name="DFT" localSheetId="0" hidden="1">{#N/A,#N/A,FALSE,"Plan1";#N/A,#N/A,FALSE,"Plan2"}</definedName>
    <definedName name="DFTRTTY" localSheetId="0" hidden="1">{#N/A,#N/A,FALSE,"Plan1";#N/A,#N/A,FALSE,"Plan2"}</definedName>
    <definedName name="dfurghifdjyhits" localSheetId="0" hidden="1">{#N/A,#N/A,FALSE,"Plan1";#N/A,#N/A,FALSE,"Plan2"}</definedName>
    <definedName name="dfxgdrged" localSheetId="0" hidden="1">{#N/A,#N/A,FALSE,"Plan1";#N/A,#N/A,FALSE,"Plan2"}</definedName>
    <definedName name="dgfrtyt" localSheetId="0" hidden="1">{#N/A,#N/A,FALSE,"Plan1";#N/A,#N/A,FALSE,"Plan2"}</definedName>
    <definedName name="dggfdg" localSheetId="0" hidden="1">{#N/A,#N/A,FALSE,"Plan1";#N/A,#N/A,FALSE,"Plan2"}</definedName>
    <definedName name="dgldfhgkljslh" localSheetId="0" hidden="1">{#N/A,#N/A,FALSE,"Plan1";#N/A,#N/A,FALSE,"Plan2"}</definedName>
    <definedName name="dhfgdhrehrwe" localSheetId="0" hidden="1">{#N/A,#N/A,FALSE,"Plan1";#N/A,#N/A,FALSE,"Plan2"}</definedName>
    <definedName name="dhgfdgrfgdfgd" localSheetId="0" hidden="1">{#N/A,#N/A,FALSE,"Plan1";#N/A,#N/A,FALSE,"Plan2"}</definedName>
    <definedName name="dhkjfhdhfjdh" localSheetId="0" hidden="1">{#N/A,#N/A,FALSE,"Plan1";#N/A,#N/A,FALSE,"Plan2"}</definedName>
    <definedName name="DHTJRT" localSheetId="0" hidden="1">{#N/A,#N/A,FALSE,"Plan1";#N/A,#N/A,FALSE,"Plan2"}</definedName>
    <definedName name="dijghdhks" localSheetId="0" hidden="1">{#N/A,#N/A,FALSE,"Plan1";#N/A,#N/A,FALSE,"Plan2"}</definedName>
    <definedName name="direto" localSheetId="0">#REF!</definedName>
    <definedName name="djasdrjas" localSheetId="0" hidden="1">{#N/A,#N/A,FALSE,"Plan1";#N/A,#N/A,FALSE,"Plan2"}</definedName>
    <definedName name="dj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0" hidden="1">{#N/A,#N/A,FALSE,"Plan1";#N/A,#N/A,FALSE,"Plan2"}</definedName>
    <definedName name="djfkhsdkjhf" localSheetId="0" hidden="1">{#N/A,#N/A,FALSE,"Plan1";#N/A,#N/A,FALSE,"Plan2"}</definedName>
    <definedName name="djfldjsgljslkjtg" localSheetId="0" hidden="1">{#N/A,#N/A,FALSE,"Plan1";#N/A,#N/A,FALSE,"Plan2"}</definedName>
    <definedName name="djflkdjgdth" localSheetId="0" hidden="1">{#N/A,#N/A,FALSE,"Plan1";#N/A,#N/A,FALSE,"Plan2"}</definedName>
    <definedName name="DJFLKDJGKTJYJT" localSheetId="0" hidden="1">{#N/A,#N/A,FALSE,"Plan1";#N/A,#N/A,FALSE,"Plan2"}</definedName>
    <definedName name="djgkfjgtiyty" localSheetId="0" hidden="1">{#N/A,#N/A,FALSE,"Plan1";#N/A,#N/A,FALSE,"Plan2"}</definedName>
    <definedName name="djrkehrjfhng" localSheetId="0" hidden="1">{#N/A,#N/A,FALSE,"Plan1";#N/A,#N/A,FALSE,"Plan2"}</definedName>
    <definedName name="djswfr" localSheetId="0" hidden="1">#REF!</definedName>
    <definedName name="djtkjldfr" localSheetId="0" hidden="1">{#N/A,#N/A,FALSE,"Plan1";#N/A,#N/A,FALSE,"Plan2"}</definedName>
    <definedName name="DJXDLFGDFG" localSheetId="0" hidden="1">{#N/A,#N/A,FALSE,"Plan1";#N/A,#N/A,FALSE,"Plan2"}</definedName>
    <definedName name="dkdkdkdkd" localSheetId="0" hidden="1">{#N/A,#N/A,FALSE,"명세표"}</definedName>
    <definedName name="dkfhskgf" localSheetId="0" hidden="1">{#N/A,#N/A,FALSE,"Plan1";#N/A,#N/A,FALSE,"Plan2"}</definedName>
    <definedName name="dkjfk" localSheetId="0" hidden="1">{#N/A,#N/A,FALSE,"Plan1";#N/A,#N/A,FALSE,"Plan2"}</definedName>
    <definedName name="DKLD" localSheetId="0" hidden="1">{#N/A,#N/A,FALSE,"Plan1";#N/A,#N/A,FALSE,"Plan2"}</definedName>
    <definedName name="DKLFJDKFD" localSheetId="0" hidden="1">{#N/A,#N/A,FALSE,"Plan1";#N/A,#N/A,FALSE,"Plan2"}</definedName>
    <definedName name="dklfjgirtgid" localSheetId="0" hidden="1">{#N/A,#N/A,FALSE,"Plan1";#N/A,#N/A,FALSE,"Plan2"}</definedName>
    <definedName name="dklf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0" hidden="1">{#N/A,#N/A,FALSE,"Plan1";#N/A,#N/A,FALSE,"Plan2"}</definedName>
    <definedName name="DNFJKDHTKRE" localSheetId="0" hidden="1">{#N/A,#N/A,FALSE,"Plan1";#N/A,#N/A,FALSE,"Plan2"}</definedName>
    <definedName name="dng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" localSheetId="0">#REF!</definedName>
    <definedName name="drewr" localSheetId="0" hidden="1">{#N/A,#N/A,FALSE,"Plan1";#N/A,#N/A,FALSE,"Plan2"}</definedName>
    <definedName name="DRRJR" localSheetId="0" hidden="1">{#N/A,#N/A,FALSE,"Plan1";#N/A,#N/A,FALSE,"Plan2"}</definedName>
    <definedName name="drtr" localSheetId="0" hidden="1">#REF!</definedName>
    <definedName name="drtrt" localSheetId="0" hidden="1">{"'Estimativa de Lançamento-JAN'!$A$1:$AI$85"}</definedName>
    <definedName name="dsdrf" localSheetId="0" hidden="1">{#N/A,#N/A,FALSE,"Plan1";#N/A,#N/A,FALSE,"Plan2"}</definedName>
    <definedName name="dsfdf" localSheetId="0" hidden="1">{#N/A,#N/A,FALSE,"Plan1";#N/A,#N/A,FALSE,"Plan2"}</definedName>
    <definedName name="dsfg" localSheetId="0" hidden="1">{#N/A,#N/A,FALSE,"Plan1";#N/A,#N/A,FALSE,"Plan2"}</definedName>
    <definedName name="DSFKDSKH" localSheetId="0" hidden="1">{#N/A,#N/A,FALSE,"Plan1";#N/A,#N/A,FALSE,"Plan2"}</definedName>
    <definedName name="DSFR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0" hidden="1">{#N/A,#N/A,FALSE,"Plan1";#N/A,#N/A,FALSE,"Plan2"}</definedName>
    <definedName name="DSFSAD" localSheetId="0" hidden="1">{#N/A,#N/A,FALSE,"Plan1";#N/A,#N/A,FALSE,"Plan2"}</definedName>
    <definedName name="dsfsdf" localSheetId="0" hidden="1">{#N/A,#N/A,FALSE,"Plan1";#N/A,#N/A,FALSE,"Plan2"}</definedName>
    <definedName name="dsfsdgfb" localSheetId="0" hidden="1">{#N/A,#N/A,FALSE,"Plan1";#N/A,#N/A,FALSE,"Plan2"}</definedName>
    <definedName name="dsgfr" localSheetId="0" hidden="1">{#N/A,#N/A,FALSE,"Plan1";#N/A,#N/A,FALSE,"Plan2"}</definedName>
    <definedName name="dshfkhkrhesru" localSheetId="0" hidden="1">{#N/A,#N/A,FALSE,"Plan1";#N/A,#N/A,FALSE,"Plan2"}</definedName>
    <definedName name="dsjkthkr" localSheetId="0" hidden="1">{#N/A,#N/A,FALSE,"Plan1";#N/A,#N/A,FALSE,"Plan2"}</definedName>
    <definedName name="DSLFJSLFJ" localSheetId="0" hidden="1">{#N/A,#N/A,FALSE,"Plan1";#N/A,#N/A,FALSE,"Plan2"}</definedName>
    <definedName name="dsrff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0" hidden="1">{#N/A,#N/A,FALSE,"Plan1";#N/A,#N/A,FALSE,"Plan2"}</definedName>
    <definedName name="dtgsrytt" localSheetId="0" hidden="1">{#N/A,#N/A,FALSE,"Plan1";#N/A,#N/A,FALSE,"Plan2"}</definedName>
    <definedName name="dtrjkhtrgkfh" localSheetId="0" hidden="1">{#N/A,#N/A,FALSE,"Plan1";#N/A,#N/A,FALSE,"Plan2"}</definedName>
    <definedName name="dttjuk" localSheetId="0" hidden="1">{#N/A,#N/A,FALSE,"Plan1";#N/A,#N/A,FALSE,"Plan2"}</definedName>
    <definedName name="dvtry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0" hidden="1">{#N/A,#N/A,FALSE,"Plan1";#N/A,#N/A,FALSE,"Plan2"}</definedName>
    <definedName name="DY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0" hidden="1">{#N/A,#N/A,FALSE,"Plan1";#N/A,#N/A,FALSE,"Plan2"}</definedName>
    <definedName name="dzdfr" localSheetId="0" hidden="1">{#N/A,#N/A,FALSE,"Plan1";#N/A,#N/A,FALSE,"Plan2"}</definedName>
    <definedName name="e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a" localSheetId="0">#REF!</definedName>
    <definedName name="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0" hidden="1">{#N/A,#N/A,FALSE,"F-01"}</definedName>
    <definedName name="ECEW_1" localSheetId="0" hidden="1">{#N/A,#N/A,FALSE,"F-01"}</definedName>
    <definedName name="echart31" localSheetId="0" hidden="1">#REF!</definedName>
    <definedName name="ECS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0" hidden="1">{#N/A,#N/A,FALSE,"Plan1";#N/A,#N/A,FALSE,"Plan2"}</definedName>
    <definedName name="eee" localSheetId="0" hidden="1">{#N/A,#N/A,FALSE,"ET-CAPA";#N/A,#N/A,FALSE,"ET-PAG1";#N/A,#N/A,FALSE,"ET-PAG2";#N/A,#N/A,FALSE,"ET-PAG3";#N/A,#N/A,FALSE,"ET-PAG4";#N/A,#N/A,FALSE,"ET-PAG5"}</definedName>
    <definedName name="efestfr" localSheetId="0" hidden="1">{#N/A,#N/A,FALSE,"Plan1";#N/A,#N/A,FALSE,"Plan2"}</definedName>
    <definedName name="efrdrt" localSheetId="0" hidden="1">{#N/A,#N/A,FALSE,"Plan1";#N/A,#N/A,FALSE,"Plan2"}</definedName>
    <definedName name="efrg" localSheetId="0" hidden="1">{#N/A,#N/A,FALSE,"Plan1";#N/A,#N/A,FALSE,"Plan2"}</definedName>
    <definedName name="efsgfr" localSheetId="0" hidden="1">{#N/A,#N/A,FALSE,"Plan1";#N/A,#N/A,FALSE,"Plan2"}</definedName>
    <definedName name="ER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0" hidden="1">{#N/A,#N/A,FALSE,"Plan1";#N/A,#N/A,FALSE,"Plan2"}</definedName>
    <definedName name="erte" localSheetId="0" hidden="1">#REF!</definedName>
    <definedName name="ESGFDSFD" localSheetId="0" hidden="1">{#N/A,#N/A,FALSE,"Plan1";#N/A,#N/A,FALSE,"Plan2"}</definedName>
    <definedName name="EU" localSheetId="0" hidden="1">{#N/A,#N/A,FALSE,"Plan1";#N/A,#N/A,FALSE,"Plan2"}</definedName>
    <definedName name="EVL" localSheetId="0" hidden="1">{"Econ Consolidado",#N/A,FALSE,"Econ Consol";"Fluxo de Caixa",#N/A,FALSE,"Fluxo Caixa";"Investimentos",#N/A,FALSE,"Investimentos"}</definedName>
    <definedName name="Evol." localSheetId="0" hidden="1">{"Econ Consolidado",#N/A,FALSE,"Econ Consol";"Fluxo de Caixa",#N/A,FALSE,"Fluxo Caixa";"Investimentos",#N/A,FALSE,"Investimentos"}</definedName>
    <definedName name="ewfr" localSheetId="0" hidden="1">{#N/A,#N/A,FALSE,"Plan1";#N/A,#N/A,FALSE,"Plan2"}</definedName>
    <definedName name="eyruieyteta" localSheetId="0" hidden="1">{#N/A,#N/A,FALSE,"Plan1";#N/A,#N/A,FALSE,"Plan2"}</definedName>
    <definedName name="f" localSheetId="0" hidden="1">{#N/A,#N/A,FALSE,"Plan1";#N/A,#N/A,FALSE,"Plan2"}</definedName>
    <definedName name="FAS" localSheetId="0" hidden="1">{"'Total'!$A$1","'Total'!$A$3"}</definedName>
    <definedName name="fasfasf" localSheetId="0" hidden="1">{#N/A,#N/A,TRUE,"Quinzena 01 à 15-04-98 "}</definedName>
    <definedName name="fchart31" localSheetId="0" hidden="1">#REF!</definedName>
    <definedName name="fddhght" localSheetId="0" hidden="1">{#N/A,#N/A,FALSE,"Plan1";#N/A,#N/A,FALSE,"Plan2"}</definedName>
    <definedName name="fdfgd" localSheetId="0" hidden="1">{#N/A,#N/A,FALSE,"Plan1";#N/A,#N/A,FALSE,"Plan2"}</definedName>
    <definedName name="fdfng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0" hidden="1">{#N/A,#N/A,FALSE,"Plan1";#N/A,#N/A,FALSE,"Plan2"}</definedName>
    <definedName name="fdgdf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0" hidden="1">{#N/A,#N/A,FALSE,"Plan1";#N/A,#N/A,FALSE,"Plan2"}</definedName>
    <definedName name="fdgfyhygfuj" localSheetId="0" hidden="1">{#N/A,#N/A,FALSE,"Plan1";#N/A,#N/A,FALSE,"Plan2"}</definedName>
    <definedName name="fdhgfdf" localSheetId="0" hidden="1">{#N/A,#N/A,FALSE,"Plan1";#N/A,#N/A,FALSE,"Plan2"}</definedName>
    <definedName name="fdjfgdfjg" localSheetId="0" hidden="1">{#N/A,#N/A,FALSE,"Plan1";#N/A,#N/A,FALSE,"Plan2"}</definedName>
    <definedName name="fdjghkshtygt" localSheetId="0" hidden="1">{#N/A,#N/A,FALSE,"Plan1";#N/A,#N/A,FALSE,"Plan2"}</definedName>
    <definedName name="fdnhgf" localSheetId="0" hidden="1">{"'Estimativa de Lançamento-JAN'!$A$1:$AI$85"}</definedName>
    <definedName name="fdsf" localSheetId="0" hidden="1">{#N/A,#N/A,FALSE,"Plan1";#N/A,#N/A,FALSE,"Plan2"}</definedName>
    <definedName name="FER" localSheetId="0" hidden="1">#REF!</definedName>
    <definedName name="fffff" localSheetId="0" hidden="1">{#N/A,#N/A,FALSE,"Plan1";#N/A,#N/A,FALSE,"Plan2"}</definedName>
    <definedName name="FFFFFFF" localSheetId="0">#REF!</definedName>
    <definedName name="FFTY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0" hidden="1">{#N/A,#N/A,FALSE,"Plan1";#N/A,#N/A,FALSE,"Plan2"}</definedName>
    <definedName name="fgg" localSheetId="0" hidden="1">{"'장비'!$A$3:$M$12"}</definedName>
    <definedName name="fghfh" localSheetId="0" hidden="1">{"'Estimativa de Lançamento-JAN'!$A$1:$AI$85"}</definedName>
    <definedName name="fghgfh" localSheetId="0" hidden="1">{#N/A,#N/A,FALSE,"Plan1";#N/A,#N/A,FALSE,"Plan2"}</definedName>
    <definedName name="FGJHFGK" localSheetId="0" hidden="1">{#N/A,#N/A,FALSE,"Plan1";#N/A,#N/A,FALSE,"Plan2"}</definedName>
    <definedName name="fgktyhdf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0" hidden="1">{#N/A,#N/A,FALSE,"Plan1";#N/A,#N/A,FALSE,"Plan2"}</definedName>
    <definedName name="fgty" localSheetId="0" hidden="1">#REF!</definedName>
    <definedName name="fhgjfgyt" localSheetId="0" hidden="1">{#N/A,#N/A,FALSE,"Plan1";#N/A,#N/A,FALSE,"Plan2"}</definedName>
    <definedName name="fhgjkhtrfg" localSheetId="0" hidden="1">{#N/A,#N/A,FALSE,"Plan1";#N/A,#N/A,FALSE,"Plan2"}</definedName>
    <definedName name="FHGTGSRSG" localSheetId="0" hidden="1">{#N/A,#N/A,FALSE,"Plan1";#N/A,#N/A,FALSE,"Plan2"}</definedName>
    <definedName name="FIELD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0" hidden="1">{#N/A,#N/A,TRUE,"Quinzena 01 à 15-04-98 "}</definedName>
    <definedName name="fjdhfgjdhtgu" localSheetId="0" hidden="1">{#N/A,#N/A,FALSE,"Plan1";#N/A,#N/A,FALSE,"Plan2"}</definedName>
    <definedName name="fjfjg" localSheetId="0" hidden="1">{#N/A,#N/A,FALSE,"명세표"}</definedName>
    <definedName name="FJG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0" hidden="1">{#N/A,#N/A,FALSE,"Plan1";#N/A,#N/A,FALSE,"Plan2"}</definedName>
    <definedName name="fjtgfh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0" hidden="1">{#N/A,#N/A,FALSE,"Plan1";#N/A,#N/A,FALSE,"Plan2"}</definedName>
    <definedName name="fl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rçt4r" localSheetId="0" hidden="1">{#N/A,#N/A,FALSE,"Plan1";#N/A,#N/A,FALSE,"Plan2"}</definedName>
    <definedName name="frdtty" localSheetId="0" hidden="1">{#N/A,#N/A,FALSE,"Plan1";#N/A,#N/A,FALSE,"Plan2"}</definedName>
    <definedName name="fsdfsf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0" hidden="1">{#N/A,#N/A,FALSE,"Plan1";#N/A,#N/A,FALSE,"Plan2"}</definedName>
    <definedName name="fxjghkfg" localSheetId="0" hidden="1">{#N/A,#N/A,FALSE,"Plan1";#N/A,#N/A,FALSE,"Plan2"}</definedName>
    <definedName name="galo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0" hidden="1">{#N/A,#N/A,FALSE,"Plan1";#N/A,#N/A,FALSE,"Plan2"}</definedName>
    <definedName name="gbdsjgsjfdgj" localSheetId="0" hidden="1">{#N/A,#N/A,FALSE,"Plan1";#N/A,#N/A,FALSE,"Plan2"}</definedName>
    <definedName name="gdfdhgfjgj" localSheetId="0" hidden="1">{#N/A,#N/A,FALSE,"Plan1";#N/A,#N/A,FALSE,"Plan2"}</definedName>
    <definedName name="gdfgdstggt" localSheetId="0" hidden="1">{#N/A,#N/A,FALSE,"Plan1";#N/A,#N/A,FALSE,"Plan2"}</definedName>
    <definedName name="GDFHGRJGFJDRF" localSheetId="0" hidden="1">{"Econ Consolidado",#N/A,FALSE,"Econ Consol";"Fluxo de Caixa",#N/A,FALSE,"Fluxo Caixa";"Investimentos",#N/A,FALSE,"Investimentos"}</definedName>
    <definedName name="gdfigfhuyuy" localSheetId="0" hidden="1">{#N/A,#N/A,FALSE,"Plan1";#N/A,#N/A,FALSE,"Plan2"}</definedName>
    <definedName name="gdfsgfew" localSheetId="0" hidden="1">{#N/A,#N/A,FALSE,"Plan1";#N/A,#N/A,FALSE,"Plan2"}</definedName>
    <definedName name="gdhfgdhfgf" localSheetId="0" hidden="1">{#N/A,#N/A,FALSE,"Plan1";#N/A,#N/A,FALSE,"Plan2"}</definedName>
    <definedName name="gdsfhefrwrw" localSheetId="0" hidden="1">{#N/A,#N/A,FALSE,"Plan1";#N/A,#N/A,FALSE,"Plan2"}</definedName>
    <definedName name="geshrjhed" localSheetId="0" hidden="1">{#N/A,#N/A,FALSE,"Plan1";#N/A,#N/A,FALSE,"Plan2"}</definedName>
    <definedName name="gestao" localSheetId="0" hidden="1">OFFSET(INDEX(#REF!,MATCH(#REF!,#REF!,0)),1,0,COUNTA(#REF!)-1)</definedName>
    <definedName name="gfdcgnkf" localSheetId="0" hidden="1">{#N/A,#N/A,FALSE,"Plan1";#N/A,#N/A,FALSE,"Plan2"}</definedName>
    <definedName name="gfdjtgur" localSheetId="0" hidden="1">{#N/A,#N/A,FALSE,"Plan1";#N/A,#N/A,FALSE,"Plan2"}</definedName>
    <definedName name="gfdrtg" localSheetId="0" hidden="1">#REF!</definedName>
    <definedName name="gfgdhxgfdhf" localSheetId="0" hidden="1">{#N/A,#N/A,FALSE,"Plan1";#N/A,#N/A,FALSE,"Plan2"}</definedName>
    <definedName name="gfhfdtgjb" localSheetId="0" hidden="1">{#N/A,#N/A,FALSE,"Plan1";#N/A,#N/A,FALSE,"Plan2"}</definedName>
    <definedName name="gfjdshrtjhtged" localSheetId="0" hidden="1">{#N/A,#N/A,FALSE,"Plan1";#N/A,#N/A,FALSE,"Plan2"}</definedName>
    <definedName name="gfjgkddgfd" localSheetId="0" hidden="1">{#N/A,#N/A,FALSE,"Plan1";#N/A,#N/A,FALSE,"Plan2"}</definedName>
    <definedName name="gfsghjdgygr" localSheetId="0" hidden="1">{#N/A,#N/A,FALSE,"Plan1";#N/A,#N/A,FALSE,"Plan2"}</definedName>
    <definedName name="gftfy" localSheetId="0" hidden="1">{#N/A,#N/A,FALSE,"Plan1";#N/A,#N/A,FALSE,"Plan2"}</definedName>
    <definedName name="gfty" localSheetId="0" hidden="1">{#N/A,#N/A,FALSE,"Plan1";#N/A,#N/A,FALSE,"Plan2"}</definedName>
    <definedName name="GFUJU9" localSheetId="0" hidden="1">{#N/A,#N/A,FALSE,"Plan1";#N/A,#N/A,FALSE,"Plan2"}</definedName>
    <definedName name="ggg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0" hidden="1">{#N/A,#N/A,FALSE,"Plan1";#N/A,#N/A,FALSE,"Plan2"}</definedName>
    <definedName name="ggggggggg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0" hidden="1">{"'장비'!$A$3:$M$12"}</definedName>
    <definedName name="ghfgdfrtert" localSheetId="0" hidden="1">{#N/A,#N/A,FALSE,"Plan1";#N/A,#N/A,FALSE,"Plan2"}</definedName>
    <definedName name="ghfhghft" localSheetId="0" hidden="1">{#N/A,#N/A,FALSE,"Plan1";#N/A,#N/A,FALSE,"Plan2"}</definedName>
    <definedName name="ghjg" localSheetId="0" hidden="1">{"'Estimativa de Lançamento-JAN'!$A$1:$AI$85"}</definedName>
    <definedName name="ghkfhgh" localSheetId="0" hidden="1">{#N/A,#N/A,FALSE,"Plan1";#N/A,#N/A,FALSE,"Plan2"}</definedName>
    <definedName name="ghkjh" localSheetId="0" hidden="1">{#N/A,#N/A,FALSE,"ENG'G(보호계전기)"}</definedName>
    <definedName name="GJ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0" hidden="1">{#N/A,#N/A,FALSE,"Plan1";#N/A,#N/A,FALSE,"Plan2"}</definedName>
    <definedName name="GJ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0" hidden="1">{#N/A,#N/A,FALSE,"Plan1";#N/A,#N/A,FALSE,"Plan2"}</definedName>
    <definedName name="glgl" localSheetId="0" hidden="1">{#N/A,#N/A,FALSE,"Plan1";#N/A,#N/A,FALSE,"Plan2"}</definedName>
    <definedName name="global" localSheetId="0" hidden="1">{"'Estimativa de Lançamento-JAN'!$A$1:$AI$85"}</definedName>
    <definedName name="gnfrth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0" hidden="1">{#N/A,#N/A,FALSE,"Plan1";#N/A,#N/A,FALSE,"Plan2"}</definedName>
    <definedName name="GUI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0" hidden="1">{#N/A,#N/A,FALSE,"CCTV"}</definedName>
    <definedName name="hcjfkhdghfktg" localSheetId="0" hidden="1">{#N/A,#N/A,FALSE,"Plan1";#N/A,#N/A,FALSE,"Plan2"}</definedName>
    <definedName name="hckhjfdkgfdg" localSheetId="0" hidden="1">#REF!</definedName>
    <definedName name="hddfndgdfg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0" hidden="1">{#N/A,#N/A,FALSE,"Plan1";#N/A,#N/A,FALSE,"Plan2"}</definedName>
    <definedName name="HDFGJKHKFDHTY" localSheetId="0" hidden="1">{#N/A,#N/A,FALSE,"Plan1";#N/A,#N/A,FALSE,"Plan2"}</definedName>
    <definedName name="hdfhdhrtgd" localSheetId="0" hidden="1">{#N/A,#N/A,FALSE,"Plan1";#N/A,#N/A,FALSE,"Plan2"}</definedName>
    <definedName name="hdfhftde" localSheetId="0" hidden="1">{#N/A,#N/A,FALSE,"Plan1";#N/A,#N/A,FALSE,"Plan2"}</definedName>
    <definedName name="hdfhgkdhgtrf" localSheetId="0" hidden="1">{#N/A,#N/A,FALSE,"Plan1";#N/A,#N/A,FALSE,"Plan2"}</definedName>
    <definedName name="hdfjhdkzhgdr" localSheetId="0" hidden="1">{#N/A,#N/A,FALSE,"Plan1";#N/A,#N/A,FALSE,"Plan2"}</definedName>
    <definedName name="hdfjkgvjgtd" localSheetId="0" hidden="1">{#N/A,#N/A,FALSE,"Plan1";#N/A,#N/A,FALSE,"Plan2"}</definedName>
    <definedName name="hdfjkhdhrute" localSheetId="0" hidden="1">{#N/A,#N/A,FALSE,"Plan1";#N/A,#N/A,FALSE,"Plan2"}</definedName>
    <definedName name="HDFKGVF" localSheetId="0" hidden="1">{#N/A,#N/A,FALSE,"Plan1";#N/A,#N/A,FALSE,"Plan2"}</definedName>
    <definedName name="hdgfhdgtdrt" localSheetId="0" hidden="1">{#N/A,#N/A,FALSE,"Plan1";#N/A,#N/A,FALSE,"Plan2"}</definedName>
    <definedName name="hdghgtgtrgd" localSheetId="0" hidden="1">{#N/A,#N/A,FALSE,"Plan1";#N/A,#N/A,FALSE,"Plan2"}</definedName>
    <definedName name="HDHDGHTUHDTG" localSheetId="0" hidden="1">{#N/A,#N/A,FALSE,"Plan1";#N/A,#N/A,FALSE,"Plan2"}</definedName>
    <definedName name="hdhghfthrrhy" localSheetId="0" hidden="1">{#N/A,#N/A,FALSE,"Plan1";#N/A,#N/A,FALSE,"Plan2"}</definedName>
    <definedName name="hdkfjhydjh" localSheetId="0" hidden="1">{#N/A,#N/A,FALSE,"Plan1";#N/A,#N/A,FALSE,"Plan2"}</definedName>
    <definedName name="hdsgfgrrdgr" localSheetId="0" hidden="1">{#N/A,#N/A,FALSE,"Plan1";#N/A,#N/A,FALSE,"Plan2"}</definedName>
    <definedName name="hdtertkkdsa" localSheetId="0" hidden="1">{#N/A,#N/A,FALSE,"Plan1";#N/A,#N/A,FALSE,"Plan2"}</definedName>
    <definedName name="HEDHA" localSheetId="0" hidden="1">{#N/A,#N/A,FALSE,"Plan1";#N/A,#N/A,FALSE,"Plan2"}</definedName>
    <definedName name="heife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0" hidden="1">{#N/A,#N/A,FALSE,"Plan1";#N/A,#N/A,FALSE,"Plan2"}</definedName>
    <definedName name="hersdtretyt" localSheetId="0" hidden="1">{#N/A,#N/A,FALSE,"Plan1";#N/A,#N/A,FALSE,"Plan2"}</definedName>
    <definedName name="HFDJTHTRS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0" hidden="1">{#N/A,#N/A,FALSE,"Plan1";#N/A,#N/A,FALSE,"Plan2"}</definedName>
    <definedName name="hfdkhgkfdhtj" localSheetId="0" hidden="1">{#N/A,#N/A,FALSE,"Plan1";#N/A,#N/A,FALSE,"Plan2"}</definedName>
    <definedName name="hfgfktgkhyt" localSheetId="0" hidden="1">{#N/A,#N/A,FALSE,"Plan1";#N/A,#N/A,FALSE,"Plan2"}</definedName>
    <definedName name="hfghdkhrgkjg" localSheetId="0" hidden="1">{#N/A,#N/A,FALSE,"Plan1";#N/A,#N/A,FALSE,"Plan2"}</definedName>
    <definedName name="hfighfth" localSheetId="0" hidden="1">{#N/A,#N/A,FALSE,"Plan1";#N/A,#N/A,FALSE,"Plan2"}</definedName>
    <definedName name="hfjghtfuyrf" localSheetId="0" hidden="1">{#N/A,#N/A,FALSE,"Plan1";#N/A,#N/A,FALSE,"Plan2"}</definedName>
    <definedName name="HFKJHDJGHFJ" localSheetId="0" hidden="1">{#N/A,#N/A,FALSE,"Plan1";#N/A,#N/A,FALSE,"Plan2"}</definedName>
    <definedName name="hgdesgfgsj" localSheetId="0" hidden="1">{#N/A,#N/A,FALSE,"Plan1";#N/A,#N/A,FALSE,"Plan2"}</definedName>
    <definedName name="hgdgfd" localSheetId="0" hidden="1">{#N/A,#N/A,FALSE,"Plan1";#N/A,#N/A,FALSE,"Plan2"}</definedName>
    <definedName name="hgfhjkdfhj" localSheetId="0" hidden="1">{#N/A,#N/A,FALSE,"Plan1";#N/A,#N/A,FALSE,"Plan2"}</definedName>
    <definedName name="hgg" localSheetId="0" hidden="1">{#N/A,#N/A,FALSE,"Plan1";#N/A,#N/A,FALSE,"Plan2"}</definedName>
    <definedName name="hgjdfgghg" localSheetId="0" hidden="1">{#N/A,#N/A,FALSE,"Plan1";#N/A,#N/A,FALSE,"Plan2"}</definedName>
    <definedName name="hgjkfdhg" localSheetId="0" hidden="1">{#N/A,#N/A,FALSE,"Plan1";#N/A,#N/A,FALSE,"Plan2"}</definedName>
    <definedName name="hgkdfhkfk" localSheetId="0" hidden="1">{#N/A,#N/A,FALSE,"Plan1";#N/A,#N/A,FALSE,"Plan2"}</definedName>
    <definedName name="hgkjhdfhtrdyt" localSheetId="0" hidden="1">{#N/A,#N/A,FALSE,"Plan1";#N/A,#N/A,FALSE,"Plan2"}</definedName>
    <definedName name="hgkjhdfkhgtfhg" localSheetId="0" hidden="1">{#N/A,#N/A,FALSE,"Plan1";#N/A,#N/A,FALSE,"Plan2"}</definedName>
    <definedName name="hgkjhkfhsdkdhgk" localSheetId="0" hidden="1">{#N/A,#N/A,FALSE,"Plan1";#N/A,#N/A,FALSE,"Plan2"}</definedName>
    <definedName name="hgsufgdhghd" localSheetId="0" hidden="1">{#N/A,#N/A,FALSE,"Plan1";#N/A,#N/A,FALSE,"Plan2"}</definedName>
    <definedName name="HHGFHTYUT" localSheetId="0" hidden="1">{#N/A,#N/A,FALSE,"Plan1";#N/A,#N/A,FALSE,"Plan2"}</definedName>
    <definedName name="hhh" localSheetId="0" hidden="1">{"'Total'!$A$1","'Total'!$A$3"}</definedName>
    <definedName name="HHIHLK" localSheetId="0" hidden="1">#REF!</definedName>
    <definedName name="hik" localSheetId="0" hidden="1">{#N/A,#N/A,FALSE,"TABLE"}</definedName>
    <definedName name="hjdgtjdjxrfg" localSheetId="0" hidden="1">{#N/A,#N/A,FALSE,"Plan1";#N/A,#N/A,FALSE,"Plan2"}</definedName>
    <definedName name="HJFDGD" localSheetId="0" hidden="1">{#N/A,#N/A,FALSE,"Plan1";#N/A,#N/A,FALSE,"Plan2"}</definedName>
    <definedName name="HJGASD" localSheetId="0" hidden="1">{#N/A,#N/A,FALSE,"Plan1";#N/A,#N/A,FALSE,"Plan2"}</definedName>
    <definedName name="HJGFGTFDG" localSheetId="0" hidden="1">{#N/A,#N/A,FALSE,"Plan1";#N/A,#N/A,FALSE,"Plan2"}</definedName>
    <definedName name="hjgfhdsgfhsd" localSheetId="0" hidden="1">{#N/A,#N/A,FALSE,"Plan1";#N/A,#N/A,FALSE,"Plan2"}</definedName>
    <definedName name="hjgxfjgdjyftr" localSheetId="0" hidden="1">{#N/A,#N/A,FALSE,"Plan1";#N/A,#N/A,FALSE,"Plan2"}</definedName>
    <definedName name="hjgyugasd" localSheetId="0" hidden="1">{#N/A,#N/A,FALSE,"Plan1";#N/A,#N/A,FALSE,"Plan2"}</definedName>
    <definedName name="hjjfyfy" localSheetId="0" hidden="1">{#N/A,#N/A,FALSE,"Plan1";#N/A,#N/A,FALSE,"Plan2"}</definedName>
    <definedName name="hjkchkvjhdjkgh" localSheetId="0" hidden="1">{#N/A,#N/A,FALSE,"Plan1";#N/A,#N/A,FALSE,"Plan2"}</definedName>
    <definedName name="hjkfjdyht" localSheetId="0" hidden="1">{#N/A,#N/A,FALSE,"Plan1";#N/A,#N/A,FALSE,"Plan2"}</definedName>
    <definedName name="hjsdffe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0" hidden="1">{#N/A,#N/A,FALSE,"Plan1";#N/A,#N/A,FALSE,"Plan2"}</definedName>
    <definedName name="hjsrdfre" localSheetId="0" hidden="1">{"Econ Consolidado",#N/A,FALSE,"Econ Consol";"Fluxo de Caixa",#N/A,FALSE,"Fluxo Caixa";"Investimentos",#N/A,FALSE,"Investimentos"}</definedName>
    <definedName name="HKewewsr" localSheetId="0" hidden="1">{#N/A,#N/A,FALSE,"Plan1";#N/A,#N/A,FALSE,"Plan2"}</definedName>
    <definedName name="hkhdskacd" localSheetId="0" hidden="1">{#N/A,#N/A,FALSE,"Plan1";#N/A,#N/A,FALSE,"Plan2"}</definedName>
    <definedName name="hkjfgfhgfh" localSheetId="0" hidden="1">{#N/A,#N/A,FALSE,"Plan1";#N/A,#N/A,FALSE,"Plan2"}</definedName>
    <definedName name="hkjfhgjkfhghfg" localSheetId="0" hidden="1">{#N/A,#N/A,FALSE,"Plan1";#N/A,#N/A,FALSE,"Plan2"}</definedName>
    <definedName name="HKLZHFRH" localSheetId="0" hidden="1">{#N/A,#N/A,FALSE,"Plan1";#N/A,#N/A,FALSE,"Plan2"}</definedName>
    <definedName name="ho" localSheetId="0" hidden="1">{#N/A,#N/A,FALSE,"TABLE"}</definedName>
    <definedName name="hrterte" localSheetId="0" hidden="1">{#N/A,#N/A,FALSE,"Plan1";#N/A,#N/A,FALSE,"Plan2"}</definedName>
    <definedName name="hsdf" localSheetId="0" hidden="1">{#N/A,#N/A,FALSE,"Plan1";#N/A,#N/A,FALSE,"Plan2"}</definedName>
    <definedName name="hsdfgdgudrt" localSheetId="0" hidden="1">{#N/A,#N/A,FALSE,"Plan1";#N/A,#N/A,FALSE,"Plan2"}</definedName>
    <definedName name="hsdfjkdhur" localSheetId="0" hidden="1">{#N/A,#N/A,FALSE,"Plan1";#N/A,#N/A,FALSE,"Plan2"}</definedName>
    <definedName name="hsdgftdht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0" hidden="1">{#N/A,#N/A,FALSE,"Plan1";#N/A,#N/A,FALSE,"Plan2"}</definedName>
    <definedName name="hsdjffe" localSheetId="0" hidden="1">{#N/A,#N/A,FALSE,"Plan1";#N/A,#N/A,FALSE,"Plan2"}</definedName>
    <definedName name="HSFIHDTR" localSheetId="0" hidden="1">{"Econ Consolidado",#N/A,FALSE,"Econ Consol";"Fluxo de Caixa",#N/A,FALSE,"Fluxo Caixa";"Investimentos",#N/A,FALSE,"Investimentos"}</definedName>
    <definedName name="hsfjkdshrgf" localSheetId="0" hidden="1">{#N/A,#N/A,FALSE,"Plan1";#N/A,#N/A,FALSE,"Plan2"}</definedName>
    <definedName name="hthhrtetdre" localSheetId="0" hidden="1">{#N/A,#N/A,FALSE,"Plan1";#N/A,#N/A,FALSE,"Plan2"}</definedName>
    <definedName name="HTML_Control" localSheetId="0" hidden="1">{"'장비'!$A$3:$M$12"}</definedName>
    <definedName name="HTML2_CONTROL" localSheetId="0" hidden="1">{"'Estimativa de Lançamento-JAN'!$A$1:$AI$85"}</definedName>
    <definedName name="HTML3_CONTROL" localSheetId="0" hidden="1">{"'Estimativa de Lançamento-JAN'!$A$1:$AI$85"}</definedName>
    <definedName name="HTMLControl" localSheetId="0" hidden="1">{"'Edit'!$A$1:$V$2277"}</definedName>
    <definedName name="HVJKHGKFXHFD" localSheetId="0" hidden="1">{#N/A,#N/A,FALSE,"Plan1";#N/A,#N/A,FALSE,"Plan2"}</definedName>
    <definedName name="hwekjhekhf" localSheetId="0" hidden="1">{#N/A,#N/A,FALSE,"Plan1";#N/A,#N/A,FALSE,"Plan2"}</definedName>
    <definedName name="HXFRE" localSheetId="0" hidden="1">{#N/A,#N/A,FALSE,"Plan1";#N/A,#N/A,FALSE,"Plan2"}</definedName>
    <definedName name="HXKJFGDKHG" localSheetId="0" hidden="1">{#N/A,#N/A,FALSE,"Plan1";#N/A,#N/A,FALSE,"Plan2"}</definedName>
    <definedName name="IC" localSheetId="0" hidden="1">#REF!</definedName>
    <definedName name="idfhgkjhfkthy" localSheetId="0" hidden="1">{#N/A,#N/A,FALSE,"Plan1";#N/A,#N/A,FALSE,"Plan2"}</definedName>
    <definedName name="ieroweft" localSheetId="0" hidden="1">{#N/A,#N/A,FALSE,"Plan1";#N/A,#N/A,FALSE,"Plan2"}</definedName>
    <definedName name="iewpotqi5poejy" localSheetId="0" hidden="1">{#N/A,#N/A,FALSE,"Plan1";#N/A,#N/A,FALSE,"Plan2"}</definedName>
    <definedName name="ihdfifguhgfuiyh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eidhgufr" localSheetId="0" hidden="1">#REF!</definedName>
    <definedName name="ihfdkjhktgrd" localSheetId="0" hidden="1">{#N/A,#N/A,FALSE,"Plan1";#N/A,#N/A,FALSE,"Plan2"}</definedName>
    <definedName name="ihrtetw4r" localSheetId="0" hidden="1">{#N/A,#N/A,FALSE,"Plan1";#N/A,#N/A,FALSE,"Plan2"}</definedName>
    <definedName name="IIASDSAWE" localSheetId="0" hidden="1">{"Econ Consolidado",#N/A,FALSE,"Econ Consol";"Fluxo de Caixa",#N/A,FALSE,"Fluxo Caixa";"Investimentos",#N/A,FALSE,"Investimentos"}</definedName>
    <definedName name="iinstalações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0" hidden="1">{#N/A,#N/A,FALSE,"Plan1";#N/A,#N/A,FALSE,"Plan2"}</definedName>
    <definedName name="ilsdr4wf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MP" localSheetId="0" hidden="1">#REF!</definedName>
    <definedName name="Index" localSheetId="0" hidden="1">#REF!</definedName>
    <definedName name="Insatalações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0" hidden="1">{"'Edit'!$A$1:$V$2277"}</definedName>
    <definedName name="ioeriotyt" localSheetId="0" hidden="1">{#N/A,#N/A,FALSE,"Plan1";#N/A,#N/A,FALSE,"Plan2"}</definedName>
    <definedName name="iohudtorh" localSheetId="0" hidden="1">{#N/A,#N/A,FALSE,"Plan1";#N/A,#N/A,FALSE,"Plan2"}</definedName>
    <definedName name="iojtkheayed" localSheetId="0" hidden="1">{#N/A,#N/A,FALSE,"Plan1";#N/A,#N/A,FALSE,"Plan2"}</definedName>
    <definedName name="iouweroieuw4" localSheetId="0" hidden="1">{#N/A,#N/A,FALSE,"Plan1";#N/A,#N/A,FALSE,"Plan2"}</definedName>
    <definedName name="iphifpgh" localSheetId="0" hidden="1">{#N/A,#N/A,FALSE,"Plan1";#N/A,#N/A,FALSE,"Plan2"}</definedName>
    <definedName name="ipodsifgpds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0" hidden="1">{#N/A,#N/A,FALSE,"Plan1";#N/A,#N/A,FALSE,"Plan2"}</definedName>
    <definedName name="item_1" localSheetId="0">#REF!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0" hidden="1">{#N/A,#N/A,FALSE,"Plan1";#N/A,#N/A,FALSE,"Plan2"}</definedName>
    <definedName name="iyuyheturtd" localSheetId="0" hidden="1">{#N/A,#N/A,FALSE,"Plan1";#N/A,#N/A,FALSE,"Plan2"}</definedName>
    <definedName name="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0" hidden="1">{#N/A,#N/A,FALSE,"Plan1";#N/A,#N/A,FALSE,"Plan2"}</definedName>
    <definedName name="JASDJS" localSheetId="0" hidden="1">{#N/A,#N/A,FALSE,"Plan1";#N/A,#N/A,FALSE,"Plan2"}</definedName>
    <definedName name="jaskldjlse" localSheetId="0" hidden="1">{#N/A,#N/A,FALSE,"Plan1";#N/A,#N/A,FALSE,"Plan2"}</definedName>
    <definedName name="JASLDKLD" localSheetId="0" hidden="1">{#N/A,#N/A,FALSE,"Plan1";#N/A,#N/A,FALSE,"Plan2"}</definedName>
    <definedName name="jasoe" localSheetId="0" hidden="1">#REF!</definedName>
    <definedName name="jbzxffcbgdhgft" localSheetId="0" hidden="1">#REF!</definedName>
    <definedName name="JÇDFHDF" localSheetId="0" hidden="1">{"Econ Consolidado",#N/A,FALSE,"Econ Consol";"Fluxo de Caixa",#N/A,FALSE,"Fluxo Caixa";"Investimentos",#N/A,FALSE,"Investimentos"}</definedName>
    <definedName name="jdbgftbhr" localSheetId="0" hidden="1">{#N/A,#N/A,FALSE,"Plan1";#N/A,#N/A,FALSE,"Plan2"}</definedName>
    <definedName name="jdfgkrhgft" localSheetId="0" hidden="1">#REF!</definedName>
    <definedName name="jdfgldfjgklh" localSheetId="0" hidden="1">{#N/A,#N/A,FALSE,"Plan1";#N/A,#N/A,FALSE,"Plan2"}</definedName>
    <definedName name="jdfhjkdrhjtkg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0" hidden="1">{#N/A,#N/A,FALSE,"Plan1";#N/A,#N/A,FALSE,"Plan2"}</definedName>
    <definedName name="JDFJLDJR" localSheetId="0" hidden="1">{#N/A,#N/A,FALSE,"Plan1";#N/A,#N/A,FALSE,"Plan2"}</definedName>
    <definedName name="jdfkgitfgdrtt" localSheetId="0" hidden="1">{#N/A,#N/A,FALSE,"Plan1";#N/A,#N/A,FALSE,"Plan2"}</definedName>
    <definedName name="JDFKHFKJ" localSheetId="0" hidden="1">{#N/A,#N/A,FALSE,"Plan1";#N/A,#N/A,FALSE,"Plan2"}</definedName>
    <definedName name="jdfklgtdtr" localSheetId="0" hidden="1">{#N/A,#N/A,FALSE,"Plan1";#N/A,#N/A,FALSE,"Plan2"}</definedName>
    <definedName name="JDFKTHRT" localSheetId="0" hidden="1">{#N/A,#N/A,FALSE,"Plan1";#N/A,#N/A,FALSE,"Plan2"}</definedName>
    <definedName name="JDFLKJDRF" localSheetId="0" hidden="1">{#N/A,#N/A,FALSE,"Plan1";#N/A,#N/A,FALSE,"Plan2"}</definedName>
    <definedName name="jdfzlkjgfdht" localSheetId="0" hidden="1">{#N/A,#N/A,FALSE,"Plan1";#N/A,#N/A,FALSE,"Plan2"}</definedName>
    <definedName name="jdglhfghkt" localSheetId="0" hidden="1">{#N/A,#N/A,FALSE,"Plan1";#N/A,#N/A,FALSE,"Plan2"}</definedName>
    <definedName name="jdhfjdhgfd" localSheetId="0" hidden="1">{#N/A,#N/A,FALSE,"Plan1";#N/A,#N/A,FALSE,"Plan2"}</definedName>
    <definedName name="jdjdjdjd" localSheetId="0" hidden="1">{#N/A,#N/A,FALSE,"명세표"}</definedName>
    <definedName name="jdkfhgjhf" localSheetId="0" hidden="1">{#N/A,#N/A,FALSE,"Plan1";#N/A,#N/A,FALSE,"Plan2"}</definedName>
    <definedName name="jdkfjdtr" localSheetId="0" hidden="1">{#N/A,#N/A,FALSE,"Plan1";#N/A,#N/A,FALSE,"Plan2"}</definedName>
    <definedName name="jdljgftldjti5r" localSheetId="0" hidden="1">{#N/A,#N/A,FALSE,"Plan1";#N/A,#N/A,FALSE,"Plan2"}</definedName>
    <definedName name="JDLKJDASGF" localSheetId="0" hidden="1">{#N/A,#N/A,FALSE,"Plan1";#N/A,#N/A,FALSE,"Plan2"}</definedName>
    <definedName name="jdrfkdjfghrtfjg" localSheetId="0" hidden="1">{#N/A,#N/A,FALSE,"Plan1";#N/A,#N/A,FALSE,"Plan2"}</definedName>
    <definedName name="jdskfhdk" localSheetId="0" hidden="1">{#N/A,#N/A,FALSE,"Plan1";#N/A,#N/A,FALSE,"Plan2"}</definedName>
    <definedName name="JDSKLGKDRHGGF" localSheetId="0" hidden="1">{#N/A,#N/A,FALSE,"Plan1";#N/A,#N/A,FALSE,"Plan2"}</definedName>
    <definedName name="jefsgfr" localSheetId="0" hidden="1">{#N/A,#N/A,FALSE,"Plan1";#N/A,#N/A,FALSE,"Plan2"}</definedName>
    <definedName name="JERHIEHYURE" localSheetId="0" hidden="1">{#N/A,#N/A,FALSE,"Plan1";#N/A,#N/A,FALSE,"Plan2"}</definedName>
    <definedName name="jfddlsrtyty" localSheetId="0" hidden="1">{#N/A,#N/A,FALSE,"Plan1";#N/A,#N/A,FALSE,"Plan2"}</definedName>
    <definedName name="jfdjtgdjghitfyh" localSheetId="0" hidden="1">{#N/A,#N/A,FALSE,"Plan1";#N/A,#N/A,FALSE,"Plan2"}</definedName>
    <definedName name="jfdkgkftftg" localSheetId="0" hidden="1">{#N/A,#N/A,FALSE,"Plan1";#N/A,#N/A,FALSE,"Plan2"}</definedName>
    <definedName name="jfghjkfdhtkyru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0" hidden="1">{#N/A,#N/A,FALSE,"Plan1";#N/A,#N/A,FALSE,"Plan2"}</definedName>
    <definedName name="jfgkflcnjkglc" localSheetId="0" hidden="1">{#N/A,#N/A,FALSE,"Plan1";#N/A,#N/A,FALSE,"Plan2"}</definedName>
    <definedName name="JFHRE" localSheetId="0" hidden="1">{#N/A,#N/A,FALSE,"Plan1";#N/A,#N/A,FALSE,"Plan2"}</definedName>
    <definedName name="jfkdls5jtirjd" localSheetId="0" hidden="1">{#N/A,#N/A,FALSE,"Plan1";#N/A,#N/A,FALSE,"Plan2"}</definedName>
    <definedName name="jfkljdkfcj" localSheetId="0" hidden="1">{#N/A,#N/A,FALSE,"Plan1";#N/A,#N/A,FALSE,"Plan2"}</definedName>
    <definedName name="jfkrhdtghdut" localSheetId="0" hidden="1">{#N/A,#N/A,FALSE,"Plan1";#N/A,#N/A,FALSE,"Plan2"}</definedName>
    <definedName name="JFRESR" localSheetId="0" hidden="1">{#N/A,#N/A,FALSE,"Plan1";#N/A,#N/A,FALSE,"Plan2"}</definedName>
    <definedName name="jgdfdgfjgdj" localSheetId="0" hidden="1">{#N/A,#N/A,FALSE,"Plan1";#N/A,#N/A,FALSE,"Plan2"}</definedName>
    <definedName name="jgdfght" localSheetId="0" hidden="1">{#N/A,#N/A,FALSE,"Plan1";#N/A,#N/A,FALSE,"Plan2"}</definedName>
    <definedName name="jgfgdsgfdhrf" localSheetId="0" hidden="1">{#N/A,#N/A,FALSE,"Plan1";#N/A,#N/A,FALSE,"Plan2"}</definedName>
    <definedName name="JGFJGTFT" localSheetId="0" hidden="1">{#N/A,#N/A,FALSE,"Plan1";#N/A,#N/A,FALSE,"Plan2"}</definedName>
    <definedName name="jgkjkhjuftgi" localSheetId="0" hidden="1">{#N/A,#N/A,FALSE,"Plan1";#N/A,#N/A,FALSE,"Plan2"}</definedName>
    <definedName name="jh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0" hidden="1">{#N/A,#N/A,FALSE,"Plan1";#N/A,#N/A,FALSE,"Plan2"}</definedName>
    <definedName name="jhdfjkhtrdhf" localSheetId="0" hidden="1">{#N/A,#N/A,FALSE,"Plan1";#N/A,#N/A,FALSE,"Plan2"}</definedName>
    <definedName name="jhdfuthr" localSheetId="0" hidden="1">{#N/A,#N/A,FALSE,"Plan1";#N/A,#N/A,FALSE,"Plan2"}</definedName>
    <definedName name="JHDFZGRDHF" localSheetId="0" hidden="1">{"Econ Consolidado",#N/A,FALSE,"Econ Consol";"Fluxo de Caixa",#N/A,FALSE,"Fluxo Caixa";"Investimentos",#N/A,FALSE,"Investimentos"}</definedName>
    <definedName name="JHERKHKFGH" localSheetId="0" hidden="1">{#N/A,#N/A,FALSE,"Plan1";#N/A,#N/A,FALSE,"Plan2"}</definedName>
    <definedName name="jhfhhztfhe" localSheetId="0" hidden="1">#REF!</definedName>
    <definedName name="JHGKJFJFJGL" localSheetId="0" hidden="1">{#N/A,#N/A,FALSE,"Plan1";#N/A,#N/A,FALSE,"Plan2"}</definedName>
    <definedName name="jhsdjkhfuks" localSheetId="0" hidden="1">{#N/A,#N/A,FALSE,"Plan1";#N/A,#N/A,FALSE,"Plan2"}</definedName>
    <definedName name="jisdrkje" localSheetId="0" hidden="1">{#N/A,#N/A,FALSE,"Plan1";#N/A,#N/A,FALSE,"Plan2"}</definedName>
    <definedName name="jishfrieyhtau" localSheetId="0" hidden="1">{#N/A,#N/A,FALSE,"Plan1";#N/A,#N/A,FALSE,"Plan2"}</definedName>
    <definedName name="jiu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0" hidden="1">{"'Apr-00'!$B$4:$AD$44"}</definedName>
    <definedName name="jjfdsktyhhy" localSheetId="0" hidden="1">{#N/A,#N/A,FALSE,"Plan1";#N/A,#N/A,FALSE,"Plan2"}</definedName>
    <definedName name="jjkjkjk" localSheetId="0" hidden="1">{#N/A,#N/A,FALSE,"Plan1";#N/A,#N/A,FALSE,"Plan2"}</definedName>
    <definedName name="JKDCK" localSheetId="0" hidden="1">{#N/A,#N/A,FALSE,"Plan1";#N/A,#N/A,FALSE,"Plan2"}</definedName>
    <definedName name="JKDFHKHFR" localSheetId="0" hidden="1">{#N/A,#N/A,FALSE,"Plan1";#N/A,#N/A,FALSE,"Plan2"}</definedName>
    <definedName name="JKDFTRDRJ" localSheetId="0" hidden="1">{#N/A,#N/A,FALSE,"Plan1";#N/A,#N/A,FALSE,"Plan2"}</definedName>
    <definedName name="jkdhfukhddf" localSheetId="0" hidden="1">{#N/A,#N/A,FALSE,"Plan1";#N/A,#N/A,FALSE,"Plan2"}</definedName>
    <definedName name="JKDRKGJHTDR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0" hidden="1">{#N/A,#N/A,FALSE,"Plan1";#N/A,#N/A,FALSE,"Plan2"}</definedName>
    <definedName name="jkfhjgkfhghh" localSheetId="0" hidden="1">{#N/A,#N/A,FALSE,"Plan1";#N/A,#N/A,FALSE,"Plan2"}</definedName>
    <definedName name="jkhderjkhes" localSheetId="0" hidden="1">{#N/A,#N/A,FALSE,"Plan1";#N/A,#N/A,FALSE,"Plan2"}</definedName>
    <definedName name="jkhdfhfd" localSheetId="0" hidden="1">{#N/A,#N/A,FALSE,"Plan1";#N/A,#N/A,FALSE,"Plan2"}</definedName>
    <definedName name="jkhfhest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0" hidden="1">{#N/A,#N/A,FALSE,"Plan1";#N/A,#N/A,FALSE,"Plan2"}</definedName>
    <definedName name="JKHGDHFUHTG" localSheetId="0" hidden="1">{#N/A,#N/A,FALSE,"Plan1";#N/A,#N/A,FALSE,"Plan2"}</definedName>
    <definedName name="jkhsdzjkfyiu" localSheetId="0" hidden="1">{#N/A,#N/A,FALSE,"Plan1";#N/A,#N/A,FALSE,"Plan2"}</definedName>
    <definedName name="jkjsdkhfdhrf" localSheetId="0" hidden="1">{#N/A,#N/A,FALSE,"Plan1";#N/A,#N/A,FALSE,"Plan2"}</definedName>
    <definedName name="jklgfsjgtjtg" localSheetId="0" hidden="1">{#N/A,#N/A,FALSE,"Plan1";#N/A,#N/A,FALSE,"Plan2"}</definedName>
    <definedName name="jksldfjsdhf" localSheetId="0" hidden="1">{#N/A,#N/A,FALSE,"Plan1";#N/A,#N/A,FALSE,"Plan2"}</definedName>
    <definedName name="jkxhcjkhfr" localSheetId="0" hidden="1">{#N/A,#N/A,FALSE,"Plan1";#N/A,#N/A,FALSE,"Plan2"}</definedName>
    <definedName name="JNGCKFKJFGH" localSheetId="0" hidden="1">{#N/A,#N/A,FALSE,"Plan1";#N/A,#N/A,FALSE,"Plan2"}</definedName>
    <definedName name="JREJRW" localSheetId="0" hidden="1">{#N/A,#N/A,FALSE,"Plan1";#N/A,#N/A,FALSE,"Plan2"}</definedName>
    <definedName name="JSADKAH" localSheetId="0" hidden="1">{"Econ Consolidado",#N/A,FALSE,"Econ Consol";"Fluxo de Caixa",#N/A,FALSE,"Fluxo Caixa";"Investimentos",#N/A,FALSE,"Investimentos"}</definedName>
    <definedName name="JSDAJRE" localSheetId="0" hidden="1">{#N/A,#N/A,FALSE,"Plan1";#N/A,#N/A,FALSE,"Plan2"}</definedName>
    <definedName name="jsdffse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0" hidden="1">{#N/A,#N/A,FALSE,"Plan1";#N/A,#N/A,FALSE,"Plan2"}</definedName>
    <definedName name="jsdfkgnfr" localSheetId="0" hidden="1">#REF!</definedName>
    <definedName name="jsdfsdfd" localSheetId="0" hidden="1">{#N/A,#N/A,FALSE,"Plan1";#N/A,#N/A,FALSE,"Plan2"}</definedName>
    <definedName name="jsdljficd" localSheetId="0" hidden="1">{#N/A,#N/A,FALSE,"Plan1";#N/A,#N/A,FALSE,"Plan2"}</definedName>
    <definedName name="JSDTLFJDRG" localSheetId="0" hidden="1">{#N/A,#N/A,FALSE,"Plan1";#N/A,#N/A,FALSE,"Plan2"}</definedName>
    <definedName name="jsfjsjferwea" localSheetId="0" hidden="1">{#N/A,#N/A,FALSE,"Plan1";#N/A,#N/A,FALSE,"Plan2"}</definedName>
    <definedName name="jslrjer" localSheetId="0" hidden="1">{#N/A,#N/A,FALSE,"Plan1";#N/A,#N/A,FALSE,"Plan2"}</definedName>
    <definedName name="juklhkhdf" localSheetId="0" hidden="1">{#N/A,#N/A,FALSE,"Plan1";#N/A,#N/A,FALSE,"Plan2"}</definedName>
    <definedName name="JULHO99" localSheetId="0" hidden="1">{#N/A,#N/A,TRUE,"Quinzena 01 à 15-04-98 "}</definedName>
    <definedName name="jwekljd" localSheetId="0" hidden="1">{#N/A,#N/A,FALSE,"Plan1";#N/A,#N/A,FALSE,"Plan2"}</definedName>
    <definedName name="JWEOITORU5Y" localSheetId="0" hidden="1">{#N/A,#N/A,FALSE,"Plan1";#N/A,#N/A,FALSE,"Plan2"}</definedName>
    <definedName name="jxdfjsrf" localSheetId="0" hidden="1">{#N/A,#N/A,FALSE,"Plan1";#N/A,#N/A,FALSE,"Plan2"}</definedName>
    <definedName name="jxdklfjv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Y" localSheetId="0" hidden="1">#REF!</definedName>
    <definedName name="jzsdjkszl" localSheetId="0" hidden="1">{#N/A,#N/A,FALSE,"Plan1";#N/A,#N/A,FALSE,"Plan2"}</definedName>
    <definedName name="JZXFKLJLDJF" localSheetId="0" hidden="1">{#N/A,#N/A,FALSE,"Plan1";#N/A,#N/A,FALSE,"Plan2"}</definedName>
    <definedName name="jzxklfdlvgfg" localSheetId="0" hidden="1">{#N/A,#N/A,FALSE,"Plan1";#N/A,#N/A,FALSE,"Plan2"}</definedName>
    <definedName name="k" localSheetId="0" hidden="1">{#N/A,#N/A,FALSE,"Plan1";#N/A,#N/A,FALSE,"Plan2"}</definedName>
    <definedName name="kaedkroswr" localSheetId="0" hidden="1">{"Econ Consolidado",#N/A,FALSE,"Econ Consol";"Fluxo de Caixa",#N/A,FALSE,"Fluxo Caixa";"Investimentos",#N/A,FALSE,"Investimentos"}</definedName>
    <definedName name="kç\lKçaksdçaqew" localSheetId="0" hidden="1">{#N/A,#N/A,FALSE,"Plan1";#N/A,#N/A,FALSE,"Plan2"}</definedName>
    <definedName name="kçdasekr" localSheetId="0" hidden="1">{#N/A,#N/A,FALSE,"Plan1";#N/A,#N/A,FALSE,"Plan2"}</definedName>
    <definedName name="kçfdljtredr" localSheetId="0" hidden="1">{#N/A,#N/A,FALSE,"Plan1";#N/A,#N/A,FALSE,"Plan2"}</definedName>
    <definedName name="kclçkglf" localSheetId="0" hidden="1">{#N/A,#N/A,FALSE,"Plan1";#N/A,#N/A,FALSE,"Plan2"}</definedName>
    <definedName name="kçlkasçkere" localSheetId="0" hidden="1">{#N/A,#N/A,FALSE,"Plan1";#N/A,#N/A,FALSE,"Plan2"}</definedName>
    <definedName name="kdfbngtjkbf" localSheetId="0" hidden="1">{#N/A,#N/A,FALSE,"Plan1";#N/A,#N/A,FALSE,"Plan2"}</definedName>
    <definedName name="kdfhkghkrh" localSheetId="0" hidden="1">{#N/A,#N/A,FALSE,"Plan1";#N/A,#N/A,FALSE,"Plan2"}</definedName>
    <definedName name="kdfier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0" hidden="1">{#N/A,#N/A,FALSE,"Plan1";#N/A,#N/A,FALSE,"Plan2"}</definedName>
    <definedName name="kdfljlfr" localSheetId="0" hidden="1">{#N/A,#N/A,FALSE,"Plan1";#N/A,#N/A,FALSE,"Plan2"}</definedName>
    <definedName name="kdhfgkdfhytgu" localSheetId="0" hidden="1">{#N/A,#N/A,FALSE,"Plan1";#N/A,#N/A,FALSE,"Plan2"}</definedName>
    <definedName name="kdhgftfg" localSheetId="0" hidden="1">{#N/A,#N/A,FALSE,"Plan1";#N/A,#N/A,FALSE,"Plan2"}</definedName>
    <definedName name="KDHKFGKKHGF" localSheetId="0" hidden="1">{#N/A,#N/A,FALSE,"Plan1";#N/A,#N/A,FALSE,"Plan2"}</definedName>
    <definedName name="kdjfdr" localSheetId="0" hidden="1">#REF!</definedName>
    <definedName name="kdjgkfjgd" localSheetId="0" hidden="1">{#N/A,#N/A,FALSE,"Plan1";#N/A,#N/A,FALSE,"Plan2"}</definedName>
    <definedName name="kdjglkdlgjd" localSheetId="0" hidden="1">{#N/A,#N/A,FALSE,"Plan1";#N/A,#N/A,FALSE,"Plan2"}</definedName>
    <definedName name="kdjsfkldjgkty" localSheetId="0" hidden="1">{#N/A,#N/A,FALSE,"Plan1";#N/A,#N/A,FALSE,"Plan2"}</definedName>
    <definedName name="KDJU" localSheetId="0" hidden="1">{"'장비'!$A$3:$M$12"}</definedName>
    <definedName name="kdkjhgdkfhjk" localSheetId="0" hidden="1">{#N/A,#N/A,FALSE,"Plan1";#N/A,#N/A,FALSE,"Plan2"}</definedName>
    <definedName name="kdsf" localSheetId="0" hidden="1">{#N/A,#N/A,FALSE,"Plan1";#N/A,#N/A,FALSE,"Plan2"}</definedName>
    <definedName name="kdsr" localSheetId="0" hidden="1">{#N/A,#N/A,FALSE,"Plan1";#N/A,#N/A,FALSE,"Plan2"}</definedName>
    <definedName name="kergtfdstr" localSheetId="0" hidden="1">{#N/A,#N/A,FALSE,"Plan1";#N/A,#N/A,FALSE,"Plan2"}</definedName>
    <definedName name="KFDKTHGT" localSheetId="0" hidden="1">{#N/A,#N/A,FALSE,"Plan1";#N/A,#N/A,FALSE,"Plan2"}</definedName>
    <definedName name="kfdxlfdzs" localSheetId="0" hidden="1">{"Econ Consolidado",#N/A,FALSE,"Econ Consol";"Fluxo de Caixa",#N/A,FALSE,"Fluxo Caixa";"Investimentos",#N/A,FALSE,"Investimentos"}</definedName>
    <definedName name="kfgkhjkjhy" localSheetId="0" hidden="1">{#N/A,#N/A,FALSE,"Plan1";#N/A,#N/A,FALSE,"Plan2"}</definedName>
    <definedName name="KFJFDSDF" localSheetId="0" hidden="1">{#N/A,#N/A,FALSE,"Plan1";#N/A,#N/A,FALSE,"Plan2"}</definedName>
    <definedName name="kfnkeasd" localSheetId="0" hidden="1">{#N/A,#N/A,FALSE,"Plan1";#N/A,#N/A,FALSE,"Plan2"}</definedName>
    <definedName name="khdjkfkjhtg" localSheetId="0" hidden="1">{#N/A,#N/A,FALSE,"Plan1";#N/A,#N/A,FALSE,"Plan2"}</definedName>
    <definedName name="khdkfjhhfsdg" localSheetId="0" hidden="1">{#N/A,#N/A,FALSE,"Plan1";#N/A,#N/A,FALSE,"Plan2"}</definedName>
    <definedName name="khdkjfhgudytu" localSheetId="0" hidden="1">{#N/A,#N/A,FALSE,"Plan1";#N/A,#N/A,FALSE,"Plan2"}</definedName>
    <definedName name="khfdghhhgd" localSheetId="0" hidden="1">{#N/A,#N/A,FALSE,"Plan1";#N/A,#N/A,FALSE,"Plan2"}</definedName>
    <definedName name="khfdkjhsdjf" localSheetId="0" hidden="1">{#N/A,#N/A,FALSE,"Plan1";#N/A,#N/A,FALSE,"Plan2"}</definedName>
    <definedName name="khgdkftfy" localSheetId="0" hidden="1">{#N/A,#N/A,FALSE,"Plan1";#N/A,#N/A,FALSE,"Plan2"}</definedName>
    <definedName name="khgfhhtuhf" localSheetId="0" hidden="1">{#N/A,#N/A,FALSE,"Plan1";#N/A,#N/A,FALSE,"Plan2"}</definedName>
    <definedName name="khjkh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0" hidden="1">{#N/A,#N/A,FALSE,"Plan1";#N/A,#N/A,FALSE,"Plan2"}</definedName>
    <definedName name="kieret" localSheetId="0" hidden="1">{#N/A,#N/A,FALSE,"Plan1";#N/A,#N/A,FALSE,"Plan2"}</definedName>
    <definedName name="kiweokwr" localSheetId="0" hidden="1">#REF!</definedName>
    <definedName name="kjchkfhsezk" localSheetId="0" hidden="1">{#N/A,#N/A,FALSE,"Plan1";#N/A,#N/A,FALSE,"Plan2"}</definedName>
    <definedName name="kjdghksef" localSheetId="0" hidden="1">{#N/A,#N/A,FALSE,"Plan1";#N/A,#N/A,FALSE,"Plan2"}</definedName>
    <definedName name="kjdkftyhtert" localSheetId="0" hidden="1">{#N/A,#N/A,FALSE,"Plan1";#N/A,#N/A,FALSE,"Plan2"}</definedName>
    <definedName name="kjdlfkjds" localSheetId="0" hidden="1">{#N/A,#N/A,FALSE,"Plan1";#N/A,#N/A,FALSE,"Plan2"}</definedName>
    <definedName name="kjdzhfytrfy" localSheetId="0" hidden="1">{#N/A,#N/A,FALSE,"Plan1";#N/A,#N/A,FALSE,"Plan2"}</definedName>
    <definedName name="kjhdfgjthdft" localSheetId="0" hidden="1">{#N/A,#N/A,FALSE,"Plan1";#N/A,#N/A,FALSE,"Plan2"}</definedName>
    <definedName name="kjhsdfk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0" hidden="1">{#N/A,#N/A,FALSE,"Plan1";#N/A,#N/A,FALSE,"Plan2"}</definedName>
    <definedName name="KJ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0" hidden="1">{#N/A,#N/A,FALSE,"Plan1";#N/A,#N/A,FALSE,"Plan2"}</definedName>
    <definedName name="kjl" localSheetId="0" hidden="1">{#N/A,#N/A,FALSE,"ENG'G(보호계전기)"}</definedName>
    <definedName name="KJOI" localSheetId="0" hidden="1">{#N/A,#N/A,FALSE,"Plan1";#N/A,#N/A,FALSE,"Plan2"}</definedName>
    <definedName name="kjqwerw" localSheetId="0" hidden="1">{#N/A,#N/A,FALSE,"Plan1";#N/A,#N/A,FALSE,"Plan2"}</definedName>
    <definedName name="kjsfert" localSheetId="0" hidden="1">{#N/A,#N/A,FALSE,"Plan1";#N/A,#N/A,FALSE,"Plan2"}</definedName>
    <definedName name="KJXCFKR" localSheetId="0" hidden="1">{#N/A,#N/A,FALSE,"Plan1";#N/A,#N/A,FALSE,"Plan2"}</definedName>
    <definedName name="KJXDFD" localSheetId="0" hidden="1">{#N/A,#N/A,FALSE,"Plan1";#N/A,#N/A,FALSE,"Plan2"}</definedName>
    <definedName name="kjydhfkjghkjfh" localSheetId="0" hidden="1">#REF!</definedName>
    <definedName name="kk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0" hidden="1">{#N/A,#N/A,FALSE,"Plan1";#N/A,#N/A,FALSE,"Plan2"}</definedName>
    <definedName name="kkkkk" localSheetId="0" hidden="1">{#N/A,#N/A,FALSE,"Plan1";#N/A,#N/A,FALSE,"Plan2"}</definedName>
    <definedName name="kkkkkk" localSheetId="0" hidden="1">{#N/A,#N/A,FALSE,"Plan1";#N/A,#N/A,FALSE,"Plan2"}</definedName>
    <definedName name="kko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0" hidden="1">{#N/A,#N/A,FALSE,"Plan1";#N/A,#N/A,FALSE,"Plan2"}</definedName>
    <definedName name="kksarde" localSheetId="0" hidden="1">{#N/A,#N/A,FALSE,"Plan1";#N/A,#N/A,FALSE,"Plan2"}</definedName>
    <definedName name="klaskldjsw" localSheetId="0" hidden="1">{#N/A,#N/A,FALSE,"Plan1";#N/A,#N/A,FALSE,"Plan2"}</definedName>
    <definedName name="klçkop" localSheetId="0" hidden="1">{#N/A,#N/A,FALSE,"Plan1";#N/A,#N/A,FALSE,"Plan2"}</definedName>
    <definedName name="KLDFNTRDT" localSheetId="0" hidden="1">{#N/A,#N/A,FALSE,"Plan1";#N/A,#N/A,FALSE,"Plan2"}</definedName>
    <definedName name="klhjsdklhdf" localSheetId="0" hidden="1">{#N/A,#N/A,FALSE,"Plan1";#N/A,#N/A,FALSE,"Plan2"}</definedName>
    <definedName name="KLHSKLRHWE" localSheetId="0" hidden="1">{#N/A,#N/A,FALSE,"Plan1";#N/A,#N/A,FALSE,"Plan2"}</definedName>
    <definedName name="KLJASKJD" localSheetId="0" hidden="1">{#N/A,#N/A,FALSE,"Plan1";#N/A,#N/A,FALSE,"Plan2"}</definedName>
    <definedName name="KLJDXLG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0" hidden="1">{#N/A,#N/A,FALSE,"Plan1";#N/A,#N/A,FALSE,"Plan2"}</definedName>
    <definedName name="kljflgjrf" localSheetId="0" hidden="1">{#N/A,#N/A,FALSE,"Plan1";#N/A,#N/A,FALSE,"Plan2"}</definedName>
    <definedName name="kljgfdfr" localSheetId="0" hidden="1">{#N/A,#N/A,FALSE,"Plan1";#N/A,#N/A,FALSE,"Plan2"}</definedName>
    <definedName name="kljgfjrt" localSheetId="0" hidden="1">{#N/A,#N/A,FALSE,"Plan1";#N/A,#N/A,FALSE,"Plan2"}</definedName>
    <definedName name="kljlkdfj" localSheetId="0" hidden="1">{#N/A,#N/A,FALSE,"Plan1";#N/A,#N/A,FALSE,"Plan2"}</definedName>
    <definedName name="kljsakjfr" localSheetId="0" hidden="1">{#N/A,#N/A,FALSE,"Plan1";#N/A,#N/A,FALSE,"Plan2"}</definedName>
    <definedName name="kljsdje" localSheetId="0" hidden="1">{#N/A,#N/A,FALSE,"Plan1";#N/A,#N/A,FALSE,"Plan2"}</definedName>
    <definedName name="kljsfwe" localSheetId="0" hidden="1">{#N/A,#N/A,FALSE,"Plan1";#N/A,#N/A,FALSE,"Plan2"}</definedName>
    <definedName name="klk" localSheetId="0" hidden="1">{#N/A,#N/A,FALSE,"Plan1";#N/A,#N/A,FALSE,"Plan2"}</definedName>
    <definedName name="KLKKLKÇJÇ" localSheetId="0" hidden="1">{#N/A,#N/A,FALSE,"Plan1";#N/A,#N/A,FALSE,"Plan2"}</definedName>
    <definedName name="KLSDFT" localSheetId="0" hidden="1">{#N/A,#N/A,FALSE,"Plan1";#N/A,#N/A,FALSE,"Plan2"}</definedName>
    <definedName name="KLSDHSJKHF" localSheetId="0" hidden="1">{#N/A,#N/A,FALSE,"Plan1";#N/A,#N/A,FALSE,"Plan2"}</definedName>
    <definedName name="klsdkre" localSheetId="0" hidden="1">{#N/A,#N/A,FALSE,"Plan1";#N/A,#N/A,FALSE,"Plan2"}</definedName>
    <definedName name="KLSIDJE" localSheetId="0" hidden="1">{#N/A,#N/A,FALSE,"Plan1";#N/A,#N/A,FALSE,"Plan2"}</definedName>
    <definedName name="klsjarsf" localSheetId="0" hidden="1">{#N/A,#N/A,FALSE,"Plan1";#N/A,#N/A,FALSE,"Plan2"}</definedName>
    <definedName name="klsjdwe" localSheetId="0" hidden="1">#REF!</definedName>
    <definedName name="klxhjfdkhser" localSheetId="0" hidden="1">{#N/A,#N/A,FALSE,"Plan1";#N/A,#N/A,FALSE,"Plan2"}</definedName>
    <definedName name="kopipnsdfne" localSheetId="0" hidden="1">{#N/A,#N/A,FALSE,"Plan1";#N/A,#N/A,FALSE,"Plan2"}</definedName>
    <definedName name="kp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0" hidden="1">{#N/A,#N/A,FALSE,"Plan1";#N/A,#N/A,FALSE,"Plan2"}</definedName>
    <definedName name="ksdlkfsçzd" localSheetId="0" hidden="1">{#N/A,#N/A,FALSE,"Plan1";#N/A,#N/A,FALSE,"Plan2"}</definedName>
    <definedName name="ksdoçierfe" localSheetId="0" hidden="1">{#N/A,#N/A,FALSE,"Plan1";#N/A,#N/A,FALSE,"Plan2"}</definedName>
    <definedName name="ksdtrdrkf" localSheetId="0" hidden="1">{#N/A,#N/A,FALSE,"Plan1";#N/A,#N/A,FALSE,"Plan2"}</definedName>
    <definedName name="KSFÇJDFJL" localSheetId="0" hidden="1">{#N/A,#N/A,FALSE,"Plan1";#N/A,#N/A,FALSE,"Plan2"}</definedName>
    <definedName name="ksfhse" localSheetId="0" hidden="1">{#N/A,#N/A,FALSE,"Plan1";#N/A,#N/A,FALSE,"Plan2"}</definedName>
    <definedName name="KSRKOE" localSheetId="0" hidden="1">{#N/A,#N/A,FALSE,"Plan1";#N/A,#N/A,FALSE,"Plan2"}</definedName>
    <definedName name="KSWKE" localSheetId="0" hidden="1">{#N/A,#N/A,FALSE,"Plan1";#N/A,#N/A,FALSE,"Plan2"}</definedName>
    <definedName name="kysdusf" localSheetId="0" hidden="1">{#N/A,#N/A,FALSE,"Plan1";#N/A,#N/A,FALSE,"Plan2"}</definedName>
    <definedName name="kzslçdkçle" localSheetId="0" hidden="1">{#N/A,#N/A,FALSE,"Plan1";#N/A,#N/A,FALSE,"Plan2"}</definedName>
    <definedName name="LAEKWRK" localSheetId="0" hidden="1">{#N/A,#N/A,FALSE,"Plan1";#N/A,#N/A,FALSE,"Plan2"}</definedName>
    <definedName name="laeqwep" localSheetId="0" hidden="1">#REF!</definedName>
    <definedName name="LAKDEWRF" localSheetId="0" hidden="1">{#N/A,#N/A,FALSE,"Plan1";#N/A,#N/A,FALSE,"Plan2"}</definedName>
    <definedName name="LASÇDSRLF" localSheetId="0" hidden="1">{#N/A,#N/A,FALSE,"Plan1";#N/A,#N/A,FALSE,"Plan2"}</definedName>
    <definedName name="lasrlswer" localSheetId="0" hidden="1">{#N/A,#N/A,FALSE,"Plan1";#N/A,#N/A,FALSE,"Plan2"}</definedName>
    <definedName name="lçadple4r" localSheetId="0" hidden="1">{#N/A,#N/A,FALSE,"Plan1";#N/A,#N/A,FALSE,"Plan2"}</definedName>
    <definedName name="lçasser" localSheetId="0" hidden="1">{#N/A,#N/A,FALSE,"Plan1";#N/A,#N/A,FALSE,"Plan2"}</definedName>
    <definedName name="lcdgjtklfrn" localSheetId="0" hidden="1">{#N/A,#N/A,FALSE,"Plan1";#N/A,#N/A,FALSE,"Plan2"}</definedName>
    <definedName name="lçfklsdkçaer" localSheetId="0" hidden="1">{#N/A,#N/A,FALSE,"Plan1";#N/A,#N/A,FALSE,"Plan2"}</definedName>
    <definedName name="lçjkgf" localSheetId="0" hidden="1">{#N/A,#N/A,FALSE,"Plan1";#N/A,#N/A,FALSE,"Plan2"}</definedName>
    <definedName name="LÇJSLDFJ" localSheetId="0" hidden="1">{#N/A,#N/A,FALSE,"Plan1";#N/A,#N/A,FALSE,"Plan2"}</definedName>
    <definedName name="LÇKÇSDRLK" localSheetId="0" hidden="1">{#N/A,#N/A,FALSE,"Plan1";#N/A,#N/A,FALSE,"Plan2"}</definedName>
    <definedName name="lçkl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0" hidden="1">{#N/A,#N/A,FALSE,"Plan1";#N/A,#N/A,FALSE,"Plan2"}</definedName>
    <definedName name="lçslrr4r" localSheetId="0" hidden="1">{#N/A,#N/A,FALSE,"Plan1";#N/A,#N/A,FALSE,"Plan2"}</definedName>
    <definedName name="ldfjgry" localSheetId="0" hidden="1">{#N/A,#N/A,FALSE,"Plan1";#N/A,#N/A,FALSE,"Plan2"}</definedName>
    <definedName name="ldfjgtilrf" localSheetId="0" hidden="1">{#N/A,#N/A,FALSE,"Plan1";#N/A,#N/A,FALSE,"Plan2"}</definedName>
    <definedName name="ldk" localSheetId="0" hidden="1">{#N/A,#N/A,FALSE,"Plan1";#N/A,#N/A,FALSE,"Plan2"}</definedName>
    <definedName name="ldkgkdfjgkh" localSheetId="0" hidden="1">{#N/A,#N/A,FALSE,"Plan1";#N/A,#N/A,FALSE,"Plan2"}</definedName>
    <definedName name="LDTJGR" localSheetId="0" hidden="1">{#N/A,#N/A,FALSE,"Plan1";#N/A,#N/A,FALSE,"Plan2"}</definedName>
    <definedName name="Leg" localSheetId="0" hidden="1">#REF!</definedName>
    <definedName name="LEKG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0" hidden="1">{#N/A,#N/A,FALSE,"Plan1";#N/A,#N/A,FALSE,"Plan2"}</definedName>
    <definedName name="lidfjgklruf" localSheetId="0" hidden="1">{#N/A,#N/A,FALSE,"Plan1";#N/A,#N/A,FALSE,"Plan2"}</definedName>
    <definedName name="lis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0" hidden="1">{#N/A,#N/A,FALSE,"Plan1";#N/A,#N/A,FALSE,"Plan2"}</definedName>
    <definedName name="LJDFLJRL" localSheetId="0" hidden="1">{#N/A,#N/A,FALSE,"Plan1";#N/A,#N/A,FALSE,"Plan2"}</definedName>
    <definedName name="ljsdfrd" localSheetId="0" hidden="1">{#N/A,#N/A,FALSE,"Plan1";#N/A,#N/A,FALSE,"Plan2"}</definedName>
    <definedName name="LJSFLDJDLKFJG" localSheetId="0" hidden="1">#REF!</definedName>
    <definedName name="LK" localSheetId="0" hidden="1">{#N/A,#N/A,TRUE,"Quinzena 01 à 15-04-98 "}</definedName>
    <definedName name="lkasdkeo" localSheetId="0" hidden="1">{#N/A,#N/A,FALSE,"Plan1";#N/A,#N/A,FALSE,"Plan2"}</definedName>
    <definedName name="lkdeas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0" hidden="1">{#N/A,#N/A,FALSE,"Plan1";#N/A,#N/A,FALSE,"Plan2"}</definedName>
    <definedName name="lkfdkçtktr" localSheetId="0" hidden="1">{#N/A,#N/A,FALSE,"Plan1";#N/A,#N/A,FALSE,"Plan2"}</definedName>
    <definedName name="LKSSDKÇ\E" localSheetId="0" hidden="1">{#N/A,#N/A,FALSE,"Plan1";#N/A,#N/A,FALSE,"Plan2"}</definedName>
    <definedName name="lkt" localSheetId="0" hidden="1">{#N/A,#N/A,FALSE,"Plan1";#N/A,#N/A,FALSE,"Plan2"}</definedName>
    <definedName name="lktlyklt" localSheetId="0" hidden="1">{#N/A,#N/A,FALSE,"Plan1";#N/A,#N/A,FALSE,"Plan2"}</definedName>
    <definedName name="LKTTYT" localSheetId="0" hidden="1">{#N/A,#N/A,FALSE,"Plan1";#N/A,#N/A,FALSE,"Plan2"}</definedName>
    <definedName name="llgg" localSheetId="0" hidden="1">{#N/A,#N/A,FALSE,"Plan1";#N/A,#N/A,FALSE,"Plan2"}</definedName>
    <definedName name="LLL" localSheetId="0" hidden="1">{#N/A,#N/A,FALSE,"Plan1";#N/A,#N/A,FALSE,"Plan2"}</definedName>
    <definedName name="LM_AR" localSheetId="0" hidden="1">{#N/A,#N/A,FALSE,"F-01"}</definedName>
    <definedName name="LM_AT" localSheetId="0" hidden="1">{#N/A,#N/A,FALSE,"F-01"}</definedName>
    <definedName name="LM_INC" localSheetId="0" hidden="1">{#N/A,#N/A,FALSE,"F-01"}</definedName>
    <definedName name="LMPAS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" localSheetId="0">#REF!</definedName>
    <definedName name="LSDFKLDKFTR" localSheetId="0" hidden="1">{#N/A,#N/A,FALSE,"Plan1";#N/A,#N/A,FALSE,"Plan2"}</definedName>
    <definedName name="lsdjs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0" hidden="1">{#N/A,#N/A,FALSE,"Plan1";#N/A,#N/A,FALSE,"Plan2"}</definedName>
    <definedName name="lsdsder" localSheetId="0" hidden="1">{#N/A,#N/A,FALSE,"Plan1";#N/A,#N/A,FALSE,"Plan2"}</definedName>
    <definedName name="ltj6ljyhdjhngças" localSheetId="0" hidden="1">{#N/A,#N/A,FALSE,"Plan1";#N/A,#N/A,FALSE,"Plan2"}</definedName>
    <definedName name="lwaeddew" localSheetId="0" hidden="1">#REF!</definedName>
    <definedName name="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0" hidden="1">{#N/A,#N/A,FALSE,"Plan1";#N/A,#N/A,FALSE,"Plan2"}</definedName>
    <definedName name="MANTO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0" hidden="1">{#N/A,#N/A,FALSE,"Plan1";#N/A,#N/A,FALSE,"Plan2"}</definedName>
    <definedName name="MC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0" hidden="1">{#N/A,#N/A,FALSE,"Plan1";#N/A,#N/A,FALSE,"Plan2"}</definedName>
    <definedName name="MDSÇLFJKJSD" localSheetId="0" hidden="1">{#N/A,#N/A,FALSE,"Plan1";#N/A,#N/A,FALSE,"Plan2"}</definedName>
    <definedName name="ME" localSheetId="0" hidden="1">{"HW",#N/A,FALSE,"1998"}</definedName>
    <definedName name="MENU" localSheetId="0">#REF!</definedName>
    <definedName name="MENU1" localSheetId="0">#REF!</definedName>
    <definedName name="MENU2" localSheetId="0">#REF!</definedName>
    <definedName name="MENU3" localSheetId="0">#REF!</definedName>
    <definedName name="MENU4" localSheetId="0">#REF!</definedName>
    <definedName name="MENU5" localSheetId="0">#REF!</definedName>
    <definedName name="MENU6" localSheetId="0">#REF!</definedName>
    <definedName name="MESTRE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ILENA" localSheetId="0" hidden="1">#REF!</definedName>
    <definedName name="MLMÇLKJKI" localSheetId="0" hidden="1">{#N/A,#N/A,FALSE,"Plan1";#N/A,#N/A,FALSE,"Plan2"}</definedName>
    <definedName name="M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0" hidden="1">{"tabela",#N/A,FALSE,"Tabela";"decoração",#N/A,FALSE,"Decor.";"Informações",#N/A,FALSE,"Inform."}</definedName>
    <definedName name="mmmmmmm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 localSheetId="0" hidden="1">{#N/A,#N/A,FALSE,"Plan1";#N/A,#N/A,FALSE,"Plan2"}</definedName>
    <definedName name="mncvbgcvmc" localSheetId="0" hidden="1">{#N/A,#N/A,FALSE,"Plan1";#N/A,#N/A,FALSE,"Plan2"}</definedName>
    <definedName name="MNDKZSFNCEA" localSheetId="0" hidden="1">{#N/A,#N/A,FALSE,"Plan1";#N/A,#N/A,FALSE,"Plan2"}</definedName>
    <definedName name="mnhdshfgfhd" localSheetId="0" hidden="1">{#N/A,#N/A,FALSE,"Plan1";#N/A,#N/A,FALSE,"Plan2"}</definedName>
    <definedName name="mo" localSheetId="0">#REF!</definedName>
    <definedName name="mobra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0" hidden="1">{#N/A,#N/A,FALSE,"cdi";#N/A,#N/A,FALSE,"debent";#N/A,#N/A,FALSE,"fdos";#N/A,#N/A,FALSE,"resumo"}</definedName>
    <definedName name="Modelo1a" localSheetId="0" hidden="1">{#N/A,#N/A,FALSE,"cdi";#N/A,#N/A,FALSE,"debent";#N/A,#N/A,FALSE,"fdos";#N/A,#N/A,FALSE,"resumo"}</definedName>
    <definedName name="Modelo2" localSheetId="0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0" hidden="1">{#N/A,#N/A,FALSE,"CCTV"}</definedName>
    <definedName name="MSDRFSWER" localSheetId="0" hidden="1">{"Econ Consolidado",#N/A,FALSE,"Econ Consol";"Fluxo de Caixa",#N/A,FALSE,"Fluxo Caixa";"Investimentos",#N/A,FALSE,"Investimentos"}</definedName>
    <definedName name="mzshdjshjs" localSheetId="0" hidden="1">{#N/A,#N/A,FALSE,"Plan1";#N/A,#N/A,FALSE,"Plan2"}</definedName>
    <definedName name="na" localSheetId="0" hidden="1">{#N/A,#N/A,FALSE,"$170M Cash";#N/A,#N/A,FALSE,"$250M Cash";#N/A,#N/A,FALSE,"$325M Cash"}</definedName>
    <definedName name="ncdgrdhrtg" localSheetId="0" hidden="1">{#N/A,#N/A,FALSE,"Plan1";#N/A,#N/A,FALSE,"Plan2"}</definedName>
    <definedName name="nchngdfhgdh" localSheetId="0" hidden="1">{#N/A,#N/A,FALSE,"Plan1";#N/A,#N/A,FALSE,"Plan2"}</definedName>
    <definedName name="NCJFKNGJHF" localSheetId="0" hidden="1">{#N/A,#N/A,FALSE,"Plan1";#N/A,#N/A,FALSE,"Plan2"}</definedName>
    <definedName name="ndcxhgdhf" localSheetId="0" hidden="1">{#N/A,#N/A,FALSE,"Plan1";#N/A,#N/A,FALSE,"Plan2"}</definedName>
    <definedName name="ndfjnjkrhdgt" localSheetId="0" hidden="1">{#N/A,#N/A,FALSE,"Plan1";#N/A,#N/A,FALSE,"Plan2"}</definedName>
    <definedName name="ndfkghkjthfyst" localSheetId="0" hidden="1">{#N/A,#N/A,FALSE,"Plan1";#N/A,#N/A,FALSE,"Plan2"}</definedName>
    <definedName name="NDJGKFKGHUFG" localSheetId="0" hidden="1">{#N/A,#N/A,FALSE,"Plan1";#N/A,#N/A,FALSE,"Plan2"}</definedName>
    <definedName name="ndrjkt" localSheetId="0" hidden="1">{#N/A,#N/A,FALSE,"Plan1";#N/A,#N/A,FALSE,"Plan2"}</definedName>
    <definedName name="new" localSheetId="0" hidden="1">{#N/A,#N/A,FALSE,"Global by BU";#N/A,#N/A,FALSE,"U.S. by BU";#N/A,#N/A,FALSE,"Canada by BU";#N/A,#N/A,FALSE,"Europe by BU";#N/A,#N/A,FALSE,"Asia by BU";#N/A,#N/A,FALSE,"Cala by BU"}</definedName>
    <definedName name="NEWNAME" localSheetId="0" hidden="1">{#N/A,#N/A,FALSE,"CCTV"}</definedName>
    <definedName name="nfgjkhvhfghn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0" hidden="1">{#N/A,#N/A,FALSE,"Plan1";#N/A,#N/A,FALSE,"Plan2"}</definedName>
    <definedName name="nh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0" hidden="1">{#N/A,#N/A,FALSE,"Plan1";#N/A,#N/A,FALSE,"Plan2"}</definedName>
    <definedName name="NJSDFHERTG" localSheetId="0" hidden="1">{#N/A,#N/A,FALSE,"Plan1";#N/A,#N/A,FALSE,"Plan2"}</definedName>
    <definedName name="nkfnsskdn" localSheetId="0" hidden="1">{#N/A,#N/A,FALSE,"Plan1";#N/A,#N/A,FALSE,"Plan2"}</definedName>
    <definedName name="NKJL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0" hidden="1">{#N/A,#N/A,FALSE,"Plan1";#N/A,#N/A,FALSE,"Plan2"}</definedName>
    <definedName name="nljsdfljfdsfr" localSheetId="0" hidden="1">{#N/A,#N/A,FALSE,"Plan1";#N/A,#N/A,FALSE,"Plan2"}</definedName>
    <definedName name="nmjdfhxj" localSheetId="0" hidden="1">{#N/A,#N/A,FALSE,"Plan1";#N/A,#N/A,FALSE,"Plan2"}</definedName>
    <definedName name="nnmn" localSheetId="0" hidden="1">{#N/A,#N/A,FALSE,"Plan1";#N/A,#N/A,FALSE,"Plan2"}</definedName>
    <definedName name="nnn" localSheetId="0" hidden="1">{#N/A,#N/A,FALSE,"Plan1";#N/A,#N/A,FALSE,"Plan2"}</definedName>
    <definedName name="nnnnnnnnnnn" localSheetId="0" hidden="1">{"HW",#N/A,FALSE,"1998"}</definedName>
    <definedName name="NNNNNNNNNNNNNNN" localSheetId="0" hidden="1">{#N/A,#N/A,FALSE,"Plan1";#N/A,#N/A,FALSE,"Plan2"}</definedName>
    <definedName name="nnnnnnnnnnnnnnnnnnnn" localSheetId="0" hidden="1">{#N/A,#N/A,FALSE,"Plan1";#N/A,#N/A,FALSE,"Plan2"}</definedName>
    <definedName name="NNXFT" localSheetId="0" hidden="1">{#N/A,#N/A,FALSE,"Plan1";#N/A,#N/A,FALSE,"Plan2"}</definedName>
    <definedName name="nsdkfndgfdnatf" localSheetId="0" hidden="1">{#N/A,#N/A,FALSE,"Plan1";#N/A,#N/A,FALSE,"Plan2"}</definedName>
    <definedName name="nsfljdiljrf" localSheetId="0" hidden="1">{#N/A,#N/A,FALSE,"Plan1";#N/A,#N/A,FALSE,"Plan2"}</definedName>
    <definedName name="nzxcnnjkd" localSheetId="0" hidden="1">{#N/A,#N/A,FALSE,"Plan1";#N/A,#N/A,FALSE,"Plan2"}</definedName>
    <definedName name="OAE" localSheetId="0">#REF!</definedName>
    <definedName name="odfuudor" localSheetId="0" hidden="1">{#N/A,#N/A,FALSE,"Plan1";#N/A,#N/A,FALSE,"Plan2"}</definedName>
    <definedName name="ODH" localSheetId="0" hidden="1">#REF!</definedName>
    <definedName name="oiditrot" localSheetId="0" hidden="1">{#N/A,#N/A,FALSE,"Plan1";#N/A,#N/A,FALSE,"Plan2"}</definedName>
    <definedName name="oio" localSheetId="0" hidden="1">{#N/A,#N/A,FALSE,"Plan1";#N/A,#N/A,FALSE,"Plan2"}</definedName>
    <definedName name="oiufioorif" localSheetId="0" hidden="1">#REF!</definedName>
    <definedName name="OJÇLJ" localSheetId="0" hidden="1">{#N/A,#N/A,FALSE,"Plan1";#N/A,#N/A,FALSE,"Plan2"}</definedName>
    <definedName name="ojkdfit" localSheetId="0" hidden="1">{#N/A,#N/A,FALSE,"Plan1";#N/A,#N/A,FALSE,"Plan2"}</definedName>
    <definedName name="oMISSOS" localSheetId="0" hidden="1">#REF!</definedName>
    <definedName name="ooo" localSheetId="0" hidden="1">{#N/A,#N/A,FALSE,"Plan1";#N/A,#N/A,FALSE,"Plan2"}</definedName>
    <definedName name="OPASEDWED" localSheetId="0" hidden="1">{"Econ Consolidado",#N/A,FALSE,"Econ Consol";"Fluxo de Caixa",#N/A,FALSE,"Fluxo Caixa";"Investimentos",#N/A,FALSE,"Investimentos"}</definedName>
    <definedName name="opiwre" localSheetId="0" hidden="1">{#N/A,#N/A,FALSE,"Plan1";#N/A,#N/A,FALSE,"Plan2"}</definedName>
    <definedName name="os" localSheetId="0" hidden="1">{#N/A,#N/A,FALSE,"TABLE"}</definedName>
    <definedName name="otodgkrjglsrd" localSheetId="0" hidden="1">{#N/A,#N/A,FALSE,"Plan1";#N/A,#N/A,FALSE,"Plan2"}</definedName>
    <definedName name="OUERWRSR" localSheetId="0" hidden="1">{#N/A,#N/A,FALSE,"Plan1";#N/A,#N/A,FALSE,"Plan2"}</definedName>
    <definedName name="outro" localSheetId="0" hidden="1">#REF!</definedName>
    <definedName name="overhaul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0">ROW()-Linha_Cabeçalho</definedName>
    <definedName name="ParamValues1" localSheetId="0">#REF!</definedName>
    <definedName name="PAV" localSheetId="0">#REF!</definedName>
    <definedName name="Pendencias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rímetro_lajão" localSheetId="0">#REF!</definedName>
    <definedName name="Perímetro_Terreno" localSheetId="0">#REF!</definedName>
    <definedName name="Perímetro_torre" localSheetId="0">#REF!</definedName>
    <definedName name="piaz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CAS" localSheetId="0" hidden="1">{#N/A,#N/A,TRUE,"Quinzena 01 à 15-04-98 "}</definedName>
    <definedName name="Placas_Areas" localSheetId="0" hidden="1">{#N/A,#N/A,TRUE,"Quinzena 01 à 15-04-98 "}</definedName>
    <definedName name="plan" localSheetId="0" hidden="1">#REF!</definedName>
    <definedName name="plan2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0" hidden="1">{#N/A,#N/A,FALSE,"Plan1";#N/A,#N/A,FALSE,"Plan2"}</definedName>
    <definedName name="plaslrswe" localSheetId="0" hidden="1">{#N/A,#N/A,FALSE,"Plan1";#N/A,#N/A,FALSE,"Plan2"}</definedName>
    <definedName name="pls" localSheetId="0" hidden="1">#REF!</definedName>
    <definedName name="plsearpef" localSheetId="0" hidden="1">{#N/A,#N/A,FALSE,"Plan1";#N/A,#N/A,FALSE,"Plan2"}</definedName>
    <definedName name="plss" localSheetId="0" hidden="1">{#N/A,#N/A,FALSE,"Plan1";#N/A,#N/A,FALSE,"Plan2"}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" localSheetId="0">#REF!</definedName>
    <definedName name="Prazo_da_Estrutura" localSheetId="0">#REF!</definedName>
    <definedName name="Prazo_Obra" localSheetId="0">#REF!</definedName>
    <definedName name="PRE" localSheetId="0">#REF!</definedName>
    <definedName name="print" localSheetId="0" hidden="1">{#N/A,#N/A,FALSE,"$170M Cash";#N/A,#N/A,FALSE,"$250M Cash";#N/A,#N/A,FALSE,"$325M Cash"}</definedName>
    <definedName name="Print_Area_MI" localSheetId="0">#REF!</definedName>
    <definedName name="Projeção_torre" localSheetId="0">#REF!</definedName>
    <definedName name="ptirigyiotut" localSheetId="0" hidden="1">{#N/A,#N/A,FALSE,"Plan1";#N/A,#N/A,FALSE,"Plan2"}</definedName>
    <definedName name="PWER3" localSheetId="0" hidden="1">{#N/A,#N/A,FALSE,"Plan1";#N/A,#N/A,FALSE,"Plan2"}</definedName>
    <definedName name="q" localSheetId="0" hidden="1">#REF!</definedName>
    <definedName name="qe" localSheetId="0">#REF!</definedName>
    <definedName name="qee" localSheetId="0">#REF!</definedName>
    <definedName name="qkqh1" localSheetId="0" hidden="1">{#N/A,#N/A,FALSE,"명세표"}</definedName>
    <definedName name="Q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QQQQQQQ" localSheetId="0" hidden="1">#REF!</definedName>
    <definedName name="QSQWSE" localSheetId="0" hidden="1">{#N/A,#N/A,FALSE,"Plan1";#N/A,#N/A,FALSE,"Plan2"}</definedName>
    <definedName name="Quant_Aptos" localSheetId="0">#REF!</definedName>
    <definedName name="Quant_Cremalheira" localSheetId="0">#REF!</definedName>
    <definedName name="Quant_grua" localSheetId="0">#REF!</definedName>
    <definedName name="Quant_pav_lajão" localSheetId="0">#REF!</definedName>
    <definedName name="Quant_tipo" localSheetId="0">#REF!</definedName>
    <definedName name="Quant_torres" localSheetId="0">#REF!</definedName>
    <definedName name="Quantidade_Elevadores" localSheetId="0">#REF!</definedName>
    <definedName name="qwdqw" localSheetId="0" hidden="1">{#N/A,#N/A,FALSE,"Plan1";#N/A,#N/A,FALSE,"Plan2"}</definedName>
    <definedName name="qweqwe" localSheetId="0" hidden="1">{#N/A,#N/A,FALSE,"Plan1";#N/A,#N/A,FALSE,"Plan2"}</definedName>
    <definedName name="qweqwe4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qwewqe" localSheetId="0" hidden="1">#REF!</definedName>
    <definedName name="qwqw" localSheetId="0" hidden="1">#REF!</definedName>
    <definedName name="RADIO" localSheetId="0" hidden="1">{"HW",#N/A,FALSE,"1998"}</definedName>
    <definedName name="RE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forsu" localSheetId="0">#REF!</definedName>
    <definedName name="ren" localSheetId="0">#REF!</definedName>
    <definedName name="resum" localSheetId="0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0" hidden="1">{#N/A,#N/A,TRUE,"Quinzena 01 à 15-04-98 "}</definedName>
    <definedName name="REV" localSheetId="0">#REF!</definedName>
    <definedName name="RF" localSheetId="0" hidden="1">{#N/A,#N/A,FALSE,"CCTV"}</definedName>
    <definedName name="rgedrfrgfdg" localSheetId="0" hidden="1">{#N/A,#N/A,FALSE,"Plan1";#N/A,#N/A,FALSE,"Plan2"}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" localSheetId="0" hidden="1">#REF!</definedName>
    <definedName name="rrrrr" localSheetId="0" hidden="1">{"'장비'!$A$3:$M$12"}</definedName>
    <definedName name="rrrrrrrr" localSheetId="0" hidden="1">{"'장비'!$A$3:$M$12"}</definedName>
    <definedName name="rrrrrrrrrrr" localSheetId="0" hidden="1">{#N/A,#N/A,TRUE,"Quinzena 01 à 15-04-98 "}</definedName>
    <definedName name="RTYE" localSheetId="0" hidden="1">{"'장비'!$A$3:$M$12"}</definedName>
    <definedName name="sa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0" hidden="1">{#N/A,#N/A,FALSE,"Plan1";#N/A,#N/A,FALSE,"Plan2"}</definedName>
    <definedName name="sadke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0" hidden="1">{#N/A,#N/A,FALSE,"Plan1";#N/A,#N/A,FALSE,"Plan2"}</definedName>
    <definedName name="SADSRTR" localSheetId="0" hidden="1">{#N/A,#N/A,FALSE,"Plan1";#N/A,#N/A,FALSE,"Plan2"}</definedName>
    <definedName name="sadwde" localSheetId="0" hidden="1">{#N/A,#N/A,FALSE,"Plan1";#N/A,#N/A,FALSE,"Plan2"}</definedName>
    <definedName name="sanjay" localSheetId="0" hidden="1">{#N/A,#N/A,FALSE,"TABLE"}</definedName>
    <definedName name="SAS" localSheetId="0" hidden="1">{#N/A,#N/A,FALSE,"Plan1";#N/A,#N/A,FALSE,"Plan2"}</definedName>
    <definedName name="sasads" localSheetId="0" hidden="1">{#N/A,#N/A,FALSE,"Plan1";#N/A,#N/A,FALSE,"Plan2"}</definedName>
    <definedName name="SC" localSheetId="0" hidden="1">#REF!</definedName>
    <definedName name="sda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0" hidden="1">{#N/A,#N/A,FALSE,"Plan1";#N/A,#N/A,FALSE,"Plan2"}</definedName>
    <definedName name="sdckd" localSheetId="0" hidden="1">{#N/A,#N/A,FALSE,"Plan1";#N/A,#N/A,FALSE,"Plan2"}</definedName>
    <definedName name="SDDFKSEDE" localSheetId="0" hidden="1">{#N/A,#N/A,FALSE,"Plan1";#N/A,#N/A,FALSE,"Plan2"}</definedName>
    <definedName name="sddkslker" localSheetId="0" hidden="1">{#N/A,#N/A,FALSE,"Plan1";#N/A,#N/A,FALSE,"Plan2"}</definedName>
    <definedName name="sdefr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t" localSheetId="0" hidden="1">#REF!</definedName>
    <definedName name="sdf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0" hidden="1">{#N/A,#N/A,FALSE,"Plan1";#N/A,#N/A,FALSE,"Plan2"}</definedName>
    <definedName name="sdfdfc" localSheetId="0" hidden="1">{#N/A,#N/A,FALSE,"Plan1";#N/A,#N/A,FALSE,"Plan2"}</definedName>
    <definedName name="sdfdf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0" hidden="1">{#N/A,#N/A,FALSE,"Plan1";#N/A,#N/A,FALSE,"Plan2"}</definedName>
    <definedName name="sdfdsf" localSheetId="0" hidden="1">{#N/A,#N/A,FALSE,"Plan1";#N/A,#N/A,FALSE,"Plan2"}</definedName>
    <definedName name="sdfdsf\da" localSheetId="0" hidden="1">{#N/A,#N/A,FALSE,"Plan1";#N/A,#N/A,FALSE,"Plan2"}</definedName>
    <definedName name="SDFEDRT" localSheetId="0" hidden="1">{#N/A,#N/A,FALSE,"Plan1";#N/A,#N/A,FALSE,"Plan2"}</definedName>
    <definedName name="sdfer" localSheetId="0" hidden="1">{#N/A,#N/A,FALSE,"Plan1";#N/A,#N/A,FALSE,"Plan2"}</definedName>
    <definedName name="sdferr" localSheetId="0" hidden="1">{#N/A,#N/A,FALSE,"Plan1";#N/A,#N/A,FALSE,"Plan2"}</definedName>
    <definedName name="sdfe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0" hidden="1">{#N/A,#N/A,FALSE,"Plan1";#N/A,#N/A,FALSE,"Plan2"}</definedName>
    <definedName name="sdfgtr" localSheetId="0" hidden="1">{#N/A,#N/A,FALSE,"Plan1";#N/A,#N/A,FALSE,"Plan2"}</definedName>
    <definedName name="sdfjdetrt" localSheetId="0" hidden="1">{#N/A,#N/A,FALSE,"Plan1";#N/A,#N/A,FALSE,"Plan2"}</definedName>
    <definedName name="SDFJDRTJEIDR" localSheetId="0" hidden="1">{#N/A,#N/A,FALSE,"Plan1";#N/A,#N/A,FALSE,"Plan2"}</definedName>
    <definedName name="sdfjergtij" localSheetId="0" hidden="1">{#N/A,#N/A,FALSE,"Plan1";#N/A,#N/A,FALSE,"Plan2"}</definedName>
    <definedName name="SDFOPJKWE" localSheetId="0" hidden="1">{#N/A,#N/A,FALSE,"Plan1";#N/A,#N/A,FALSE,"Plan2"}</definedName>
    <definedName name="sdfrdt5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0" hidden="1">{#N/A,#N/A,FALSE,"Plan1";#N/A,#N/A,FALSE,"Plan2"}</definedName>
    <definedName name="SDFRTKK" localSheetId="0" hidden="1">{#N/A,#N/A,FALSE,"Plan1";#N/A,#N/A,FALSE,"Plan2"}</definedName>
    <definedName name="SDFRTR" localSheetId="0" hidden="1">{#N/A,#N/A,FALSE,"Plan1";#N/A,#N/A,FALSE,"Plan2"}</definedName>
    <definedName name="sdfry6" localSheetId="0" hidden="1">{#N/A,#N/A,FALSE,"Plan1";#N/A,#N/A,FALSE,"Plan2"}</definedName>
    <definedName name="sdfsaf" localSheetId="0" hidden="1">{#N/A,#N/A,FALSE,"Plan1";#N/A,#N/A,FALSE,"Plan2"}</definedName>
    <definedName name="sdfsd" localSheetId="0" hidden="1">{"'Estimativa de Lançamento-JAN'!$A$1:$AI$85"}</definedName>
    <definedName name="sdfsdfg" localSheetId="0" hidden="1">{#N/A,#N/A,FALSE,"Plan1";#N/A,#N/A,FALSE,"Plan2"}</definedName>
    <definedName name="SDFSDFK" localSheetId="0" hidden="1">{#N/A,#N/A,FALSE,"Plan1";#N/A,#N/A,FALSE,"Plan2"}</definedName>
    <definedName name="sdfsdgftret" localSheetId="0" hidden="1">{#N/A,#N/A,FALSE,"Plan1";#N/A,#N/A,FALSE,"Plan2"}</definedName>
    <definedName name="sdfsf" localSheetId="0" hidden="1">{#N/A,#N/A,FALSE,"Plan1";#N/A,#N/A,FALSE,"Plan2"}</definedName>
    <definedName name="SDFSFRT" localSheetId="0" hidden="1">{"Econ Consolidado",#N/A,FALSE,"Econ Consol";"Fluxo de Caixa",#N/A,FALSE,"Fluxo Caixa";"Investimentos",#N/A,FALSE,"Investimentos"}</definedName>
    <definedName name="sdfsr" localSheetId="0" hidden="1">{#N/A,#N/A,FALSE,"Plan1";#N/A,#N/A,FALSE,"Plan2"}</definedName>
    <definedName name="sdfty" localSheetId="0" hidden="1">{#N/A,#N/A,FALSE,"Plan1";#N/A,#N/A,FALSE,"Plan2"}</definedName>
    <definedName name="sdgdf" localSheetId="0" hidden="1">{#N/A,#N/A,FALSE,"Plan1";#N/A,#N/A,FALSE,"Plan2"}</definedName>
    <definedName name="sdgfrt" localSheetId="0" hidden="1">{#N/A,#N/A,FALSE,"Plan1";#N/A,#N/A,FALSE,"Plan2"}</definedName>
    <definedName name="sdgft" localSheetId="0" hidden="1">{#N/A,#N/A,FALSE,"Plan1";#N/A,#N/A,FALSE,"Plan2"}</definedName>
    <definedName name="sdgt" localSheetId="0" hidden="1">{#N/A,#N/A,FALSE,"Plan1";#N/A,#N/A,FALSE,"Plan2"}</definedName>
    <definedName name="sdgtry" localSheetId="0" hidden="1">#REF!</definedName>
    <definedName name="sdhfghdsfg" localSheetId="0" hidden="1">{#N/A,#N/A,FALSE,"Plan1";#N/A,#N/A,FALSE,"Plan2"}</definedName>
    <definedName name="SDHFJKHDFJRE" localSheetId="0" hidden="1">{#N/A,#N/A,FALSE,"Plan1";#N/A,#N/A,FALSE,"Plan2"}</definedName>
    <definedName name="SDHKFDRKGTR" localSheetId="0" hidden="1">{#N/A,#N/A,FALSE,"Plan1";#N/A,#N/A,FALSE,"Plan2"}</definedName>
    <definedName name="sdjdswger" localSheetId="0" hidden="1">{#N/A,#N/A,FALSE,"Plan1";#N/A,#N/A,FALSE,"Plan2"}</definedName>
    <definedName name="sdjfdf" localSheetId="0" hidden="1">{#N/A,#N/A,FALSE,"Plan1";#N/A,#N/A,FALSE,"Plan2"}</definedName>
    <definedName name="sdjfhdjk" localSheetId="0" hidden="1">{#N/A,#N/A,FALSE,"Plan1";#N/A,#N/A,FALSE,"Plan2"}</definedName>
    <definedName name="SDJFJDER" localSheetId="0" hidden="1">{#N/A,#N/A,FALSE,"Plan1";#N/A,#N/A,FALSE,"Plan2"}</definedName>
    <definedName name="sdjflsdjfl" localSheetId="0" hidden="1">{#N/A,#N/A,FALSE,"Plan1";#N/A,#N/A,FALSE,"Plan2"}</definedName>
    <definedName name="SDJHF" localSheetId="0" hidden="1">{#N/A,#N/A,FALSE,"Plan1";#N/A,#N/A,FALSE,"Plan2"}</definedName>
    <definedName name="sdjrderertrr" localSheetId="0" hidden="1">{#N/A,#N/A,FALSE,"Plan1";#N/A,#N/A,FALSE,"Plan2"}</definedName>
    <definedName name="sdkdjk" localSheetId="0" hidden="1">{#N/A,#N/A,FALSE,"Plan1";#N/A,#N/A,FALSE,"Plan2"}</definedName>
    <definedName name="sdkfjhkdgfhk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0" hidden="1">{#N/A,#N/A,FALSE,"Plan1";#N/A,#N/A,FALSE,"Plan2"}</definedName>
    <definedName name="sdkk" localSheetId="0" hidden="1">{#N/A,#N/A,FALSE,"Plan1";#N/A,#N/A,FALSE,"Plan2"}</definedName>
    <definedName name="sdlfsdflj" localSheetId="0" hidden="1">{#N/A,#N/A,FALSE,"Plan1";#N/A,#N/A,FALSE,"Plan2"}</definedName>
    <definedName name="sdmfmdfsgfd" localSheetId="0" hidden="1">{#N/A,#N/A,FALSE,"Plan1";#N/A,#N/A,FALSE,"Plan2"}</definedName>
    <definedName name="sd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0" hidden="1">{#N/A,#N/A,FALSE,"Plan1";#N/A,#N/A,FALSE,"Plan2"}</definedName>
    <definedName name="sdsd" localSheetId="0" hidden="1">{#N/A,#N/A,FALSE,"Plan1";#N/A,#N/A,FALSE,"Plan2"}</definedName>
    <definedName name="sdser" localSheetId="0" hidden="1">{#N/A,#N/A,FALSE,"Plan1";#N/A,#N/A,FALSE,"Plan2"}</definedName>
    <definedName name="sdsre" localSheetId="0" hidden="1">{#N/A,#N/A,FALSE,"Plan1";#N/A,#N/A,FALSE,"Plan2"}</definedName>
    <definedName name="sdss" localSheetId="0" hidden="1">{#N/A,#N/A,FALSE,"Plan1";#N/A,#N/A,FALSE,"Plan2"}</definedName>
    <definedName name="sdtrtg" localSheetId="0" hidden="1">#REF!</definedName>
    <definedName name="sdusi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0" hidden="1">{"Econ Consolidado",#N/A,FALSE,"Econ Consol";"Fluxo de Caixa",#N/A,FALSE,"Fluxo Caixa";"Investimentos",#N/A,FALSE,"Investimentos"}</definedName>
    <definedName name="sdxfrt" localSheetId="0" hidden="1">{#N/A,#N/A,FALSE,"Plan1";#N/A,#N/A,FALSE,"Plan2"}</definedName>
    <definedName name="SDZFERF" localSheetId="0" hidden="1">{#N/A,#N/A,FALSE,"Plan1";#N/A,#N/A,FALSE,"Plan2"}</definedName>
    <definedName name="sefret4r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" localSheetId="0">#REF!</definedName>
    <definedName name="segftru" localSheetId="0" hidden="1">{#N/A,#N/A,FALSE,"Plan1";#N/A,#N/A,FALSE,"Plan2"}</definedName>
    <definedName name="sencount" localSheetId="0" hidden="1">3</definedName>
    <definedName name="SEREWRSWE" localSheetId="0" hidden="1">{"tabela",#N/A,FALSE,"Tabela";"decoração",#N/A,FALSE,"Decor.";"Informações",#N/A,FALSE,"Inform."}</definedName>
    <definedName name="sf" localSheetId="0" hidden="1">{#N/A,#N/A,FALSE,"Plan1";#N/A,#N/A,FALSE,"Plan2"}</definedName>
    <definedName name="sfcrer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0" hidden="1">{#N/A,#N/A,FALSE,"Plan1";#N/A,#N/A,FALSE,"Plan2"}</definedName>
    <definedName name="sfds" localSheetId="0" hidden="1">{#N/A,#N/A,FALSE,"Plan1";#N/A,#N/A,FALSE,"Plan2"}</definedName>
    <definedName name="sfdsd" localSheetId="0" hidden="1">{#N/A,#N/A,FALSE,"Plan1";#N/A,#N/A,FALSE,"Plan2"}</definedName>
    <definedName name="sfrsdrgt" localSheetId="0" hidden="1">{#N/A,#N/A,FALSE,"Plan1";#N/A,#N/A,FALSE,"Plan2"}</definedName>
    <definedName name="SFRT" localSheetId="0" hidden="1">{#N/A,#N/A,FALSE,"Plan1";#N/A,#N/A,FALSE,"Plan2"}</definedName>
    <definedName name="sfsdferf" localSheetId="0" hidden="1">{#N/A,#N/A,FALSE,"Plan1";#N/A,#N/A,FALSE,"Plan2"}</definedName>
    <definedName name="SFSDS" localSheetId="0" hidden="1">{#N/A,#N/A,FALSE,"Plan1";#N/A,#N/A,FALSE,"Plan2"}</definedName>
    <definedName name="sgtghty" localSheetId="0" hidden="1">{#N/A,#N/A,FALSE,"Plan1";#N/A,#N/A,FALSE,"Plan2"}</definedName>
    <definedName name="SH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HARED_FORMULA_0" localSheetId="0">#N/A</definedName>
    <definedName name="SHARED_FORMULA_1" localSheetId="0">#N/A</definedName>
    <definedName name="SHARED_FORMULA_10" localSheetId="0">#N/A</definedName>
    <definedName name="SHARED_FORMULA_11" localSheetId="0">#N/A</definedName>
    <definedName name="SHARED_FORMULA_12" localSheetId="0">#N/A</definedName>
    <definedName name="SHARED_FORMULA_13" localSheetId="0">#N/A</definedName>
    <definedName name="SHARED_FORMULA_14" localSheetId="0">#N/A</definedName>
    <definedName name="SHARED_FORMULA_15" localSheetId="0">#N/A</definedName>
    <definedName name="SHARED_FORMULA_16" localSheetId="0">#N/A</definedName>
    <definedName name="SHARED_FORMULA_17" localSheetId="0">#N/A</definedName>
    <definedName name="SHARED_FORMULA_18" localSheetId="0">#N/A</definedName>
    <definedName name="SHARED_FORMULA_19" localSheetId="0">#N/A</definedName>
    <definedName name="SHARED_FORMULA_2" localSheetId="0">#N/A</definedName>
    <definedName name="SHARED_FORMULA_20" localSheetId="0">#N/A</definedName>
    <definedName name="SHARED_FORMULA_21" localSheetId="0">#N/A</definedName>
    <definedName name="SHARED_FORMULA_22" localSheetId="0">#N/A</definedName>
    <definedName name="SHARED_FORMULA_23" localSheetId="0">#N/A</definedName>
    <definedName name="SHARED_FORMULA_24" localSheetId="0">#N/A</definedName>
    <definedName name="SHARED_FORMULA_25" localSheetId="0">#N/A</definedName>
    <definedName name="SHARED_FORMULA_26" localSheetId="0">#N/A</definedName>
    <definedName name="SHARED_FORMULA_27" localSheetId="0">#N/A</definedName>
    <definedName name="SHARED_FORMULA_28" localSheetId="0">#N/A</definedName>
    <definedName name="SHARED_FORMULA_29" localSheetId="0">#N/A</definedName>
    <definedName name="SHARED_FORMULA_3" localSheetId="0">#N/A</definedName>
    <definedName name="SHARED_FORMULA_30" localSheetId="0">#N/A</definedName>
    <definedName name="SHARED_FORMULA_31" localSheetId="0">#N/A</definedName>
    <definedName name="SHARED_FORMULA_32" localSheetId="0">#N/A</definedName>
    <definedName name="SHARED_FORMULA_33" localSheetId="0">#N/A</definedName>
    <definedName name="SHARED_FORMULA_34" localSheetId="0">#N/A</definedName>
    <definedName name="SHARED_FORMULA_35" localSheetId="0">#N/A</definedName>
    <definedName name="SHARED_FORMULA_36" localSheetId="0">#N/A</definedName>
    <definedName name="SHARED_FORMULA_37" localSheetId="0">#N/A</definedName>
    <definedName name="SHARED_FORMULA_38" localSheetId="0">#N/A</definedName>
    <definedName name="SHARED_FORMULA_39" localSheetId="0">#N/A</definedName>
    <definedName name="SHARED_FORMULA_4" localSheetId="0">#N/A</definedName>
    <definedName name="SHARED_FORMULA_40" localSheetId="0">#N/A</definedName>
    <definedName name="SHARED_FORMULA_41" localSheetId="0">#N/A</definedName>
    <definedName name="SHARED_FORMULA_42" localSheetId="0">#N/A</definedName>
    <definedName name="SHARED_FORMULA_43" localSheetId="0">#N/A</definedName>
    <definedName name="SHARED_FORMULA_44" localSheetId="0">#N/A</definedName>
    <definedName name="SHARED_FORMULA_45" localSheetId="0">#N/A</definedName>
    <definedName name="SHARED_FORMULA_46" localSheetId="0">#N/A</definedName>
    <definedName name="SHARED_FORMULA_47" localSheetId="0">#N/A</definedName>
    <definedName name="SHARED_FORMULA_48" localSheetId="0">#N/A</definedName>
    <definedName name="SHARED_FORMULA_49" localSheetId="0">#N/A</definedName>
    <definedName name="SHARED_FORMULA_5" localSheetId="0">#N/A</definedName>
    <definedName name="SHARED_FORMULA_50" localSheetId="0">#N/A</definedName>
    <definedName name="SHARED_FORMULA_51" localSheetId="0">#N/A</definedName>
    <definedName name="SHARED_FORMULA_52" localSheetId="0">#N/A</definedName>
    <definedName name="SHARED_FORMULA_53" localSheetId="0">#N/A</definedName>
    <definedName name="SHARED_FORMULA_54" localSheetId="0">#N/A</definedName>
    <definedName name="SHARED_FORMULA_55" localSheetId="0">#N/A</definedName>
    <definedName name="SHARED_FORMULA_56" localSheetId="0">#N/A</definedName>
    <definedName name="SHARED_FORMULA_57" localSheetId="0">#N/A</definedName>
    <definedName name="SHARED_FORMULA_58" localSheetId="0">#N/A</definedName>
    <definedName name="SHARED_FORMULA_59" localSheetId="0">#N/A</definedName>
    <definedName name="SHARED_FORMULA_6" localSheetId="0">#N/A</definedName>
    <definedName name="SHARED_FORMULA_60" localSheetId="0">#N/A</definedName>
    <definedName name="SHARED_FORMULA_61" localSheetId="0">#N/A</definedName>
    <definedName name="SHARED_FORMULA_62" localSheetId="0">#N/A</definedName>
    <definedName name="SHARED_FORMULA_7" localSheetId="0">#N/A</definedName>
    <definedName name="SHARED_FORMULA_8" localSheetId="0">#N/A</definedName>
    <definedName name="SHARED_FORMULA_9" localSheetId="0">#N/A</definedName>
    <definedName name="SIH" localSheetId="0">#REF!</definedName>
    <definedName name="SIV" localSheetId="0">#REF!</definedName>
    <definedName name="sjawe" localSheetId="0" hidden="1">{#N/A,#N/A,FALSE,"Plan1";#N/A,#N/A,FALSE,"Plan2"}</definedName>
    <definedName name="sjdffd" localSheetId="0" hidden="1">{#N/A,#N/A,FALSE,"Plan1";#N/A,#N/A,FALSE,"Plan2"}</definedName>
    <definedName name="SJDFHDJS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0" hidden="1">{#N/A,#N/A,FALSE,"Plan1";#N/A,#N/A,FALSE,"Plan2"}</definedName>
    <definedName name="SJDKJDE" localSheetId="0" hidden="1">{"Econ Consolidado",#N/A,FALSE,"Econ Consol";"Fluxo de Caixa",#N/A,FALSE,"Fluxo Caixa";"Investimentos",#N/A,FALSE,"Investimentos"}</definedName>
    <definedName name="sjekwjri" localSheetId="0" hidden="1">{#N/A,#N/A,FALSE,"Plan1";#N/A,#N/A,FALSE,"Plan2"}</definedName>
    <definedName name="sjfkdhsfds" localSheetId="0" hidden="1">{#N/A,#N/A,FALSE,"Plan1";#N/A,#N/A,FALSE,"Plan2"}</definedName>
    <definedName name="sjkdljslkrje" localSheetId="0" hidden="1">{#N/A,#N/A,FALSE,"Plan1";#N/A,#N/A,FALSE,"Plan2"}</definedName>
    <definedName name="skadadaszs" localSheetId="0" hidden="1">{#N/A,#N/A,FALSE,"Plan1";#N/A,#N/A,FALSE,"Plan2"}</definedName>
    <definedName name="SKASH" localSheetId="0" hidden="1">{#N/A,#N/A,FALSE,"Plan1";#N/A,#N/A,FALSE,"Plan2"}</definedName>
    <definedName name="skldfrde" localSheetId="0" hidden="1">{#N/A,#N/A,FALSE,"Plan1";#N/A,#N/A,FALSE,"Plan2"}</definedName>
    <definedName name="skosroer" localSheetId="0" hidden="1">{#N/A,#N/A,FALSE,"Plan1";#N/A,#N/A,FALSE,"Plan2"}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0" hidden="1">{#N/A,#N/A,FALSE,"Plan1";#N/A,#N/A,FALSE,"Plan2"}</definedName>
    <definedName name="SR" localSheetId="0" hidden="1">#REF!</definedName>
    <definedName name="SRH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ssss" localSheetId="0" hidden="1">#REF!</definedName>
    <definedName name="status_projeto" localSheetId="0" hidden="1">OFFSET(INDEX(#REF!,MATCH(#REF!,#REF!,0)),1,0,COUNTA(#REF!)-1)</definedName>
    <definedName name="summ" localSheetId="0" hidden="1">#REF!</definedName>
    <definedName name="susref" localSheetId="0">#REF!</definedName>
    <definedName name="tab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nia" localSheetId="0">#REF!</definedName>
    <definedName name="tc" localSheetId="0">#REF!</definedName>
    <definedName name="Test" localSheetId="0" hidden="1">{"'Edit'!$A$1:$V$2277"}</definedName>
    <definedName name="TESTANDO" localSheetId="0" hidden="1">{#N/A,#N/A,TRUE,"Quinzena 01 à 15-04-98 "}</definedName>
    <definedName name="teste" localSheetId="0">#REF!</definedName>
    <definedName name="teste1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0" hidden="1">{#N/A,#N/A,FALSE,"Plan1";#N/A,#N/A,FALSE,"Plan2"}</definedName>
    <definedName name="THYJ" localSheetId="0" hidden="1">{#N/A,#N/A,FALSE,"Plan1";#N/A,#N/A,FALSE,"Plan2"}</definedName>
    <definedName name="tihjgih" localSheetId="0" hidden="1">{#N/A,#N/A,FALSE,"Plan1";#N/A,#N/A,FALSE,"Plan2"}</definedName>
    <definedName name="titulos" localSheetId="0">#REF!</definedName>
    <definedName name="TOT" localSheetId="0">#REF!</definedName>
    <definedName name="Total" localSheetId="0">#REF!</definedName>
    <definedName name="trjyidih" localSheetId="0" hidden="1">{#N/A,#N/A,FALSE,"Plan1";#N/A,#N/A,FALSE,"Plan2"}</definedName>
    <definedName name="TRP" localSheetId="0">#REF!</definedName>
    <definedName name="tuyedjsksj" localSheetId="0" hidden="1">{#N/A,#N/A,FALSE,"Plan1";#N/A,#N/A,FALSE,"Plan2"}</definedName>
    <definedName name="TYHGFHFHG" localSheetId="0" hidden="1">{#N/A,#N/A,FALSE,"Plan1";#N/A,#N/A,FALSE,"Plan2"}</definedName>
    <definedName name="u" localSheetId="0" hidden="1">{#N/A,#N/A,FALSE,"ET-CAPA";#N/A,#N/A,FALSE,"ET-PAG1";#N/A,#N/A,FALSE,"ET-PAG2";#N/A,#N/A,FALSE,"ET-PAG3";#N/A,#N/A,FALSE,"ET-PAG4";#N/A,#N/A,FALSE,"ET-PAG5"}</definedName>
    <definedName name="udhgfhfg" localSheetId="0" hidden="1">{#N/A,#N/A,FALSE,"Plan1";#N/A,#N/A,FALSE,"Plan2"}</definedName>
    <definedName name="ueiutriuef" localSheetId="0" hidden="1">{#N/A,#N/A,FALSE,"Plan1";#N/A,#N/A,FALSE,"Plan2"}</definedName>
    <definedName name="UHGSDUS" localSheetId="0" hidden="1">{#N/A,#N/A,FALSE,"Plan1";#N/A,#N/A,FALSE,"Plan2"}</definedName>
    <definedName name="UI" localSheetId="0" hidden="1">#REF!</definedName>
    <definedName name="UIHWER45R" localSheetId="0" hidden="1">{#N/A,#N/A,FALSE,"Plan1";#N/A,#N/A,FALSE,"Plan2"}</definedName>
    <definedName name="uiosderuiu" localSheetId="0" hidden="1">{#N/A,#N/A,FALSE,"Plan1";#N/A,#N/A,FALSE,"Plan2"}</definedName>
    <definedName name="UIOURET" localSheetId="0" hidden="1">{#N/A,#N/A,FALSE,"Plan1";#N/A,#N/A,FALSE,"Plan2"}</definedName>
    <definedName name="uiwuer" localSheetId="0" hidden="1">{#N/A,#N/A,FALSE,"Plan1";#N/A,#N/A,FALSE,"Plan2"}</definedName>
    <definedName name="UKHDFDSGUDFKD" localSheetId="0" hidden="1">{#N/A,#N/A,FALSE,"Plan1";#N/A,#N/A,FALSE,"Plan2"}</definedName>
    <definedName name="um" localSheetId="0" hidden="1">0</definedName>
    <definedName name="unit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0" hidden="1">{#N/A,#N/A,FALSE,"Plan1";#N/A,#N/A,FALSE,"Plan2"}</definedName>
    <definedName name="valv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0" hidden="1">{#N/A,#N/A,FALSE,"Plan1";#N/A,#N/A,FALSE,"Plan2"}</definedName>
    <definedName name="VERIFICAR" localSheetId="0" hidden="1">{#N/A,#N/A,TRUE,"Quinzena 01 à 15-04-98 "}</definedName>
    <definedName name="vfnijfd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0" hidden="1">{#N/A,#N/A,FALSE,"Plan1";#N/A,#N/A,FALSE,"Plan2"}</definedName>
    <definedName name="vld_classificacao" localSheetId="0" hidden="1">IF(#REF!="Ativa",OFFSET(INDEX(rng_list_classificacao,MATCH(#REF!,rng_list_classificacao,0)),1,0,COUNTA(rng_list_classificacao)-1),#REF!)</definedName>
    <definedName name="vld_regional" localSheetId="0" hidden="1">OFFSET(INDEX(rng_list_regional,MATCH(#REF!,rng_list_regional,0)),1,0,COUNTA(rng_list_regional)-1)</definedName>
    <definedName name="vld_segmento" localSheetId="0" hidden="1">IF(#REF!="Ativa",OFFSET(INDEX(rng_list_segmento,MATCH(#REF!,rng_list_segmento,0)),1,0,COUNTA(rng_list_segmento)-1),#REF!)</definedName>
    <definedName name="vld_sociedade" localSheetId="0" hidden="1">OFFSET(INDEX(rng_list_sociedade,MATCH(#REF!,rng_list_sociedade,0)),1,0,COUNTA(rng_list_sociedade)-1)</definedName>
    <definedName name="vld_status_empresa" localSheetId="0" hidden="1">OFFSET(INDEX(rng_list_status_empresa,MATCH(#REF!,rng_list_status_empresa,0)),1,0,COUNTA(rng_list_status_empresa)-1)</definedName>
    <definedName name="vld_status_lancamento" localSheetId="0" hidden="1">IF(#REF!="Ativa",OFFSET(INDEX(rng_list_status_lancamento,MATCH(#REF!,rng_list_status_lancamento,0)),1,0,COUNTA(rng_list_status_lancamento)-1),#REF!)</definedName>
    <definedName name="vld_status_projeto" localSheetId="0" hidden="1">IF(#REF!="Ativa",OFFSET(INDEX(rng_list_status_projeto,MATCH(#REF!,rng_list_status_projeto,0)),1,0,COUNTA(rng_list_status_projeto)-1),#REF!)</definedName>
    <definedName name="vld_status_viabilidade" localSheetId="0" hidden="1">OFFSET(INDEX(rng_list_status_viabilidade,MATCH(#REF!,rng_list_status_viabilidade,0)),1,0,COUNTA(rng_list_status_viabilidade)-1)</definedName>
    <definedName name="VSDHFGDFGR" localSheetId="0" hidden="1">{#N/A,#N/A,FALSE,"Plan1";#N/A,#N/A,FALSE,"Plan2"}</definedName>
    <definedName name="vvbb" localSheetId="0" hidden="1">{"tabela",#N/A,FALSE,"Tabela";"decoração",#N/A,FALSE,"Decor.";"Informações",#N/A,FALSE,"Inform."}</definedName>
    <definedName name="vvcbnb" localSheetId="0" hidden="1">{#N/A,#N/A,FALSE,"Plan1";#N/A,#N/A,FALSE,"Plan2"}</definedName>
    <definedName name="vvvvv" localSheetId="0" hidden="1">{"Econ Consolidado",#N/A,FALSE,"Econ Consol";"Fluxo de Caixa",#N/A,FALSE,"Fluxo Caixa";"Investimentos",#N/A,FALSE,"Investimentos"}</definedName>
    <definedName name="vvvvvv" localSheetId="0" hidden="1">{#N/A,#N/A,FALSE,"Plan1";#N/A,#N/A,FALSE,"Plan2"}</definedName>
    <definedName name="vvvvvvvvvvvvvvvvv" localSheetId="0" hidden="1">{"HW",#N/A,FALSE,"1998"}</definedName>
    <definedName name="VX" localSheetId="0" hidden="1">#REF!</definedName>
    <definedName name="w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dalrdjlaev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dewr" localSheetId="0" hidden="1">#REF!</definedName>
    <definedName name="WE" localSheetId="0" hidden="1">#REF!</definedName>
    <definedName name="werw4tr" localSheetId="0" hidden="1">{#N/A,#N/A,FALSE,"Plan1";#N/A,#N/A,FALSE,"Plan2"}</definedName>
    <definedName name="wetoedjtkdr" localSheetId="0" hidden="1">{#N/A,#N/A,FALSE,"Plan1";#N/A,#N/A,FALSE,"Plan2"}</definedName>
    <definedName name="WHATS" localSheetId="0" hidden="1">{"'Edit'!$A$1:$V$2277"}</definedName>
    <definedName name="win.VESSEL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0" hidden="1">{#N/A,#N/A,FALSE,"Plan1";#N/A,#N/A,FALSE,"Plan2"}</definedName>
    <definedName name="WLQ" localSheetId="0" hidden="1">{#N/A,#N/A,FALSE,"명세표"}</definedName>
    <definedName name="WRITE" localSheetId="0" hidden="1">{#N/A,#N/A,FALSE,"CCTV"}</definedName>
    <definedName name="wrn.BM." localSheetId="0" hidden="1">{#N/A,#N/A,FALSE,"CCTV"}</definedName>
    <definedName name="wrn.Brita98.xls." localSheetId="0" hidden="1">{#N/A,#N/A,TRUE,"Quinzena 01 à 15-04-98 "}</definedName>
    <definedName name="wrn.Completo." localSheetId="0" hidden="1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0" hidden="1">{"EconCons",#N/A,TRUE,"Econômico - Consolidado";"CaixaCons",#N/A,TRUE,"Caixa - Consolidado";"InvestCons",#N/A,TRUE,"Invest Consolidado"}</definedName>
    <definedName name="wrn.Consolidado." localSheetId="0" hidden="1">{"Econ Consolidado",#N/A,FALSE,"Econ Consol";"Fluxo de Caixa",#N/A,FALSE,"Fluxo Caixa";"Investimentos",#N/A,FALSE,"Investimentos"}</definedName>
    <definedName name="wrn.GERAL." localSheetId="0" hidden="1">{#N/A,#N/A,FALSE,"ET-CAPA";#N/A,#N/A,FALSE,"ET-PAG1";#N/A,#N/A,FALSE,"ET-PAG2";#N/A,#N/A,FALSE,"ET-PAG3";#N/A,#N/A,FALSE,"ET-PAG4";#N/A,#N/A,FALSE,"ET-PAG5"}</definedName>
    <definedName name="wrn.HAGE." localSheetId="0" hidden="1">{#N/A,#N/A,FALSE,"cdi";#N/A,#N/A,FALSE,"debent";#N/A,#N/A,FALSE,"fdos";#N/A,#N/A,FALSE,"resumo"}</definedName>
    <definedName name="wrn.HAGE01" localSheetId="0" hidden="1">{#N/A,#N/A,FALSE,"cdi";#N/A,#N/A,FALSE,"debent";#N/A,#N/A,FALSE,"fdos";#N/A,#N/A,FALSE,"resumo"}</definedName>
    <definedName name="wrn.HW." localSheetId="0" hidden="1">{"HW",#N/A,FALSE,"1998"}</definedName>
    <definedName name="wrn.imp_flx." localSheetId="0" hidden="1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0" hidden="1">{#N/A,#N/A,FALSE,"Plan1";#N/A,#N/A,FALSE,"Plan2"}</definedName>
    <definedName name="wrn.Imprimir." localSheetId="0" hidden="1">{"tabela",#N/A,FALSE,"Tabela";"decoração",#N/A,FALSE,"Decor.";"Informações",#N/A,FALSE,"Inform."}</definedName>
    <definedName name="wrn.LPU._.MG." localSheetId="0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0" hidden="1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0" hidden="1">{#N/A,#N/A,FALSE,"ALVENARIA";#N/A,#N/A,FALSE,"BLOCOS";#N/A,#N/A,FALSE,"CINTAS";#N/A,#N/A,FALSE,"CORTINA";#N/A,#N/A,FALSE,"LAJES";#N/A,#N/A,FALSE,"PILARES";#N/A,#N/A,FALSE,"VIGAS"}</definedName>
    <definedName name="wrn.Month._.Report._.Package." localSheetId="0" hidden="1">{#N/A,#N/A,FALSE,"Global Wls Trend";#N/A,#N/A,FALSE,"Region Trend";#N/A,#N/A,FALSE,"PBU Trend"}</definedName>
    <definedName name="wrn.Monthly._.Report._.Package." localSheetId="0" hidden="1">{#N/A,#N/A,FALSE,"Global by BU";#N/A,#N/A,FALSE,"U.S. by BU";#N/A,#N/A,FALSE,"Canada by BU";#N/A,#N/A,FALSE,"Europe by BU";#N/A,#N/A,FALSE,"Asia by BU";#N/A,#N/A,FALSE,"Cala by BU"}</definedName>
    <definedName name="wrn.PENDENCIAS.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0" hidden="1">{#N/A,#N/A,FALSE,"F-01"}</definedName>
    <definedName name="wrn.Planiha._.de._.Medição._.F._.01._1" localSheetId="0" hidden="1">{#N/A,#N/A,FALSE,"F-01"}</definedName>
    <definedName name="wrn.Planilha_de_Medição_F_02" localSheetId="0" hidden="1">{#N/A,#N/A,FALSE,"F-01"}</definedName>
    <definedName name="wrn.print._.all." localSheetId="0" hidden="1">{#N/A,#N/A,FALSE,"$170M Cash";#N/A,#N/A,FALSE,"$250M Cash";#N/A,#N/A,FALSE,"$325M Cash"}</definedName>
    <definedName name="wrn.PrintAll." localSheetId="0" hidden="1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0" hidden="1">{#N/A,#N/A,FALSE,"Sheet1";#N/A,#N/A,FALSE,"Sheet2";#N/A,#N/A,FALSE,"Sheet3"}</definedName>
    <definedName name="wrn.PrintPrev1." localSheetId="0" hidden="1">{#N/A,#N/A,FALSE,"Sheet4";#N/A,#N/A,FALSE,"Sheet5";#N/A,#N/A,FALSE,"Sheet6"}</definedName>
    <definedName name="wrn.PrintPrev2." localSheetId="0" hidden="1">{#N/A,#N/A,FALSE,"Sheet7";#N/A,#N/A,FALSE,"Sheet8";#N/A,#N/A,FALSE,"Sheet9"}</definedName>
    <definedName name="wrn.Quadros._.relatório." localSheetId="0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0" hidden="1">{#N/A,#N/A,FALSE,"TABLE"}</definedName>
    <definedName name="wrn.TERCEIRO." localSheetId="0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0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0" hidden="1">{#N/A,#N/A,FALSE,"명세표"}</definedName>
    <definedName name="wrn.Unidades." localSheetId="0" hidden="1">{"Rio Branco",#N/A,FALSE,"Rio Branco";"Itajaí",#N/A,FALSE,"Itajaí";"Pinheiro Machado",#N/A,FALSE,"PMachado";"Esteio",#N/A,FALSE,"Esteio"}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0" hidden="1">{#N/A,#N/A,FALSE,"Sheet1";#N/A,#N/A,FALSE,"Sheet2";#N/A,#N/A,FALSE,"TAB96-1"}</definedName>
    <definedName name="wrn.보호계전기." localSheetId="0" hidden="1">{#N/A,#N/A,FALSE,"ENG'G(보호계전기)"}</definedName>
    <definedName name="wrn.현장._.NCR._.분석." localSheetId="0" hidden="1">{#N/A,#N/A,FALSE,"현장 NCR 분석";#N/A,#N/A,FALSE,"현장품질감사";#N/A,#N/A,FALSE,"현장품질감사"}</definedName>
    <definedName name="wrn1.Cons." localSheetId="0" hidden="1">{"EconCons",#N/A,TRUE,"Econômico - Consolidado";"CaixaCons",#N/A,TRUE,"Caixa - Consolidado";"InvestCons",#N/A,TRUE,"Invest Consolidado"}</definedName>
    <definedName name="wrn1.print._.all." localSheetId="0" hidden="1">{#N/A,#N/A,FALSE,"$170M Cash";#N/A,#N/A,FALSE,"$250M Cash";#N/A,#N/A,FALSE,"$325M Cash"}</definedName>
    <definedName name="WRS" localSheetId="0" hidden="1">{"'장비'!$A$3:$M$12"}</definedName>
    <definedName name="wrt" localSheetId="0" hidden="1">{#N/A,#N/A,FALSE,"$170M Cash";#N/A,#N/A,FALSE,"$250M Cash";#N/A,#N/A,FALSE,"$325M Cash"}</definedName>
    <definedName name="wvu.PLANILHA2.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0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0" hidden="1">{#N/A,#N/A,FALSE,"Plan1";#N/A,#N/A,FALSE,"Plan2"}</definedName>
    <definedName name="xcgjkfghf" localSheetId="0" hidden="1">{#N/A,#N/A,FALSE,"Plan1";#N/A,#N/A,FALSE,"Plan2"}</definedName>
    <definedName name="XCGJKVHFDG" localSheetId="0" hidden="1">{#N/A,#N/A,FALSE,"Plan1";#N/A,#N/A,FALSE,"Plan2"}</definedName>
    <definedName name="xcgtrty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0" hidden="1">{#N/A,#N/A,FALSE,"Plan1";#N/A,#N/A,FALSE,"Plan2"}</definedName>
    <definedName name="xcndj" localSheetId="0" hidden="1">{#N/A,#N/A,FALSE,"Plan1";#N/A,#N/A,FALSE,"Plan2"}</definedName>
    <definedName name="XCVGGT" localSheetId="0" hidden="1">{#N/A,#N/A,FALSE,"Plan1";#N/A,#N/A,FALSE,"Plan2"}</definedName>
    <definedName name="xcvrg" localSheetId="0" hidden="1">{#N/A,#N/A,FALSE,"Plan1";#N/A,#N/A,FALSE,"Plan2"}</definedName>
    <definedName name="xdfef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0" hidden="1">{#N/A,#N/A,FALSE,"Plan1";#N/A,#N/A,FALSE,"Plan2"}</definedName>
    <definedName name="xfdlfj" localSheetId="0" hidden="1">{#N/A,#N/A,FALSE,"Plan1";#N/A,#N/A,FALSE,"Plan2"}</definedName>
    <definedName name="xfdxfdf" localSheetId="0" hidden="1">{#N/A,#N/A,FALSE,"Plan1";#N/A,#N/A,FALSE,"Plan2"}</definedName>
    <definedName name="XFJKLDJKLGJ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0" hidden="1">{#N/A,#N/A,FALSE,"Plan1";#N/A,#N/A,FALSE,"Plan2"}</definedName>
    <definedName name="XFT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0" hidden="1">{"Econ Consolidado",#N/A,FALSE,"Econ Consol";"Fluxo de Caixa",#N/A,FALSE,"Fluxo Caixa";"Investimentos",#N/A,FALSE,"Investimentos"}</definedName>
    <definedName name="xfvgcfgt" localSheetId="0" hidden="1">{#N/A,#N/A,FALSE,"Plan1";#N/A,#N/A,FALSE,"Plan2"}</definedName>
    <definedName name="xgrg" localSheetId="0" hidden="1">{#N/A,#N/A,FALSE,"Plan1";#N/A,#N/A,FALSE,"Plan2"}</definedName>
    <definedName name="xmght" localSheetId="0" hidden="1">{#N/A,#N/A,FALSE,"Plan1";#N/A,#N/A,FALSE,"Plan2"}</definedName>
    <definedName name="xo" localSheetId="0" hidden="1">{#N/A,#N/A,FALSE,"Global by BU";#N/A,#N/A,FALSE,"U.S. by BU";#N/A,#N/A,FALSE,"Canada by BU";#N/A,#N/A,FALSE,"Europe by BU";#N/A,#N/A,FALSE,"Asia by BU";#N/A,#N/A,FALSE,"Cala by BU"}</definedName>
    <definedName name="XREF_COLUMN_1" localSheetId="0" hidden="1">#REF!</definedName>
    <definedName name="XREF_COLUMN_2" localSheetId="0" hidden="1">#REF!</definedName>
    <definedName name="XRefCopy3Row" localSheetId="0" hidden="1">#REF!</definedName>
    <definedName name="xx" localSheetId="0" hidden="1">#REF!</definedName>
    <definedName name="xxx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0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0" hidden="1">{"'Edit'!$A$1:$V$2277"}</definedName>
    <definedName name="xxxxxxxxxxxxxx" localSheetId="0" hidden="1">{#N/A,#N/A,FALSE,"Plan1";#N/A,#N/A,FALSE,"Plan2"}</definedName>
    <definedName name="xzfrt" localSheetId="0" hidden="1">{#N/A,#N/A,FALSE,"Plan1";#N/A,#N/A,FALSE,"Plan2"}</definedName>
    <definedName name="yeitrtged" localSheetId="0" hidden="1">{#N/A,#N/A,FALSE,"Plan1";#N/A,#N/A,FALSE,"Plan2"}</definedName>
    <definedName name="yhdfiuygrui" localSheetId="0" hidden="1">{#N/A,#N/A,FALSE,"Plan1";#N/A,#N/A,FALSE,"Plan2"}</definedName>
    <definedName name="YRGUYDRIY" localSheetId="0" hidden="1">{"Econ Consolidado",#N/A,FALSE,"Econ Consol";"Fluxo de Caixa",#N/A,FALSE,"Fluxo Caixa";"Investimentos",#N/A,FALSE,"Investimentos"}</definedName>
    <definedName name="yuegursdmksf" localSheetId="0" hidden="1">{#N/A,#N/A,FALSE,"Plan1";#N/A,#N/A,FALSE,"Plan2"}</definedName>
    <definedName name="yuekl4fr" localSheetId="0" hidden="1">{#N/A,#N/A,FALSE,"Plan1";#N/A,#N/A,FALSE,"Plan2"}</definedName>
    <definedName name="yureytuyrea" localSheetId="0" hidden="1">{#N/A,#N/A,FALSE,"Plan1";#N/A,#N/A,FALSE,"Plan2"}</definedName>
    <definedName name="z" localSheetId="0" hidden="1">{"'Estimativa de Lançamento-JAN'!$A$1:$AI$85"}</definedName>
    <definedName name="z\djs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_022B7420_7F94_427F_B370_84030F9B3342_.wvu.FilterData" localSheetId="0" hidden="1">#REF!</definedName>
    <definedName name="Z_04BC043C_175B_412D_8093_6F29CD74FBAE_.wvu.FilterData" localSheetId="0" hidden="1">#REF!</definedName>
    <definedName name="Z_058B9256_CB4D_4C39_834D_D693FEEB491F_.wvu.FilterData" localSheetId="0" hidden="1">#REF!</definedName>
    <definedName name="Z_14D375AC_5615_46DE_8EE3_95915B2A8B54_.wvu.FilterData" localSheetId="0" hidden="1">#REF!</definedName>
    <definedName name="Z_15697660_066E_11D5_AF15_00010242ED40_.wvu.PrintArea" localSheetId="0" hidden="1">#REF!</definedName>
    <definedName name="Z_60DF8B29_1C1F_4B50_BDA8_B8E0C7DD04C3_.wvu.Cols" localSheetId="0" hidden="1">#REF!,#REF!</definedName>
    <definedName name="Z_60DF8B29_1C1F_4B50_BDA8_B8E0C7DD04C3_.wvu.FilterData" localSheetId="0" hidden="1">#REF!</definedName>
    <definedName name="Z_615F4A4D_D5AB_4A04_81F5_F436484247A5_.wvu.FilterData" localSheetId="0" hidden="1">#REF!</definedName>
    <definedName name="Z_616443B5_6F0D_4082_9223_F71B54305366_.wvu.FilterData" localSheetId="0" hidden="1">#REF!</definedName>
    <definedName name="Z_E3FFE9E0_6C4F_4FB4_A56E_FBE96871B5C8_.wvu.Cols" localSheetId="0" hidden="1">#REF!,#REF!</definedName>
    <definedName name="Z_E3FFE9E0_6C4F_4FB4_A56E_FBE96871B5C8_.wvu.FilterData" localSheetId="0" hidden="1">#REF!</definedName>
    <definedName name="Z_E42D429F_E4E8_41D2_9176_83C726BAF8E3_.wvu.FilterData" localSheetId="0" hidden="1">#REF!</definedName>
    <definedName name="Z_E491B72F_902A_11D7_9C1E_0004231B06E7_.wvu.FilterData" localSheetId="0" hidden="1">#REF!</definedName>
    <definedName name="Z_F9CB3A99_6D24_412C_93C4_575819594890_.wvu.FilterData" localSheetId="0" hidden="1">#REF!</definedName>
    <definedName name="zcdçskld" localSheetId="0" hidden="1">{#N/A,#N/A,FALSE,"Plan1";#N/A,#N/A,FALSE,"Plan2"}</definedName>
    <definedName name="zcsdrfrt" localSheetId="0" hidden="1">{#N/A,#N/A,FALSE,"Plan1";#N/A,#N/A,FALSE,"Plan2"}</definedName>
    <definedName name="ZDRE" localSheetId="0" hidden="1">{#N/A,#N/A,FALSE,"Plan1";#N/A,#N/A,FALSE,"Plan2"}</definedName>
    <definedName name="ZSADF" localSheetId="0" hidden="1">{#N/A,#N/A,FALSE,"Plan1";#N/A,#N/A,FALSE,"Plan2"}</definedName>
    <definedName name="zsads" localSheetId="0" hidden="1">{#N/A,#N/A,FALSE,"Plan1";#N/A,#N/A,FALSE,"Plan2"}</definedName>
    <definedName name="ZSDFSETR" localSheetId="0" hidden="1">#REF!</definedName>
    <definedName name="zsds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0" hidden="1">{#N/A,#N/A,FALSE,"Plan1";#N/A,#N/A,FALSE,"Plan2"}</definedName>
    <definedName name="zxcdsf" localSheetId="0" hidden="1">#REF!</definedName>
    <definedName name="zxcfdstrrt" localSheetId="0" hidden="1">{#N/A,#N/A,FALSE,"Plan1";#N/A,#N/A,FALSE,"Plan2"}</definedName>
    <definedName name="zxcx" localSheetId="0" hidden="1">{#N/A,#N/A,FALSE,"Plan1";#N/A,#N/A,FALSE,"Plan2"}</definedName>
    <definedName name="ZXFCRF" localSheetId="0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0" hidden="1">{#N/A,#N/A,FALSE,"Plan1";#N/A,#N/A,FALSE,"Plan2"}</definedName>
    <definedName name="zzdftr" localSheetId="0" hidden="1">{#N/A,#N/A,FALSE,"Plan1";#N/A,#N/A,FALSE,"Plan2"}</definedName>
    <definedName name="zzz" localSheetId="0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0" hidden="1">{"'장비'!$A$3:$M$12"}</definedName>
    <definedName name="검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조건" localSheetId="0" hidden="1">#REF!</definedName>
    <definedName name="계약고햔황2" localSheetId="0" hidden="1">#REF!</definedName>
    <definedName name="계약고현황2" localSheetId="0" hidden="1">#REF!</definedName>
    <definedName name="고문" localSheetId="0" hidden="1">{#N/A,#N/A,FALSE,"현장 NCR 분석";#N/A,#N/A,FALSE,"현장품질감사";#N/A,#N/A,FALSE,"현장품질감사"}</definedName>
    <definedName name="고문2" localSheetId="0" hidden="1">{#N/A,#N/A,FALSE,"현장 NCR 분석";#N/A,#N/A,FALSE,"현장품질감사";#N/A,#N/A,FALSE,"현장품질감사"}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0" hidden="1">{#N/A,#N/A,FALSE,"ENG'G(보호계전기)"}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ㄴㄴ" localSheetId="0" hidden="1">#REF!</definedName>
    <definedName name="내역" localSheetId="0" hidden="1">{#N/A,#N/A,FALSE,"CCTV"}</definedName>
    <definedName name="ㄷㄳ" localSheetId="0" hidden="1">{"'장비'!$A$3:$M$12"}</definedName>
    <definedName name="ㄷㄷㄷㄷ" localSheetId="0" hidden="1">{"'장비'!$A$3:$M$12"}</definedName>
    <definedName name="ㄷㅈㅂㄷ" localSheetId="0" hidden="1">{"'장비'!$A$3:$M$12"}</definedName>
    <definedName name="ㄹㄹ" localSheetId="0" hidden="1">{"'장비'!$A$3:$M$12"}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0" hidden="1">{#N/A,#N/A,FALSE,"현장 NCR 분석";#N/A,#N/A,FALSE,"현장품질감사";#N/A,#N/A,FALSE,"현장품질감사"}</definedName>
    <definedName name="ㅁ" localSheetId="0" hidden="1">{#N/A,#N/A,FALSE,"명세표"}</definedName>
    <definedName name="ㅁㄱ해ㅜ5" localSheetId="0" hidden="1">#REF!</definedName>
    <definedName name="ㅁ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0" hidden="1">{#N/A,#N/A,FALSE,"명세표"}</definedName>
    <definedName name="ㅁㅁㅁ" localSheetId="0" hidden="1">#REF!</definedName>
    <definedName name="ㅁㅁㅁㅁㅁㅁㅁㅁㅁㅁㅁ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0" hidden="1">{#N/A,#N/A,FALSE,"명세표"}</definedName>
    <definedName name="ㅂㅂㅂㅂ" localSheetId="0" hidden="1">{#N/A,#N/A,FALSE,"명세표"}</definedName>
    <definedName name="ㅂㅂㅂㅂㅂㅂㅂ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0" hidden="1">{"'장비'!$A$3:$M$12"}</definedName>
    <definedName name="ㅂㅈㄷ" localSheetId="0" hidden="1">{"'장비'!$A$3:$M$12"}</definedName>
    <definedName name="ㅂㅈㄷㄷㅂㅈㅈㅂ" localSheetId="0" hidden="1">{"'장비'!$A$3:$M$12"}</definedName>
    <definedName name="ㅂㅈㄷㅂㅈ" localSheetId="0" hidden="1">{"'장비'!$A$3:$M$12"}</definedName>
    <definedName name="ㅂㅈㄷㅂㅈㅈㅂㄷ" localSheetId="0" hidden="1">{"'장비'!$A$3:$M$12"}</definedName>
    <definedName name="ㅂㅈㄷㅈㅂㄷ" localSheetId="0" hidden="1">{"'장비'!$A$3:$M$12"}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충" localSheetId="0" hidden="1">#REF!</definedName>
    <definedName name="보호" localSheetId="0" hidden="1">{#N/A,#N/A,FALSE,"ENG'G(보호계전기)"}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0" hidden="1">#REF!</definedName>
    <definedName name="부손익" localSheetId="0" hidden="1">{#N/A,#N/A,FALSE,"현장 NCR 분석";#N/A,#N/A,FALSE,"현장품질감사";#N/A,#N/A,FALSE,"현장품질감사"}</definedName>
    <definedName name="분야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0" hidden="1">{"'장비'!$A$3:$M$12"}</definedName>
    <definedName name="ㅅㅅㅅㅅㅅ" localSheetId="0" hidden="1">{"'장비'!$A$3:$M$12"}</definedName>
    <definedName name="사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계획수정" localSheetId="0" hidden="1">#REF!</definedName>
    <definedName name="사업관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부양식2" localSheetId="0" hidden="1">#REF!</definedName>
    <definedName name="산출" localSheetId="0" hidden="1">#REF!</definedName>
    <definedName name="새안" localSheetId="0" hidden="1">{#N/A,#N/A,FALSE,"TABLE"}</definedName>
    <definedName name="석항" localSheetId="0" hidden="1">{#N/A,#N/A,FALSE,"명세표"}</definedName>
    <definedName name="설계현황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손익계산서" localSheetId="0" hidden="1">#REF!</definedName>
    <definedName name="쇼ㅗㅎ로" localSheetId="0" hidden="1">{"'장비'!$A$3:$M$12"}</definedName>
    <definedName name="수당" localSheetId="0" hidden="1">#N/A</definedName>
    <definedName name="신설" localSheetId="0" hidden="1">{#N/A,#N/A,FALSE,"명세표"}</definedName>
    <definedName name="실적총괄1" localSheetId="0" hidden="1">#REF!</definedName>
    <definedName name="실총" localSheetId="0" hidden="1">#REF!</definedName>
    <definedName name="ㅇㄹㄹ" localSheetId="0" hidden="1">#REF!</definedName>
    <definedName name="ㅇ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ㅇㅇㅇ" localSheetId="0" hidden="1">#REF!</definedName>
    <definedName name="양식변경12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월" localSheetId="0" hidden="1">#REF!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0" hidden="1">{#N/A,#N/A,FALSE,"명세표"}</definedName>
    <definedName name="ㅈㅈㅈㅈ" localSheetId="0" hidden="1">{#N/A,#N/A,FALSE,"명세표"}</definedName>
    <definedName name="자미" localSheetId="0" hidden="1">{#N/A,#N/A,FALSE,"명세표"}</definedName>
    <definedName name="자운" localSheetId="0" hidden="1">#REF!</definedName>
    <definedName name="자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계장금액" localSheetId="0" hidden="1">#REF!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0" hidden="1">#REF!</definedName>
    <definedName name="조직표현장" localSheetId="0" hidden="1">#REF!</definedName>
    <definedName name="종합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0" hidden="1">{#N/A,#N/A,FALSE,"ENG'G(보호계전기)"}</definedName>
    <definedName name="집계" localSheetId="0" hidden="1">{#N/A,#N/A,FALSE,"명세표"}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0" hidden="1">{#N/A,#N/A,FALSE,"명세표"}</definedName>
    <definedName name="ㅋㅋㅋ" localSheetId="0" hidden="1">{#N/A,#N/A,FALSE,"명세표"}</definedName>
    <definedName name="ㅌㅌ" localSheetId="0" hidden="1">{#N/A,#N/A,FALSE,"명세표"}</definedName>
    <definedName name="토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0" hidden="1">{"'장비'!$A$3:$M$12"}</definedName>
    <definedName name="하하하" localSheetId="0" hidden="1">{#N/A,#N/A,FALSE,"명세표"}</definedName>
    <definedName name="한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0" hidden="1">{#N/A,#N/A,FALSE,"명세표"}</definedName>
    <definedName name="ㅏㅏㅏ" localSheetId="0" hidden="1">{#N/A,#N/A,FALSE,"명세표"}</definedName>
    <definedName name="ㅔㅔ" localSheetId="0" hidden="1">{#N/A,#N/A,FALSE,"명세표"}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0" hidden="1">{"'장비'!$A$3:$M$12"}</definedName>
    <definedName name="ㅗㅗ" localSheetId="0" hidden="1">{#N/A,#N/A,FALSE,"명세표"}</definedName>
    <definedName name="ㅗㅗㅗㅗㅗ" localSheetId="0" hidden="1">{"'장비'!$A$3:$M$12"}</definedName>
    <definedName name="ㅛ" localSheetId="0" hidden="1">{"'장비'!$A$3:$M$12"}</definedName>
    <definedName name="ㅛㅕㅛㅕㅛ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0" hidden="1">{"'장비'!$A$3:$M$12"}</definedName>
    <definedName name="ㅜ" localSheetId="0" hidden="1">{#N/A,#N/A,FALSE,"명세표"}</definedName>
    <definedName name="ㅠㅠ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0" hidden="1">{#N/A,#N/A,FALSE,"명세표"}</definedName>
    <definedName name="_xlnm.Print_Area" localSheetId="0">'Dados Base'!$A$1:$M$117</definedName>
    <definedName name="\xasd" localSheetId="1" hidden="1">{#N/A,#N/A,FALSE,"Plan1";#N/A,#N/A,FALSE,"Plan2"}</definedName>
    <definedName name="_\xasd" localSheetId="1" hidden="1">{#N/A,#N/A,FALSE,"Plan1";#N/A,#N/A,FALSE,"Plan2"}</definedName>
    <definedName name="_______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1" hidden="1">{"'장비'!$A$3:$M$12"}</definedName>
    <definedName name="____PKG3" localSheetId="1" hidden="1">{"'장비'!$A$3:$M$12"}</definedName>
    <definedName name="____qqq222" localSheetId="1" hidden="1">{"'장비'!$A$3:$M$12"}</definedName>
    <definedName name="_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1" hidden="1">{"'장비'!$A$3:$M$12"}</definedName>
    <definedName name="___PKG3" localSheetId="1" hidden="1">{"'장비'!$A$3:$M$12"}</definedName>
    <definedName name="___qqq222" localSheetId="1" hidden="1">{"'장비'!$A$3:$M$12"}</definedName>
    <definedName name="_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1" hidden="1">{"'장비'!$A$3:$M$12"}</definedName>
    <definedName name="__PKG3" localSheetId="1" hidden="1">{"'장비'!$A$3:$M$12"}</definedName>
    <definedName name="__qqq222" localSheetId="1" hidden="1">{"'장비'!$A$3:$M$12"}</definedName>
    <definedName name="_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1" hidden="1">{#N/A,#N/A,FALSE,"Plan1";#N/A,#N/A,FALSE,"Plan2"}</definedName>
    <definedName name="_new11" localSheetId="1" hidden="1">{#N/A,#N/A,FALSE,"Global by BU";#N/A,#N/A,FALSE,"U.S. by BU";#N/A,#N/A,FALSE,"Canada by BU";#N/A,#N/A,FALSE,"Europe by BU";#N/A,#N/A,FALSE,"Asia by BU";#N/A,#N/A,FALSE,"Cala by BU"}</definedName>
    <definedName name="_Order2" localSheetId="1" hidden="1">0</definedName>
    <definedName name="_PK2" localSheetId="1" hidden="1">{"'장비'!$A$3:$M$12"}</definedName>
    <definedName name="_PKG3" localSheetId="1" hidden="1">{"'장비'!$A$3:$M$12"}</definedName>
    <definedName name="_qqq222" localSheetId="1" hidden="1">{"'장비'!$A$3:$M$12"}</definedName>
    <definedName name="_r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1" hidden="1">{#N/A,#N/A,FALSE,"Plan1";#N/A,#N/A,FALSE,"Plan2"}</definedName>
    <definedName name="_wrn.pendencias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\sgt" localSheetId="1" hidden="1">{#N/A,#N/A,FALSE,"Plan1";#N/A,#N/A,FALSE,"Plan2"}</definedName>
    <definedName name="aaaa" localSheetId="1">#REF!</definedName>
    <definedName name="aaaaaaaaa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1" hidden="1">{#N/A,#N/A,FALSE,"Plan1";#N/A,#N/A,FALSE,"Plan2"}</definedName>
    <definedName name="AB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1" hidden="1">{#N/A,#N/A,FALSE,"Plan1";#N/A,#N/A,FALSE,"Plan2"}</definedName>
    <definedName name="ad" localSheetId="1" hidden="1">{#N/A,#N/A,FALSE,"Plan1";#N/A,#N/A,FALSE,"Plan2"}</definedName>
    <definedName name="adads" localSheetId="1" hidden="1">{#N/A,#N/A,FALSE,"Plan1";#N/A,#N/A,FALSE,"Plan2"}</definedName>
    <definedName name="adads2" localSheetId="1" hidden="1">{#N/A,#N/A,FALSE,"Plan1";#N/A,#N/A,FALSE,"Plan2"}</definedName>
    <definedName name="adced" localSheetId="1" hidden="1">{#N/A,#N/A,FALSE,"Plan1";#N/A,#N/A,FALSE,"Plan2"}</definedName>
    <definedName name="adced2" localSheetId="1" hidden="1">{#N/A,#N/A,FALSE,"Plan1";#N/A,#N/A,FALSE,"Plan2"}</definedName>
    <definedName name="ader" localSheetId="1" hidden="1">{#N/A,#N/A,FALSE,"Plan1";#N/A,#N/A,FALSE,"Plan2"}</definedName>
    <definedName name="ader2" localSheetId="1" hidden="1">{#N/A,#N/A,FALSE,"Plan1";#N/A,#N/A,FALSE,"Plan2"}</definedName>
    <definedName name="adesr" localSheetId="1" hidden="1">{#N/A,#N/A,FALSE,"Plan1";#N/A,#N/A,FALSE,"Plan2"}</definedName>
    <definedName name="adewr" localSheetId="1" hidden="1">{#N/A,#N/A,FALSE,"Plan1";#N/A,#N/A,FALSE,"Plan2"}</definedName>
    <definedName name="adf" localSheetId="1" hidden="1">{#N/A,#N/A,FALSE,"Plan1";#N/A,#N/A,FALSE,"Plan2"}</definedName>
    <definedName name="adsfr" localSheetId="1" hidden="1">{#N/A,#N/A,FALSE,"Plan1";#N/A,#N/A,FALSE,"Plan2"}</definedName>
    <definedName name="adssrgtg" localSheetId="1" hidden="1">{#N/A,#N/A,FALSE,"Plan1";#N/A,#N/A,FALSE,"Plan2"}</definedName>
    <definedName name="adtsetrr6t" localSheetId="1" hidden="1">{#N/A,#N/A,FALSE,"Plan1";#N/A,#N/A,FALSE,"Plan2"}</definedName>
    <definedName name="adwr" localSheetId="1" hidden="1">{#N/A,#N/A,FALSE,"Plan1";#N/A,#N/A,FALSE,"Plan2"}</definedName>
    <definedName name="aeiresft" localSheetId="1" hidden="1">{#N/A,#N/A,FALSE,"Plan1";#N/A,#N/A,FALSE,"Plan2"}</definedName>
    <definedName name="aEL3QE" localSheetId="1" hidden="1">{#N/A,#N/A,FALSE,"Plan1";#N/A,#N/A,FALSE,"Plan2"}</definedName>
    <definedName name="afeasfre" localSheetId="1" hidden="1">{#N/A,#N/A,FALSE,"Plan1";#N/A,#N/A,FALSE,"Plan2"}</definedName>
    <definedName name="agua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1" hidden="1">{#N/A,#N/A,FALSE,"CCTV"}</definedName>
    <definedName name="angelo" localSheetId="1">#REF!</definedName>
    <definedName name="anscount" localSheetId="1" hidden="1">1</definedName>
    <definedName name="AQE" localSheetId="1" hidden="1">{"'장비'!$A$3:$M$12"}</definedName>
    <definedName name="ArComprimido" localSheetId="1" hidden="1">{"'Estimativa de Lançamento-JAN'!$A$1:$AI$85"}</definedName>
    <definedName name="area" localSheetId="1" hidden="1">{#N/A,#N/A,FALSE,"Plan1";#N/A,#N/A,FALSE,"Plan2"}</definedName>
    <definedName name="asawe3" localSheetId="1" hidden="1">{#N/A,#N/A,FALSE,"Plan1";#N/A,#N/A,FALSE,"Plan2"}</definedName>
    <definedName name="asd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A" localSheetId="1" hidden="1">{#N/A,#N/A,FALSE,"Plan1";#N/A,#N/A,FALSE,"Plan2"}</definedName>
    <definedName name="asdade" localSheetId="1" hidden="1">{#N/A,#N/A,FALSE,"Plan1";#N/A,#N/A,FALSE,"Plan2"}</definedName>
    <definedName name="asdas" localSheetId="1" hidden="1">{#N/A,#N/A,FALSE,"Plan1";#N/A,#N/A,FALSE,"Plan2"}</definedName>
    <definedName name="asdawed" localSheetId="1" hidden="1">{#N/A,#N/A,FALSE,"Plan1";#N/A,#N/A,FALSE,"Plan2"}</definedName>
    <definedName name="ASDER" localSheetId="1" hidden="1">{#N/A,#N/A,FALSE,"Plan1";#N/A,#N/A,FALSE,"Plan2"}</definedName>
    <definedName name="asderr" localSheetId="1" hidden="1">{#N/A,#N/A,FALSE,"Plan1";#N/A,#N/A,FALSE,"Plan2"}</definedName>
    <definedName name="asdesre" localSheetId="1" hidden="1">{#N/A,#N/A,FALSE,"Plan1";#N/A,#N/A,FALSE,"Plan2"}</definedName>
    <definedName name="asdewr" localSheetId="1" hidden="1">{#N/A,#N/A,FALSE,"Plan1";#N/A,#N/A,FALSE,"Plan2"}</definedName>
    <definedName name="ASDFASDFA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1" hidden="1">{#N/A,#N/A,FALSE,"Plan1";#N/A,#N/A,FALSE,"Plan2"}</definedName>
    <definedName name="asdg" localSheetId="1" hidden="1">{#N/A,#N/A,FALSE,"Plan1";#N/A,#N/A,FALSE,"Plan2"}</definedName>
    <definedName name="asdke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1" hidden="1">{#N/A,#N/A,FALSE,"Plan1";#N/A,#N/A,FALSE,"Plan2"}</definedName>
    <definedName name="asdqwe" localSheetId="1" hidden="1">{#N/A,#N/A,FALSE,"Plan1";#N/A,#N/A,FALSE,"Plan2"}</definedName>
    <definedName name="asdsa" localSheetId="1" hidden="1">{#N/A,#N/A,FALSE,"Plan1";#N/A,#N/A,FALSE,"Plan2"}</definedName>
    <definedName name="asdser" localSheetId="1" hidden="1">{#N/A,#N/A,FALSE,"Plan1";#N/A,#N/A,FALSE,"Plan2"}</definedName>
    <definedName name="asdwef" localSheetId="1" hidden="1">{#N/A,#N/A,FALSE,"Plan1";#N/A,#N/A,FALSE,"Plan2"}</definedName>
    <definedName name="ASET" localSheetId="1" hidden="1">{#N/A,#N/A,FALSE,"Plan1";#N/A,#N/A,FALSE,"Plan2"}</definedName>
    <definedName name="asfDSF" localSheetId="1" hidden="1">{#N/A,#N/A,FALSE,"Plan1";#N/A,#N/A,FALSE,"Plan2"}</definedName>
    <definedName name="ASFERTE" localSheetId="1" hidden="1">{#N/A,#N/A,FALSE,"Plan1";#N/A,#N/A,FALSE,"Plan2"}</definedName>
    <definedName name="asfl" localSheetId="1" hidden="1">{#N/A,#N/A,FALSE,"Plan1";#N/A,#N/A,FALSE,"Plan2"}</definedName>
    <definedName name="asfsz" localSheetId="1" hidden="1">{#N/A,#N/A,FALSE,"Plan1";#N/A,#N/A,FALSE,"Plan2"}</definedName>
    <definedName name="askserf" localSheetId="1" hidden="1">{#N/A,#N/A,FALSE,"Plan1";#N/A,#N/A,FALSE,"Plan2"}</definedName>
    <definedName name="ASSFSDF" localSheetId="1" hidden="1">{#N/A,#N/A,FALSE,"Plan1";#N/A,#N/A,FALSE,"Plan2"}</definedName>
    <definedName name="asw" localSheetId="1" hidden="1">{#N/A,#N/A,FALSE,"Plan1";#N/A,#N/A,FALSE,"Plan2"}</definedName>
    <definedName name="ATIVOS" localSheetId="1" hidden="1">{#N/A,#N/A,FALSE,"F-01"}</definedName>
    <definedName name="awdjw" localSheetId="1" hidden="1">{#N/A,#N/A,FALSE,"Plan1";#N/A,#N/A,FALSE,"Plan2"}</definedName>
    <definedName name="aweqw4" localSheetId="1" hidden="1">{#N/A,#N/A,FALSE,"Plan1";#N/A,#N/A,FALSE,"Plan2"}</definedName>
    <definedName name="awssdwaer" localSheetId="1" hidden="1">{#N/A,#N/A,FALSE,"Plan1";#N/A,#N/A,FALSE,"Plan2"}</definedName>
    <definedName name="b" localSheetId="1" hidden="1">{#N/A,#N/A,FALSE,"Plan1";#N/A,#N/A,FALSE,"Plan2"}</definedName>
    <definedName name="bbbbbbbbbbbbbbb" localSheetId="1" hidden="1">{"'Edit'!$A$1:$V$2277"}</definedName>
    <definedName name="bdfjghf" localSheetId="1" hidden="1">{#N/A,#N/A,FALSE,"Plan1";#N/A,#N/A,FALSE,"Plan2"}</definedName>
    <definedName name="bdzbfbdr" localSheetId="1" hidden="1">{#N/A,#N/A,FALSE,"Plan1";#N/A,#N/A,FALSE,"Plan2"}</definedName>
    <definedName name="BGG" localSheetId="1" hidden="1">{#N/A,#N/A,FALSE,"Plan1";#N/A,#N/A,FALSE,"Plan2"}</definedName>
    <definedName name="bhjgfhfh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1" hidden="1">{#N/A,#N/A,FALSE,"Plan1";#N/A,#N/A,FALSE,"Plan2"}</definedName>
    <definedName name="bmdgghrtfde" localSheetId="1" hidden="1">{#N/A,#N/A,FALSE,"Plan1";#N/A,#N/A,FALSE,"Plan2"}</definedName>
    <definedName name="bnkjhjhdfxgt" localSheetId="1" hidden="1">{#N/A,#N/A,FALSE,"Plan1";#N/A,#N/A,FALSE,"Plan2"}</definedName>
    <definedName name="bxnzfmkzxbhdf" localSheetId="1" hidden="1">{#N/A,#N/A,FALSE,"Plan1";#N/A,#N/A,FALSE,"Plan2"}</definedName>
    <definedName name="caixas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çaos\ewapo" localSheetId="1" hidden="1">{#N/A,#N/A,FALSE,"Plan1";#N/A,#N/A,FALSE,"Plan2"}</definedName>
    <definedName name="CAT6_IP" localSheetId="1" hidden="1">{#N/A,#N/A,FALSE,"F-01"}</definedName>
    <definedName name="ççç" localSheetId="1" hidden="1">{#N/A,#N/A,FALSE,"Plan1";#N/A,#N/A,FALSE,"Plan2"}</definedName>
    <definedName name="cccc" localSheetId="1" hidden="1">{#N/A,#N/A,FALSE,"Plan1";#N/A,#N/A,FALSE,"Plan2"}</definedName>
    <definedName name="ççççççç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1" hidden="1">{"HW",#N/A,FALSE,"1998"}</definedName>
    <definedName name="çcklfjk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1" hidden="1">{#N/A,#N/A,FALSE,"Plan1";#N/A,#N/A,FALSE,"Plan2"}</definedName>
    <definedName name="CDSGHE" localSheetId="1" hidden="1">{#N/A,#N/A,FALSE,"Plan1";#N/A,#N/A,FALSE,"Plan2"}</definedName>
    <definedName name="çfhjglkjhkljy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1" hidden="1">{#N/A,#N/A,FALSE,"Plan1";#N/A,#N/A,FALSE,"Plan2"}</definedName>
    <definedName name="chfch" localSheetId="1" hidden="1">{#N/A,#N/A,FALSE,"Plan1";#N/A,#N/A,FALSE,"Plan2"}</definedName>
    <definedName name="ÇJKRÇLFS" localSheetId="1" hidden="1">{"Econ Consolidado",#N/A,FALSE,"Econ Consol";"Fluxo de Caixa",#N/A,FALSE,"Fluxo Caixa";"Investimentos",#N/A,FALSE,"Investimentos"}</definedName>
    <definedName name="ÇJsrejtçe" localSheetId="1" hidden="1">{#N/A,#N/A,FALSE,"Plan1";#N/A,#N/A,FALSE,"Plan2"}</definedName>
    <definedName name="çkaçekow" localSheetId="1" hidden="1">{#N/A,#N/A,FALSE,"Plan1";#N/A,#N/A,FALSE,"Plan2"}</definedName>
    <definedName name="ÇKSDOEKR" localSheetId="1" hidden="1">{#N/A,#N/A,FALSE,"Plan1";#N/A,#N/A,FALSE,"Plan2"}</definedName>
    <definedName name="çl" localSheetId="1" hidden="1">{#N/A,#N/A,FALSE,"Plan1";#N/A,#N/A,FALSE,"Plan2"}</definedName>
    <definedName name="çlassde" localSheetId="1" hidden="1">{#N/A,#N/A,FALSE,"Plan1";#N/A,#N/A,FALSE,"Plan2"}</definedName>
    <definedName name="çlçlç" localSheetId="1" hidden="1">{#N/A,#N/A,FALSE,"Plan1";#N/A,#N/A,FALSE,"Plan2"}</definedName>
    <definedName name="çld" localSheetId="1" hidden="1">{#N/A,#N/A,FALSE,"Plan1";#N/A,#N/A,FALSE,"Plan2"}</definedName>
    <definedName name="çlererr" localSheetId="1" hidden="1">{#N/A,#N/A,FALSE,"Plan1";#N/A,#N/A,FALSE,"Plan2"}</definedName>
    <definedName name="çlertert" localSheetId="1" hidden="1">{#N/A,#N/A,FALSE,"Plan1";#N/A,#N/A,FALSE,"Plan2"}</definedName>
    <definedName name="çll" localSheetId="1" hidden="1">{#N/A,#N/A,FALSE,"Plan1";#N/A,#N/A,FALSE,"Plan2"}</definedName>
    <definedName name="CMC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1" hidden="1">{#N/A,#N/A,TRUE,"Quinzena 01 à 15-04-98 "}</definedName>
    <definedName name="cont" localSheetId="1" hidden="1">{#N/A,#N/A,FALSE,"Plan1";#N/A,#N/A,FALSE,"Plan2"}</definedName>
    <definedName name="Controle_Tecnologico" localSheetId="1">{#N/A,#N/A,FALSE,"Plan1";#N/A,#N/A,FALSE,"Plan2"}</definedName>
    <definedName name="ÇSAÇDFW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1" hidden="1">{#N/A,#N/A,FALSE,"Plan1";#N/A,#N/A,FALSE,"Plan2"}</definedName>
    <definedName name="CTH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almo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1" hidden="1">{#N/A,#N/A,FALSE,"Plan1";#N/A,#N/A,FALSE,"Plan2"}</definedName>
    <definedName name="DÇDL" localSheetId="1" hidden="1">{#N/A,#N/A,FALSE,"Plan1";#N/A,#N/A,FALSE,"Plan2"}</definedName>
    <definedName name="dcnsfgdjkgb" localSheetId="1" hidden="1">{#N/A,#N/A,FALSE,"Plan1";#N/A,#N/A,FALSE,"Plan2"}</definedName>
    <definedName name="DÇWK" localSheetId="1" hidden="1">{#N/A,#N/A,FALSE,"Plan1";#N/A,#N/A,FALSE,"Plan2"}</definedName>
    <definedName name="DD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1" hidden="1">{"'장비'!$A$3:$M$12"}</definedName>
    <definedName name="ddddd" localSheetId="1" hidden="1">{#N/A,#N/A,FALSE,"Plan1";#N/A,#N/A,FALSE,"Plan2"}</definedName>
    <definedName name="dde" localSheetId="1" hidden="1">{#N/A,#N/A,FALSE,"Plan1";#N/A,#N/A,FALSE,"Plan2"}</definedName>
    <definedName name="ddgfdvgd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1" hidden="1">{#N/A,#N/A,FALSE,"Plan1";#N/A,#N/A,FALSE,"Plan2"}</definedName>
    <definedName name="dede" localSheetId="1" hidden="1">{#N/A,#N/A,FALSE,"Plan1";#N/A,#N/A,FALSE,"Plan2"}</definedName>
    <definedName name="des" localSheetId="1" hidden="1">{#N/A,#N/A,FALSE,"Plan1";#N/A,#N/A,FALSE,"Plan2"}</definedName>
    <definedName name="desc" localSheetId="1" hidden="1">{#N/A,#N/A,FALSE,"Plan1";#N/A,#N/A,FALSE,"Plan2"}</definedName>
    <definedName name="d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1" hidden="1">{#N/A,#N/A,FALSE,"명세표"}</definedName>
    <definedName name="dfdfty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1" hidden="1">{#N/A,#N/A,FALSE,"Plan1";#N/A,#N/A,FALSE,"Plan2"}</definedName>
    <definedName name="dfdrtrr" localSheetId="1" hidden="1">{#N/A,#N/A,FALSE,"Plan1";#N/A,#N/A,FALSE,"Plan2"}</definedName>
    <definedName name="DFDSG" localSheetId="1" hidden="1">{#N/A,#N/A,FALSE,"Plan1";#N/A,#N/A,FALSE,"Plan2"}</definedName>
    <definedName name="dfer" localSheetId="1" hidden="1">{#N/A,#N/A,FALSE,"Plan1";#N/A,#N/A,FALSE,"Plan2"}</definedName>
    <definedName name="dffbty" localSheetId="1" hidden="1">{#N/A,#N/A,FALSE,"Plan1";#N/A,#N/A,FALSE,"Plan2"}</definedName>
    <definedName name="dffgk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1" hidden="1">{#N/A,#N/A,FALSE,"Plan1";#N/A,#N/A,FALSE,"Plan2"}</definedName>
    <definedName name="dfg" localSheetId="1" hidden="1">{#N/A,#N/A,FALSE,"Plan1";#N/A,#N/A,FALSE,"Plan2"}</definedName>
    <definedName name="dfgdf" localSheetId="1" hidden="1">{#N/A,#N/A,FALSE,"Plan1";#N/A,#N/A,FALSE,"Plan2"}</definedName>
    <definedName name="dfgdytygr" localSheetId="1" hidden="1">{#N/A,#N/A,FALSE,"Plan1";#N/A,#N/A,FALSE,"Plan2"}</definedName>
    <definedName name="dfgftrrdt5" localSheetId="1" hidden="1">{#N/A,#N/A,FALSE,"Plan1";#N/A,#N/A,FALSE,"Plan2"}</definedName>
    <definedName name="dfghjfhsg" localSheetId="1" hidden="1">{#N/A,#N/A,FALSE,"Plan1";#N/A,#N/A,FALSE,"Plan2"}</definedName>
    <definedName name="dfgj" localSheetId="1" hidden="1">{#N/A,#N/A,FALSE,"Plan1";#N/A,#N/A,FALSE,"Plan2"}</definedName>
    <definedName name="dfgjfttyd" localSheetId="1" hidden="1">{#N/A,#N/A,FALSE,"Plan1";#N/A,#N/A,FALSE,"Plan2"}</definedName>
    <definedName name="dfgjjtdrtg" localSheetId="1" hidden="1">{#N/A,#N/A,FALSE,"Plan1";#N/A,#N/A,FALSE,"Plan2"}</definedName>
    <definedName name="dfgt" localSheetId="1" hidden="1">{#N/A,#N/A,FALSE,"Plan1";#N/A,#N/A,FALSE,"Plan2"}</definedName>
    <definedName name="dfgtrkjhk" localSheetId="1" hidden="1">{#N/A,#N/A,FALSE,"Plan1";#N/A,#N/A,FALSE,"Plan2"}</definedName>
    <definedName name="dfgty" localSheetId="1" hidden="1">{#N/A,#N/A,FALSE,"Plan1";#N/A,#N/A,FALSE,"Plan2"}</definedName>
    <definedName name="dfhdgfdgf" localSheetId="1" hidden="1">{#N/A,#N/A,FALSE,"Plan1";#N/A,#N/A,FALSE,"Plan2"}</definedName>
    <definedName name="DFHDJGJFHJGF" localSheetId="1" hidden="1">{#N/A,#N/A,FALSE,"Plan1";#N/A,#N/A,FALSE,"Plan2"}</definedName>
    <definedName name="dfhdyg" localSheetId="1" hidden="1">{#N/A,#N/A,FALSE,"Plan1";#N/A,#N/A,FALSE,"Plan2"}</definedName>
    <definedName name="DFHGDHUR" localSheetId="1" hidden="1">{#N/A,#N/A,FALSE,"Plan1";#N/A,#N/A,FALSE,"Plan2"}</definedName>
    <definedName name="dfhgjfgdhfjdrf" localSheetId="1" hidden="1">{#N/A,#N/A,FALSE,"Plan1";#N/A,#N/A,FALSE,"Plan2"}</definedName>
    <definedName name="dfhgkhfut" localSheetId="1" hidden="1">{#N/A,#N/A,FALSE,"Plan1";#N/A,#N/A,FALSE,"Plan2"}</definedName>
    <definedName name="dfhguitrhfg" localSheetId="1" hidden="1">{#N/A,#N/A,FALSE,"Plan1";#N/A,#N/A,FALSE,"Plan2"}</definedName>
    <definedName name="DFHKHDGKJHDKS" localSheetId="1" hidden="1">{#N/A,#N/A,FALSE,"Plan1";#N/A,#N/A,FALSE,"Plan2"}</definedName>
    <definedName name="dfjgjfhykj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1" hidden="1">{#N/A,#N/A,FALSE,"Plan1";#N/A,#N/A,FALSE,"Plan2"}</definedName>
    <definedName name="dfkhgfg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1" hidden="1">{#N/A,#N/A,FALSE,"Plan1";#N/A,#N/A,FALSE,"Plan2"}</definedName>
    <definedName name="dfnert" localSheetId="1" hidden="1">{#N/A,#N/A,FALSE,"Plan1";#N/A,#N/A,FALSE,"Plan2"}</definedName>
    <definedName name="dfrt" localSheetId="1" hidden="1">{#N/A,#N/A,FALSE,"Plan1";#N/A,#N/A,FALSE,"Plan2"}</definedName>
    <definedName name="dfsdr5tt" localSheetId="1" hidden="1">{#N/A,#N/A,FALSE,"Plan1";#N/A,#N/A,FALSE,"Plan2"}</definedName>
    <definedName name="dfsd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1" hidden="1">{#N/A,#N/A,FALSE,"Plan1";#N/A,#N/A,FALSE,"Plan2"}</definedName>
    <definedName name="dfsf" localSheetId="1" hidden="1">{#N/A,#N/A,FALSE,"Plan1";#N/A,#N/A,FALSE,"Plan2"}</definedName>
    <definedName name="DFT" localSheetId="1" hidden="1">{#N/A,#N/A,FALSE,"Plan1";#N/A,#N/A,FALSE,"Plan2"}</definedName>
    <definedName name="DFTRTTY" localSheetId="1" hidden="1">{#N/A,#N/A,FALSE,"Plan1";#N/A,#N/A,FALSE,"Plan2"}</definedName>
    <definedName name="dfurghifdjyhits" localSheetId="1" hidden="1">{#N/A,#N/A,FALSE,"Plan1";#N/A,#N/A,FALSE,"Plan2"}</definedName>
    <definedName name="dfxgdrged" localSheetId="1" hidden="1">{#N/A,#N/A,FALSE,"Plan1";#N/A,#N/A,FALSE,"Plan2"}</definedName>
    <definedName name="dgfrtyt" localSheetId="1" hidden="1">{#N/A,#N/A,FALSE,"Plan1";#N/A,#N/A,FALSE,"Plan2"}</definedName>
    <definedName name="dggfdg" localSheetId="1" hidden="1">{#N/A,#N/A,FALSE,"Plan1";#N/A,#N/A,FALSE,"Plan2"}</definedName>
    <definedName name="dgldfhgkljslh" localSheetId="1" hidden="1">{#N/A,#N/A,FALSE,"Plan1";#N/A,#N/A,FALSE,"Plan2"}</definedName>
    <definedName name="dhfgdhrehrwe" localSheetId="1" hidden="1">{#N/A,#N/A,FALSE,"Plan1";#N/A,#N/A,FALSE,"Plan2"}</definedName>
    <definedName name="dhgfdgrfgdfgd" localSheetId="1" hidden="1">{#N/A,#N/A,FALSE,"Plan1";#N/A,#N/A,FALSE,"Plan2"}</definedName>
    <definedName name="dhkjfhdhfjdh" localSheetId="1" hidden="1">{#N/A,#N/A,FALSE,"Plan1";#N/A,#N/A,FALSE,"Plan2"}</definedName>
    <definedName name="DHTJRT" localSheetId="1" hidden="1">{#N/A,#N/A,FALSE,"Plan1";#N/A,#N/A,FALSE,"Plan2"}</definedName>
    <definedName name="dijghdhks" localSheetId="1" hidden="1">{#N/A,#N/A,FALSE,"Plan1";#N/A,#N/A,FALSE,"Plan2"}</definedName>
    <definedName name="djasdrjas" localSheetId="1" hidden="1">{#N/A,#N/A,FALSE,"Plan1";#N/A,#N/A,FALSE,"Plan2"}</definedName>
    <definedName name="dj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1" hidden="1">{#N/A,#N/A,FALSE,"Plan1";#N/A,#N/A,FALSE,"Plan2"}</definedName>
    <definedName name="djfkhsdkjhf" localSheetId="1" hidden="1">{#N/A,#N/A,FALSE,"Plan1";#N/A,#N/A,FALSE,"Plan2"}</definedName>
    <definedName name="djfldjsgljslkjtg" localSheetId="1" hidden="1">{#N/A,#N/A,FALSE,"Plan1";#N/A,#N/A,FALSE,"Plan2"}</definedName>
    <definedName name="djflkdjgdth" localSheetId="1" hidden="1">{#N/A,#N/A,FALSE,"Plan1";#N/A,#N/A,FALSE,"Plan2"}</definedName>
    <definedName name="DJFLKDJGKTJYJT" localSheetId="1" hidden="1">{#N/A,#N/A,FALSE,"Plan1";#N/A,#N/A,FALSE,"Plan2"}</definedName>
    <definedName name="djgkfjgtiyty" localSheetId="1" hidden="1">{#N/A,#N/A,FALSE,"Plan1";#N/A,#N/A,FALSE,"Plan2"}</definedName>
    <definedName name="djrkehrjfhng" localSheetId="1" hidden="1">{#N/A,#N/A,FALSE,"Plan1";#N/A,#N/A,FALSE,"Plan2"}</definedName>
    <definedName name="djtkjldfr" localSheetId="1" hidden="1">{#N/A,#N/A,FALSE,"Plan1";#N/A,#N/A,FALSE,"Plan2"}</definedName>
    <definedName name="DJXDLFGDFG" localSheetId="1" hidden="1">{#N/A,#N/A,FALSE,"Plan1";#N/A,#N/A,FALSE,"Plan2"}</definedName>
    <definedName name="dkdkdkdkd" localSheetId="1" hidden="1">{#N/A,#N/A,FALSE,"명세표"}</definedName>
    <definedName name="dkfhskgf" localSheetId="1" hidden="1">{#N/A,#N/A,FALSE,"Plan1";#N/A,#N/A,FALSE,"Plan2"}</definedName>
    <definedName name="dkjfk" localSheetId="1" hidden="1">{#N/A,#N/A,FALSE,"Plan1";#N/A,#N/A,FALSE,"Plan2"}</definedName>
    <definedName name="DKLD" localSheetId="1" hidden="1">{#N/A,#N/A,FALSE,"Plan1";#N/A,#N/A,FALSE,"Plan2"}</definedName>
    <definedName name="DKLFJDKFD" localSheetId="1" hidden="1">{#N/A,#N/A,FALSE,"Plan1";#N/A,#N/A,FALSE,"Plan2"}</definedName>
    <definedName name="dklfjgirtgid" localSheetId="1" hidden="1">{#N/A,#N/A,FALSE,"Plan1";#N/A,#N/A,FALSE,"Plan2"}</definedName>
    <definedName name="dklf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1" hidden="1">{#N/A,#N/A,FALSE,"Plan1";#N/A,#N/A,FALSE,"Plan2"}</definedName>
    <definedName name="DNFJKDHTKRE" localSheetId="1" hidden="1">{#N/A,#N/A,FALSE,"Plan1";#N/A,#N/A,FALSE,"Plan2"}</definedName>
    <definedName name="dng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wr" localSheetId="1" hidden="1">{#N/A,#N/A,FALSE,"Plan1";#N/A,#N/A,FALSE,"Plan2"}</definedName>
    <definedName name="DRRJR" localSheetId="1" hidden="1">{#N/A,#N/A,FALSE,"Plan1";#N/A,#N/A,FALSE,"Plan2"}</definedName>
    <definedName name="drtrt" localSheetId="1" hidden="1">{"'Estimativa de Lançamento-JAN'!$A$1:$AI$85"}</definedName>
    <definedName name="dsdrf" localSheetId="1" hidden="1">{#N/A,#N/A,FALSE,"Plan1";#N/A,#N/A,FALSE,"Plan2"}</definedName>
    <definedName name="dsfdf" localSheetId="1" hidden="1">{#N/A,#N/A,FALSE,"Plan1";#N/A,#N/A,FALSE,"Plan2"}</definedName>
    <definedName name="dsfg" localSheetId="1" hidden="1">{#N/A,#N/A,FALSE,"Plan1";#N/A,#N/A,FALSE,"Plan2"}</definedName>
    <definedName name="DSFKDSKH" localSheetId="1" hidden="1">{#N/A,#N/A,FALSE,"Plan1";#N/A,#N/A,FALSE,"Plan2"}</definedName>
    <definedName name="DSFR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1" hidden="1">{#N/A,#N/A,FALSE,"Plan1";#N/A,#N/A,FALSE,"Plan2"}</definedName>
    <definedName name="DSFSAD" localSheetId="1" hidden="1">{#N/A,#N/A,FALSE,"Plan1";#N/A,#N/A,FALSE,"Plan2"}</definedName>
    <definedName name="dsfsdf" localSheetId="1" hidden="1">{#N/A,#N/A,FALSE,"Plan1";#N/A,#N/A,FALSE,"Plan2"}</definedName>
    <definedName name="dsfsdgfb" localSheetId="1" hidden="1">{#N/A,#N/A,FALSE,"Plan1";#N/A,#N/A,FALSE,"Plan2"}</definedName>
    <definedName name="dsgfr" localSheetId="1" hidden="1">{#N/A,#N/A,FALSE,"Plan1";#N/A,#N/A,FALSE,"Plan2"}</definedName>
    <definedName name="dshfkhkrhesru" localSheetId="1" hidden="1">{#N/A,#N/A,FALSE,"Plan1";#N/A,#N/A,FALSE,"Plan2"}</definedName>
    <definedName name="dsjkthkr" localSheetId="1" hidden="1">{#N/A,#N/A,FALSE,"Plan1";#N/A,#N/A,FALSE,"Plan2"}</definedName>
    <definedName name="DSLFJSLFJ" localSheetId="1" hidden="1">{#N/A,#N/A,FALSE,"Plan1";#N/A,#N/A,FALSE,"Plan2"}</definedName>
    <definedName name="dsrff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1" hidden="1">{#N/A,#N/A,FALSE,"Plan1";#N/A,#N/A,FALSE,"Plan2"}</definedName>
    <definedName name="dtgsrytt" localSheetId="1" hidden="1">{#N/A,#N/A,FALSE,"Plan1";#N/A,#N/A,FALSE,"Plan2"}</definedName>
    <definedName name="dtrjkhtrgkfh" localSheetId="1" hidden="1">{#N/A,#N/A,FALSE,"Plan1";#N/A,#N/A,FALSE,"Plan2"}</definedName>
    <definedName name="dttjuk" localSheetId="1" hidden="1">{#N/A,#N/A,FALSE,"Plan1";#N/A,#N/A,FALSE,"Plan2"}</definedName>
    <definedName name="dvtry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1" hidden="1">{#N/A,#N/A,FALSE,"Plan1";#N/A,#N/A,FALSE,"Plan2"}</definedName>
    <definedName name="DY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1" hidden="1">{#N/A,#N/A,FALSE,"Plan1";#N/A,#N/A,FALSE,"Plan2"}</definedName>
    <definedName name="dzdfr" localSheetId="1" hidden="1">{#N/A,#N/A,FALSE,"Plan1";#N/A,#N/A,FALSE,"Plan2"}</definedName>
    <definedName name="e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C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1" hidden="1">{#N/A,#N/A,FALSE,"F-01"}</definedName>
    <definedName name="ECEW_1" localSheetId="1" hidden="1">{#N/A,#N/A,FALSE,"F-01"}</definedName>
    <definedName name="ECS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1" hidden="1">{#N/A,#N/A,FALSE,"Plan1";#N/A,#N/A,FALSE,"Plan2"}</definedName>
    <definedName name="eee" localSheetId="1" hidden="1">{#N/A,#N/A,FALSE,"ET-CAPA";#N/A,#N/A,FALSE,"ET-PAG1";#N/A,#N/A,FALSE,"ET-PAG2";#N/A,#N/A,FALSE,"ET-PAG3";#N/A,#N/A,FALSE,"ET-PAG4";#N/A,#N/A,FALSE,"ET-PAG5"}</definedName>
    <definedName name="efestfr" localSheetId="1" hidden="1">{#N/A,#N/A,FALSE,"Plan1";#N/A,#N/A,FALSE,"Plan2"}</definedName>
    <definedName name="efrdrt" localSheetId="1" hidden="1">{#N/A,#N/A,FALSE,"Plan1";#N/A,#N/A,FALSE,"Plan2"}</definedName>
    <definedName name="efrg" localSheetId="1" hidden="1">{#N/A,#N/A,FALSE,"Plan1";#N/A,#N/A,FALSE,"Plan2"}</definedName>
    <definedName name="efsgfr" localSheetId="1" hidden="1">{#N/A,#N/A,FALSE,"Plan1";#N/A,#N/A,FALSE,"Plan2"}</definedName>
    <definedName name="ER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1" hidden="1">{#N/A,#N/A,FALSE,"Plan1";#N/A,#N/A,FALSE,"Plan2"}</definedName>
    <definedName name="ESGFDSFD" localSheetId="1" hidden="1">{#N/A,#N/A,FALSE,"Plan1";#N/A,#N/A,FALSE,"Plan2"}</definedName>
    <definedName name="EU" localSheetId="1" hidden="1">{#N/A,#N/A,FALSE,"Plan1";#N/A,#N/A,FALSE,"Plan2"}</definedName>
    <definedName name="EVL" localSheetId="1" hidden="1">{"Econ Consolidado",#N/A,FALSE,"Econ Consol";"Fluxo de Caixa",#N/A,FALSE,"Fluxo Caixa";"Investimentos",#N/A,FALSE,"Investimentos"}</definedName>
    <definedName name="Evol." localSheetId="1" hidden="1">{"Econ Consolidado",#N/A,FALSE,"Econ Consol";"Fluxo de Caixa",#N/A,FALSE,"Fluxo Caixa";"Investimentos",#N/A,FALSE,"Investimentos"}</definedName>
    <definedName name="ewfr" localSheetId="1" hidden="1">{#N/A,#N/A,FALSE,"Plan1";#N/A,#N/A,FALSE,"Plan2"}</definedName>
    <definedName name="eyruieyteta" localSheetId="1" hidden="1">{#N/A,#N/A,FALSE,"Plan1";#N/A,#N/A,FALSE,"Plan2"}</definedName>
    <definedName name="f" localSheetId="1" hidden="1">{#N/A,#N/A,FALSE,"Plan1";#N/A,#N/A,FALSE,"Plan2"}</definedName>
    <definedName name="FAS" localSheetId="1" hidden="1">{"'Total'!$A$1","'Total'!$A$3"}</definedName>
    <definedName name="fasfasf" localSheetId="1" hidden="1">{#N/A,#N/A,TRUE,"Quinzena 01 à 15-04-98 "}</definedName>
    <definedName name="fddhght" localSheetId="1" hidden="1">{#N/A,#N/A,FALSE,"Plan1";#N/A,#N/A,FALSE,"Plan2"}</definedName>
    <definedName name="fdfgd" localSheetId="1" hidden="1">{#N/A,#N/A,FALSE,"Plan1";#N/A,#N/A,FALSE,"Plan2"}</definedName>
    <definedName name="fdfng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1" hidden="1">{#N/A,#N/A,FALSE,"Plan1";#N/A,#N/A,FALSE,"Plan2"}</definedName>
    <definedName name="fdgdf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1" hidden="1">{#N/A,#N/A,FALSE,"Plan1";#N/A,#N/A,FALSE,"Plan2"}</definedName>
    <definedName name="fdgfyhygfuj" localSheetId="1" hidden="1">{#N/A,#N/A,FALSE,"Plan1";#N/A,#N/A,FALSE,"Plan2"}</definedName>
    <definedName name="fdhgfdf" localSheetId="1" hidden="1">{#N/A,#N/A,FALSE,"Plan1";#N/A,#N/A,FALSE,"Plan2"}</definedName>
    <definedName name="fdjfgdfjg" localSheetId="1" hidden="1">{#N/A,#N/A,FALSE,"Plan1";#N/A,#N/A,FALSE,"Plan2"}</definedName>
    <definedName name="fdjghkshtygt" localSheetId="1" hidden="1">{#N/A,#N/A,FALSE,"Plan1";#N/A,#N/A,FALSE,"Plan2"}</definedName>
    <definedName name="fdnhgf" localSheetId="1" hidden="1">{"'Estimativa de Lançamento-JAN'!$A$1:$AI$85"}</definedName>
    <definedName name="fdsf" localSheetId="1" hidden="1">{#N/A,#N/A,FALSE,"Plan1";#N/A,#N/A,FALSE,"Plan2"}</definedName>
    <definedName name="fffff" localSheetId="1" hidden="1">{#N/A,#N/A,FALSE,"Plan1";#N/A,#N/A,FALSE,"Plan2"}</definedName>
    <definedName name="FFTY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1" hidden="1">{#N/A,#N/A,FALSE,"Plan1";#N/A,#N/A,FALSE,"Plan2"}</definedName>
    <definedName name="fgg" localSheetId="1" hidden="1">{"'장비'!$A$3:$M$12"}</definedName>
    <definedName name="fghfh" localSheetId="1" hidden="1">{"'Estimativa de Lançamento-JAN'!$A$1:$AI$85"}</definedName>
    <definedName name="fghgfh" localSheetId="1" hidden="1">{#N/A,#N/A,FALSE,"Plan1";#N/A,#N/A,FALSE,"Plan2"}</definedName>
    <definedName name="FGJHFGK" localSheetId="1" hidden="1">{#N/A,#N/A,FALSE,"Plan1";#N/A,#N/A,FALSE,"Plan2"}</definedName>
    <definedName name="fgktyhdf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1" hidden="1">{#N/A,#N/A,FALSE,"Plan1";#N/A,#N/A,FALSE,"Plan2"}</definedName>
    <definedName name="fhgjfgyt" localSheetId="1" hidden="1">{#N/A,#N/A,FALSE,"Plan1";#N/A,#N/A,FALSE,"Plan2"}</definedName>
    <definedName name="fhgjkhtrfg" localSheetId="1" hidden="1">{#N/A,#N/A,FALSE,"Plan1";#N/A,#N/A,FALSE,"Plan2"}</definedName>
    <definedName name="FHGTGSRSG" localSheetId="1" hidden="1">{#N/A,#N/A,FALSE,"Plan1";#N/A,#N/A,FALSE,"Plan2"}</definedName>
    <definedName name="FIELD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1" hidden="1">{#N/A,#N/A,TRUE,"Quinzena 01 à 15-04-98 "}</definedName>
    <definedName name="fjdhfgjdhtgu" localSheetId="1" hidden="1">{#N/A,#N/A,FALSE,"Plan1";#N/A,#N/A,FALSE,"Plan2"}</definedName>
    <definedName name="fjfjg" localSheetId="1" hidden="1">{#N/A,#N/A,FALSE,"명세표"}</definedName>
    <definedName name="FJG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1" hidden="1">{#N/A,#N/A,FALSE,"Plan1";#N/A,#N/A,FALSE,"Plan2"}</definedName>
    <definedName name="fjtgfh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1" hidden="1">{#N/A,#N/A,FALSE,"Plan1";#N/A,#N/A,FALSE,"Plan2"}</definedName>
    <definedName name="fl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rçt4r" localSheetId="1" hidden="1">{#N/A,#N/A,FALSE,"Plan1";#N/A,#N/A,FALSE,"Plan2"}</definedName>
    <definedName name="frdtty" localSheetId="1" hidden="1">{#N/A,#N/A,FALSE,"Plan1";#N/A,#N/A,FALSE,"Plan2"}</definedName>
    <definedName name="fsdfsf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1" hidden="1">{#N/A,#N/A,FALSE,"Plan1";#N/A,#N/A,FALSE,"Plan2"}</definedName>
    <definedName name="fxjghkfg" localSheetId="1" hidden="1">{#N/A,#N/A,FALSE,"Plan1";#N/A,#N/A,FALSE,"Plan2"}</definedName>
    <definedName name="galo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1" hidden="1">{#N/A,#N/A,FALSE,"Plan1";#N/A,#N/A,FALSE,"Plan2"}</definedName>
    <definedName name="gbdsjgsjfdgj" localSheetId="1" hidden="1">{#N/A,#N/A,FALSE,"Plan1";#N/A,#N/A,FALSE,"Plan2"}</definedName>
    <definedName name="gdfdhgfjgj" localSheetId="1" hidden="1">{#N/A,#N/A,FALSE,"Plan1";#N/A,#N/A,FALSE,"Plan2"}</definedName>
    <definedName name="gdfgdstggt" localSheetId="1" hidden="1">{#N/A,#N/A,FALSE,"Plan1";#N/A,#N/A,FALSE,"Plan2"}</definedName>
    <definedName name="GDFHGRJGFJDRF" localSheetId="1" hidden="1">{"Econ Consolidado",#N/A,FALSE,"Econ Consol";"Fluxo de Caixa",#N/A,FALSE,"Fluxo Caixa";"Investimentos",#N/A,FALSE,"Investimentos"}</definedName>
    <definedName name="gdfigfhuyuy" localSheetId="1" hidden="1">{#N/A,#N/A,FALSE,"Plan1";#N/A,#N/A,FALSE,"Plan2"}</definedName>
    <definedName name="gdfsgfew" localSheetId="1" hidden="1">{#N/A,#N/A,FALSE,"Plan1";#N/A,#N/A,FALSE,"Plan2"}</definedName>
    <definedName name="gdhfgdhfgf" localSheetId="1" hidden="1">{#N/A,#N/A,FALSE,"Plan1";#N/A,#N/A,FALSE,"Plan2"}</definedName>
    <definedName name="gdsfhefrwrw" localSheetId="1" hidden="1">{#N/A,#N/A,FALSE,"Plan1";#N/A,#N/A,FALSE,"Plan2"}</definedName>
    <definedName name="geshrjhed" localSheetId="1" hidden="1">{#N/A,#N/A,FALSE,"Plan1";#N/A,#N/A,FALSE,"Plan2"}</definedName>
    <definedName name="gfdcgnkf" localSheetId="1" hidden="1">{#N/A,#N/A,FALSE,"Plan1";#N/A,#N/A,FALSE,"Plan2"}</definedName>
    <definedName name="gfdjtgur" localSheetId="1" hidden="1">{#N/A,#N/A,FALSE,"Plan1";#N/A,#N/A,FALSE,"Plan2"}</definedName>
    <definedName name="gfgdhxgfdhf" localSheetId="1" hidden="1">{#N/A,#N/A,FALSE,"Plan1";#N/A,#N/A,FALSE,"Plan2"}</definedName>
    <definedName name="gfhfdtgjb" localSheetId="1" hidden="1">{#N/A,#N/A,FALSE,"Plan1";#N/A,#N/A,FALSE,"Plan2"}</definedName>
    <definedName name="gfjdshrtjhtged" localSheetId="1" hidden="1">{#N/A,#N/A,FALSE,"Plan1";#N/A,#N/A,FALSE,"Plan2"}</definedName>
    <definedName name="gfjgkddgfd" localSheetId="1" hidden="1">{#N/A,#N/A,FALSE,"Plan1";#N/A,#N/A,FALSE,"Plan2"}</definedName>
    <definedName name="gfsghjdgygr" localSheetId="1" hidden="1">{#N/A,#N/A,FALSE,"Plan1";#N/A,#N/A,FALSE,"Plan2"}</definedName>
    <definedName name="gftfy" localSheetId="1" hidden="1">{#N/A,#N/A,FALSE,"Plan1";#N/A,#N/A,FALSE,"Plan2"}</definedName>
    <definedName name="gfty" localSheetId="1" hidden="1">{#N/A,#N/A,FALSE,"Plan1";#N/A,#N/A,FALSE,"Plan2"}</definedName>
    <definedName name="GFUJU9" localSheetId="1" hidden="1">{#N/A,#N/A,FALSE,"Plan1";#N/A,#N/A,FALSE,"Plan2"}</definedName>
    <definedName name="ggg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1" hidden="1">{"'장비'!$A$3:$M$12"}</definedName>
    <definedName name="ggggggggg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1" hidden="1">{"'장비'!$A$3:$M$12"}</definedName>
    <definedName name="ghfgdfrtert" localSheetId="1" hidden="1">{#N/A,#N/A,FALSE,"Plan1";#N/A,#N/A,FALSE,"Plan2"}</definedName>
    <definedName name="ghfhghft" localSheetId="1" hidden="1">{#N/A,#N/A,FALSE,"Plan1";#N/A,#N/A,FALSE,"Plan2"}</definedName>
    <definedName name="ghjg" localSheetId="1" hidden="1">{"'Estimativa de Lançamento-JAN'!$A$1:$AI$85"}</definedName>
    <definedName name="ghkfhgh" localSheetId="1" hidden="1">{#N/A,#N/A,FALSE,"Plan1";#N/A,#N/A,FALSE,"Plan2"}</definedName>
    <definedName name="ghkjh" localSheetId="1" hidden="1">{#N/A,#N/A,FALSE,"ENG'G(보호계전기)"}</definedName>
    <definedName name="GJ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1" hidden="1">{#N/A,#N/A,FALSE,"Plan1";#N/A,#N/A,FALSE,"Plan2"}</definedName>
    <definedName name="GJ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1" hidden="1">{#N/A,#N/A,FALSE,"Plan1";#N/A,#N/A,FALSE,"Plan2"}</definedName>
    <definedName name="glgl" localSheetId="1" hidden="1">{#N/A,#N/A,FALSE,"Plan1";#N/A,#N/A,FALSE,"Plan2"}</definedName>
    <definedName name="global" localSheetId="1" hidden="1">{"'Estimativa de Lançamento-JAN'!$A$1:$AI$85"}</definedName>
    <definedName name="gnfrth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1" hidden="1">{#N/A,#N/A,FALSE,"Plan1";#N/A,#N/A,FALSE,"Plan2"}</definedName>
    <definedName name="GUI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1" hidden="1">{#N/A,#N/A,FALSE,"CCTV"}</definedName>
    <definedName name="hcjfkhdghfktg" localSheetId="1" hidden="1">{#N/A,#N/A,FALSE,"Plan1";#N/A,#N/A,FALSE,"Plan2"}</definedName>
    <definedName name="hddfndgdfg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1" hidden="1">{#N/A,#N/A,FALSE,"Plan1";#N/A,#N/A,FALSE,"Plan2"}</definedName>
    <definedName name="HDFGJKHKFDHTY" localSheetId="1" hidden="1">{#N/A,#N/A,FALSE,"Plan1";#N/A,#N/A,FALSE,"Plan2"}</definedName>
    <definedName name="hdfhdhrtgd" localSheetId="1" hidden="1">{#N/A,#N/A,FALSE,"Plan1";#N/A,#N/A,FALSE,"Plan2"}</definedName>
    <definedName name="hdfhftde" localSheetId="1" hidden="1">{#N/A,#N/A,FALSE,"Plan1";#N/A,#N/A,FALSE,"Plan2"}</definedName>
    <definedName name="hdfhgkdhgtrf" localSheetId="1" hidden="1">{#N/A,#N/A,FALSE,"Plan1";#N/A,#N/A,FALSE,"Plan2"}</definedName>
    <definedName name="hdfjhdkzhgdr" localSheetId="1" hidden="1">{#N/A,#N/A,FALSE,"Plan1";#N/A,#N/A,FALSE,"Plan2"}</definedName>
    <definedName name="hdfjkgvjgtd" localSheetId="1" hidden="1">{#N/A,#N/A,FALSE,"Plan1";#N/A,#N/A,FALSE,"Plan2"}</definedName>
    <definedName name="hdfjkhdhrute" localSheetId="1" hidden="1">{#N/A,#N/A,FALSE,"Plan1";#N/A,#N/A,FALSE,"Plan2"}</definedName>
    <definedName name="HDFKGVF" localSheetId="1" hidden="1">{#N/A,#N/A,FALSE,"Plan1";#N/A,#N/A,FALSE,"Plan2"}</definedName>
    <definedName name="hdgfhdgtdrt" localSheetId="1" hidden="1">{#N/A,#N/A,FALSE,"Plan1";#N/A,#N/A,FALSE,"Plan2"}</definedName>
    <definedName name="hdghgtgtrgd" localSheetId="1" hidden="1">{#N/A,#N/A,FALSE,"Plan1";#N/A,#N/A,FALSE,"Plan2"}</definedName>
    <definedName name="HDHDGHTUHDTG" localSheetId="1" hidden="1">{#N/A,#N/A,FALSE,"Plan1";#N/A,#N/A,FALSE,"Plan2"}</definedName>
    <definedName name="hdhghfthrrhy" localSheetId="1" hidden="1">{#N/A,#N/A,FALSE,"Plan1";#N/A,#N/A,FALSE,"Plan2"}</definedName>
    <definedName name="hdkfjhydjh" localSheetId="1" hidden="1">{#N/A,#N/A,FALSE,"Plan1";#N/A,#N/A,FALSE,"Plan2"}</definedName>
    <definedName name="hdsgfgrrdgr" localSheetId="1" hidden="1">{#N/A,#N/A,FALSE,"Plan1";#N/A,#N/A,FALSE,"Plan2"}</definedName>
    <definedName name="hdtertkkdsa" localSheetId="1" hidden="1">{#N/A,#N/A,FALSE,"Plan1";#N/A,#N/A,FALSE,"Plan2"}</definedName>
    <definedName name="HEDHA" localSheetId="1" hidden="1">{#N/A,#N/A,FALSE,"Plan1";#N/A,#N/A,FALSE,"Plan2"}</definedName>
    <definedName name="heife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1" hidden="1">{#N/A,#N/A,FALSE,"Plan1";#N/A,#N/A,FALSE,"Plan2"}</definedName>
    <definedName name="hersdtretyt" localSheetId="1" hidden="1">{#N/A,#N/A,FALSE,"Plan1";#N/A,#N/A,FALSE,"Plan2"}</definedName>
    <definedName name="HFDJTHTRS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1" hidden="1">{#N/A,#N/A,FALSE,"Plan1";#N/A,#N/A,FALSE,"Plan2"}</definedName>
    <definedName name="hfdkhgkfdhtj" localSheetId="1" hidden="1">{#N/A,#N/A,FALSE,"Plan1";#N/A,#N/A,FALSE,"Plan2"}</definedName>
    <definedName name="hfgfktgkhyt" localSheetId="1" hidden="1">{#N/A,#N/A,FALSE,"Plan1";#N/A,#N/A,FALSE,"Plan2"}</definedName>
    <definedName name="hfghdkhrgkjg" localSheetId="1" hidden="1">{#N/A,#N/A,FALSE,"Plan1";#N/A,#N/A,FALSE,"Plan2"}</definedName>
    <definedName name="hfighfth" localSheetId="1" hidden="1">{#N/A,#N/A,FALSE,"Plan1";#N/A,#N/A,FALSE,"Plan2"}</definedName>
    <definedName name="hfjghtfuyrf" localSheetId="1" hidden="1">{#N/A,#N/A,FALSE,"Plan1";#N/A,#N/A,FALSE,"Plan2"}</definedName>
    <definedName name="HFKJHDJGHFJ" localSheetId="1" hidden="1">{#N/A,#N/A,FALSE,"Plan1";#N/A,#N/A,FALSE,"Plan2"}</definedName>
    <definedName name="hgdesgfgsj" localSheetId="1" hidden="1">{#N/A,#N/A,FALSE,"Plan1";#N/A,#N/A,FALSE,"Plan2"}</definedName>
    <definedName name="hgdgfd" localSheetId="1" hidden="1">{#N/A,#N/A,FALSE,"Plan1";#N/A,#N/A,FALSE,"Plan2"}</definedName>
    <definedName name="hgfhjkdfhj" localSheetId="1" hidden="1">{#N/A,#N/A,FALSE,"Plan1";#N/A,#N/A,FALSE,"Plan2"}</definedName>
    <definedName name="hgg" localSheetId="1" hidden="1">{#N/A,#N/A,FALSE,"Plan1";#N/A,#N/A,FALSE,"Plan2"}</definedName>
    <definedName name="hgjdfgghg" localSheetId="1" hidden="1">{#N/A,#N/A,FALSE,"Plan1";#N/A,#N/A,FALSE,"Plan2"}</definedName>
    <definedName name="hgjkfdhg" localSheetId="1" hidden="1">{#N/A,#N/A,FALSE,"Plan1";#N/A,#N/A,FALSE,"Plan2"}</definedName>
    <definedName name="hgkdfhkfk" localSheetId="1" hidden="1">{#N/A,#N/A,FALSE,"Plan1";#N/A,#N/A,FALSE,"Plan2"}</definedName>
    <definedName name="hgkjhdfhtrdyt" localSheetId="1" hidden="1">{#N/A,#N/A,FALSE,"Plan1";#N/A,#N/A,FALSE,"Plan2"}</definedName>
    <definedName name="hgkjhdfkhgtfhg" localSheetId="1" hidden="1">{#N/A,#N/A,FALSE,"Plan1";#N/A,#N/A,FALSE,"Plan2"}</definedName>
    <definedName name="hgkjhkfhsdkdhgk" localSheetId="1" hidden="1">{#N/A,#N/A,FALSE,"Plan1";#N/A,#N/A,FALSE,"Plan2"}</definedName>
    <definedName name="hgsufgdhghd" localSheetId="1" hidden="1">{#N/A,#N/A,FALSE,"Plan1";#N/A,#N/A,FALSE,"Plan2"}</definedName>
    <definedName name="HHGFHTYUT" localSheetId="1" hidden="1">{#N/A,#N/A,FALSE,"Plan1";#N/A,#N/A,FALSE,"Plan2"}</definedName>
    <definedName name="hhh" localSheetId="1" hidden="1">{"'Total'!$A$1","'Total'!$A$3"}</definedName>
    <definedName name="hik" localSheetId="1" hidden="1">{#N/A,#N/A,FALSE,"TABLE"}</definedName>
    <definedName name="hjdgtjdjxrfg" localSheetId="1" hidden="1">{#N/A,#N/A,FALSE,"Plan1";#N/A,#N/A,FALSE,"Plan2"}</definedName>
    <definedName name="HJFDGD" localSheetId="1" hidden="1">{#N/A,#N/A,FALSE,"Plan1";#N/A,#N/A,FALSE,"Plan2"}</definedName>
    <definedName name="HJGASD" localSheetId="1" hidden="1">{#N/A,#N/A,FALSE,"Plan1";#N/A,#N/A,FALSE,"Plan2"}</definedName>
    <definedName name="HJGFGTFDG" localSheetId="1" hidden="1">{#N/A,#N/A,FALSE,"Plan1";#N/A,#N/A,FALSE,"Plan2"}</definedName>
    <definedName name="hjgfhdsgfhsd" localSheetId="1" hidden="1">{#N/A,#N/A,FALSE,"Plan1";#N/A,#N/A,FALSE,"Plan2"}</definedName>
    <definedName name="hjgxfjgdjyftr" localSheetId="1" hidden="1">{#N/A,#N/A,FALSE,"Plan1";#N/A,#N/A,FALSE,"Plan2"}</definedName>
    <definedName name="hjgyugasd" localSheetId="1" hidden="1">{#N/A,#N/A,FALSE,"Plan1";#N/A,#N/A,FALSE,"Plan2"}</definedName>
    <definedName name="hjjfyfy" localSheetId="1" hidden="1">{#N/A,#N/A,FALSE,"Plan1";#N/A,#N/A,FALSE,"Plan2"}</definedName>
    <definedName name="hjkchkvjhdjkgh" localSheetId="1" hidden="1">{#N/A,#N/A,FALSE,"Plan1";#N/A,#N/A,FALSE,"Plan2"}</definedName>
    <definedName name="hjkfjdyht" localSheetId="1" hidden="1">{#N/A,#N/A,FALSE,"Plan1";#N/A,#N/A,FALSE,"Plan2"}</definedName>
    <definedName name="hjsdffe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1" hidden="1">{#N/A,#N/A,FALSE,"Plan1";#N/A,#N/A,FALSE,"Plan2"}</definedName>
    <definedName name="hjsrdfre" localSheetId="1" hidden="1">{"Econ Consolidado",#N/A,FALSE,"Econ Consol";"Fluxo de Caixa",#N/A,FALSE,"Fluxo Caixa";"Investimentos",#N/A,FALSE,"Investimentos"}</definedName>
    <definedName name="HKewewsr" localSheetId="1" hidden="1">{#N/A,#N/A,FALSE,"Plan1";#N/A,#N/A,FALSE,"Plan2"}</definedName>
    <definedName name="hkhdskacd" localSheetId="1" hidden="1">{#N/A,#N/A,FALSE,"Plan1";#N/A,#N/A,FALSE,"Plan2"}</definedName>
    <definedName name="hkjfgfhgfh" localSheetId="1" hidden="1">{#N/A,#N/A,FALSE,"Plan1";#N/A,#N/A,FALSE,"Plan2"}</definedName>
    <definedName name="hkjfhgjkfhghfg" localSheetId="1" hidden="1">{#N/A,#N/A,FALSE,"Plan1";#N/A,#N/A,FALSE,"Plan2"}</definedName>
    <definedName name="HKLZHFRH" localSheetId="1" hidden="1">{#N/A,#N/A,FALSE,"Plan1";#N/A,#N/A,FALSE,"Plan2"}</definedName>
    <definedName name="ho" localSheetId="1" hidden="1">{#N/A,#N/A,FALSE,"TABLE"}</definedName>
    <definedName name="hrterte" localSheetId="1" hidden="1">{#N/A,#N/A,FALSE,"Plan1";#N/A,#N/A,FALSE,"Plan2"}</definedName>
    <definedName name="hsdf" localSheetId="1" hidden="1">{#N/A,#N/A,FALSE,"Plan1";#N/A,#N/A,FALSE,"Plan2"}</definedName>
    <definedName name="hsdfgdgudrt" localSheetId="1" hidden="1">{#N/A,#N/A,FALSE,"Plan1";#N/A,#N/A,FALSE,"Plan2"}</definedName>
    <definedName name="hsdfjkdhur" localSheetId="1" hidden="1">{#N/A,#N/A,FALSE,"Plan1";#N/A,#N/A,FALSE,"Plan2"}</definedName>
    <definedName name="hsdgftdht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1" hidden="1">{#N/A,#N/A,FALSE,"Plan1";#N/A,#N/A,FALSE,"Plan2"}</definedName>
    <definedName name="hsdjffe" localSheetId="1" hidden="1">{#N/A,#N/A,FALSE,"Plan1";#N/A,#N/A,FALSE,"Plan2"}</definedName>
    <definedName name="HSFIHDTR" localSheetId="1" hidden="1">{"Econ Consolidado",#N/A,FALSE,"Econ Consol";"Fluxo de Caixa",#N/A,FALSE,"Fluxo Caixa";"Investimentos",#N/A,FALSE,"Investimentos"}</definedName>
    <definedName name="hsfjkdshrgf" localSheetId="1" hidden="1">{#N/A,#N/A,FALSE,"Plan1";#N/A,#N/A,FALSE,"Plan2"}</definedName>
    <definedName name="hthhrtetdre" localSheetId="1" hidden="1">{#N/A,#N/A,FALSE,"Plan1";#N/A,#N/A,FALSE,"Plan2"}</definedName>
    <definedName name="HTML_Control" localSheetId="1" hidden="1">{"'장비'!$A$3:$M$12"}</definedName>
    <definedName name="HTML2_CONTROL" localSheetId="1" hidden="1">{"'Estimativa de Lançamento-JAN'!$A$1:$AI$85"}</definedName>
    <definedName name="HTML3_CONTROL" localSheetId="1" hidden="1">{"'Estimativa de Lançamento-JAN'!$A$1:$AI$85"}</definedName>
    <definedName name="HTMLControl" localSheetId="1" hidden="1">{"'Edit'!$A$1:$V$2277"}</definedName>
    <definedName name="HVJKHGKFXHFD" localSheetId="1" hidden="1">{#N/A,#N/A,FALSE,"Plan1";#N/A,#N/A,FALSE,"Plan2"}</definedName>
    <definedName name="hwekjhekhf" localSheetId="1" hidden="1">{#N/A,#N/A,FALSE,"Plan1";#N/A,#N/A,FALSE,"Plan2"}</definedName>
    <definedName name="HXFRE" localSheetId="1" hidden="1">{#N/A,#N/A,FALSE,"Plan1";#N/A,#N/A,FALSE,"Plan2"}</definedName>
    <definedName name="HXKJFGDKHG" localSheetId="1" hidden="1">{#N/A,#N/A,FALSE,"Plan1";#N/A,#N/A,FALSE,"Plan2"}</definedName>
    <definedName name="idfhgkjhfkthy" localSheetId="1" hidden="1">{#N/A,#N/A,FALSE,"Plan1";#N/A,#N/A,FALSE,"Plan2"}</definedName>
    <definedName name="ieroweft" localSheetId="1" hidden="1">{#N/A,#N/A,FALSE,"Plan1";#N/A,#N/A,FALSE,"Plan2"}</definedName>
    <definedName name="iewpotqi5poejy" localSheetId="1" hidden="1">{#N/A,#N/A,FALSE,"Plan1";#N/A,#N/A,FALSE,"Plan2"}</definedName>
    <definedName name="ihdfifguhgfuiyh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1" hidden="1">{#N/A,#N/A,FALSE,"Plan1";#N/A,#N/A,FALSE,"Plan2"}</definedName>
    <definedName name="ihrtetw4r" localSheetId="1" hidden="1">{#N/A,#N/A,FALSE,"Plan1";#N/A,#N/A,FALSE,"Plan2"}</definedName>
    <definedName name="IIASDSAWE" localSheetId="1" hidden="1">{"Econ Consolidado",#N/A,FALSE,"Econ Consol";"Fluxo de Caixa",#N/A,FALSE,"Fluxo Caixa";"Investimentos",#N/A,FALSE,"Investimentos"}</definedName>
    <definedName name="iinstalações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1" hidden="1">{#N/A,#N/A,FALSE,"Plan1";#N/A,#N/A,FALSE,"Plan2"}</definedName>
    <definedName name="ilsdr4wf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1" hidden="1">{"'Edit'!$A$1:$V$2277"}</definedName>
    <definedName name="ioeriotyt" localSheetId="1" hidden="1">{#N/A,#N/A,FALSE,"Plan1";#N/A,#N/A,FALSE,"Plan2"}</definedName>
    <definedName name="iohudtorh" localSheetId="1" hidden="1">{#N/A,#N/A,FALSE,"Plan1";#N/A,#N/A,FALSE,"Plan2"}</definedName>
    <definedName name="iojtkheayed" localSheetId="1" hidden="1">{#N/A,#N/A,FALSE,"Plan1";#N/A,#N/A,FALSE,"Plan2"}</definedName>
    <definedName name="iouweroieuw4" localSheetId="1" hidden="1">{#N/A,#N/A,FALSE,"Plan1";#N/A,#N/A,FALSE,"Plan2"}</definedName>
    <definedName name="iphifpgh" localSheetId="1" hidden="1">{#N/A,#N/A,FALSE,"Plan1";#N/A,#N/A,FALSE,"Plan2"}</definedName>
    <definedName name="ipodsifgpds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1" hidden="1">{#N/A,#N/A,FALSE,"Plan1";#N/A,#N/A,FALSE,"Plan2"}</definedName>
    <definedName name="ITEM별상세업무분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1" hidden="1">{#N/A,#N/A,FALSE,"Plan1";#N/A,#N/A,FALSE,"Plan2"}</definedName>
    <definedName name="iyuyheturtd" localSheetId="1" hidden="1">{#N/A,#N/A,FALSE,"Plan1";#N/A,#N/A,FALSE,"Plan2"}</definedName>
    <definedName name="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1" hidden="1">{#N/A,#N/A,FALSE,"Plan1";#N/A,#N/A,FALSE,"Plan2"}</definedName>
    <definedName name="JASDJS" localSheetId="1" hidden="1">{#N/A,#N/A,FALSE,"Plan1";#N/A,#N/A,FALSE,"Plan2"}</definedName>
    <definedName name="jaskldjlse" localSheetId="1" hidden="1">{#N/A,#N/A,FALSE,"Plan1";#N/A,#N/A,FALSE,"Plan2"}</definedName>
    <definedName name="JASLDKLD" localSheetId="1" hidden="1">{#N/A,#N/A,FALSE,"Plan1";#N/A,#N/A,FALSE,"Plan2"}</definedName>
    <definedName name="JÇDFHDF" localSheetId="1" hidden="1">{"Econ Consolidado",#N/A,FALSE,"Econ Consol";"Fluxo de Caixa",#N/A,FALSE,"Fluxo Caixa";"Investimentos",#N/A,FALSE,"Investimentos"}</definedName>
    <definedName name="jdbgftbhr" localSheetId="1" hidden="1">{#N/A,#N/A,FALSE,"Plan1";#N/A,#N/A,FALSE,"Plan2"}</definedName>
    <definedName name="jdfgldfjgklh" localSheetId="1" hidden="1">{#N/A,#N/A,FALSE,"Plan1";#N/A,#N/A,FALSE,"Plan2"}</definedName>
    <definedName name="jdfhjkdrhjtkg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1" hidden="1">{#N/A,#N/A,FALSE,"Plan1";#N/A,#N/A,FALSE,"Plan2"}</definedName>
    <definedName name="JDFJLDJR" localSheetId="1" hidden="1">{#N/A,#N/A,FALSE,"Plan1";#N/A,#N/A,FALSE,"Plan2"}</definedName>
    <definedName name="jdfkgitfgdrtt" localSheetId="1" hidden="1">{#N/A,#N/A,FALSE,"Plan1";#N/A,#N/A,FALSE,"Plan2"}</definedName>
    <definedName name="JDFKHFKJ" localSheetId="1" hidden="1">{#N/A,#N/A,FALSE,"Plan1";#N/A,#N/A,FALSE,"Plan2"}</definedName>
    <definedName name="jdfklgtdtr" localSheetId="1" hidden="1">{#N/A,#N/A,FALSE,"Plan1";#N/A,#N/A,FALSE,"Plan2"}</definedName>
    <definedName name="JDFKTHRT" localSheetId="1" hidden="1">{#N/A,#N/A,FALSE,"Plan1";#N/A,#N/A,FALSE,"Plan2"}</definedName>
    <definedName name="JDFLKJDRF" localSheetId="1" hidden="1">{#N/A,#N/A,FALSE,"Plan1";#N/A,#N/A,FALSE,"Plan2"}</definedName>
    <definedName name="jdfzlkjgfdht" localSheetId="1" hidden="1">{#N/A,#N/A,FALSE,"Plan1";#N/A,#N/A,FALSE,"Plan2"}</definedName>
    <definedName name="jdglhfghkt" localSheetId="1" hidden="1">{#N/A,#N/A,FALSE,"Plan1";#N/A,#N/A,FALSE,"Plan2"}</definedName>
    <definedName name="jdhfjdhgfd" localSheetId="1" hidden="1">{#N/A,#N/A,FALSE,"Plan1";#N/A,#N/A,FALSE,"Plan2"}</definedName>
    <definedName name="jdjdjdjd" localSheetId="1" hidden="1">{#N/A,#N/A,FALSE,"명세표"}</definedName>
    <definedName name="jdkfhgjhf" localSheetId="1" hidden="1">{#N/A,#N/A,FALSE,"Plan1";#N/A,#N/A,FALSE,"Plan2"}</definedName>
    <definedName name="jdkfjdtr" localSheetId="1" hidden="1">{#N/A,#N/A,FALSE,"Plan1";#N/A,#N/A,FALSE,"Plan2"}</definedName>
    <definedName name="jdljgftldjti5r" localSheetId="1" hidden="1">{#N/A,#N/A,FALSE,"Plan1";#N/A,#N/A,FALSE,"Plan2"}</definedName>
    <definedName name="JDLKJDASGF" localSheetId="1" hidden="1">{#N/A,#N/A,FALSE,"Plan1";#N/A,#N/A,FALSE,"Plan2"}</definedName>
    <definedName name="jdrfkdjfghrtfjg" localSheetId="1" hidden="1">{#N/A,#N/A,FALSE,"Plan1";#N/A,#N/A,FALSE,"Plan2"}</definedName>
    <definedName name="jdskfhdk" localSheetId="1" hidden="1">{#N/A,#N/A,FALSE,"Plan1";#N/A,#N/A,FALSE,"Plan2"}</definedName>
    <definedName name="JDSKLGKDRHGGF" localSheetId="1" hidden="1">{#N/A,#N/A,FALSE,"Plan1";#N/A,#N/A,FALSE,"Plan2"}</definedName>
    <definedName name="jefsgfr" localSheetId="1" hidden="1">{#N/A,#N/A,FALSE,"Plan1";#N/A,#N/A,FALSE,"Plan2"}</definedName>
    <definedName name="JERHIEHYURE" localSheetId="1" hidden="1">{#N/A,#N/A,FALSE,"Plan1";#N/A,#N/A,FALSE,"Plan2"}</definedName>
    <definedName name="jfddlsrtyty" localSheetId="1" hidden="1">{#N/A,#N/A,FALSE,"Plan1";#N/A,#N/A,FALSE,"Plan2"}</definedName>
    <definedName name="jfdjtgdjghitfyh" localSheetId="1" hidden="1">{#N/A,#N/A,FALSE,"Plan1";#N/A,#N/A,FALSE,"Plan2"}</definedName>
    <definedName name="jfdkgkftftg" localSheetId="1" hidden="1">{#N/A,#N/A,FALSE,"Plan1";#N/A,#N/A,FALSE,"Plan2"}</definedName>
    <definedName name="jfghjkfdhtkyru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1" hidden="1">{#N/A,#N/A,FALSE,"Plan1";#N/A,#N/A,FALSE,"Plan2"}</definedName>
    <definedName name="jfgkflcnjkglc" localSheetId="1" hidden="1">{#N/A,#N/A,FALSE,"Plan1";#N/A,#N/A,FALSE,"Plan2"}</definedName>
    <definedName name="JFHRE" localSheetId="1" hidden="1">{#N/A,#N/A,FALSE,"Plan1";#N/A,#N/A,FALSE,"Plan2"}</definedName>
    <definedName name="jfkdls5jtirjd" localSheetId="1" hidden="1">{#N/A,#N/A,FALSE,"Plan1";#N/A,#N/A,FALSE,"Plan2"}</definedName>
    <definedName name="jfkljdkfcj" localSheetId="1" hidden="1">{#N/A,#N/A,FALSE,"Plan1";#N/A,#N/A,FALSE,"Plan2"}</definedName>
    <definedName name="jfkrhdtghdut" localSheetId="1" hidden="1">{#N/A,#N/A,FALSE,"Plan1";#N/A,#N/A,FALSE,"Plan2"}</definedName>
    <definedName name="JFRESR" localSheetId="1" hidden="1">{#N/A,#N/A,FALSE,"Plan1";#N/A,#N/A,FALSE,"Plan2"}</definedName>
    <definedName name="jgdfdgfjgdj" localSheetId="1" hidden="1">{#N/A,#N/A,FALSE,"Plan1";#N/A,#N/A,FALSE,"Plan2"}</definedName>
    <definedName name="jgdfght" localSheetId="1" hidden="1">{#N/A,#N/A,FALSE,"Plan1";#N/A,#N/A,FALSE,"Plan2"}</definedName>
    <definedName name="jgfgdsgfdhrf" localSheetId="1" hidden="1">{#N/A,#N/A,FALSE,"Plan1";#N/A,#N/A,FALSE,"Plan2"}</definedName>
    <definedName name="JGFJGTFT" localSheetId="1" hidden="1">{#N/A,#N/A,FALSE,"Plan1";#N/A,#N/A,FALSE,"Plan2"}</definedName>
    <definedName name="jgkjkhjuftgi" localSheetId="1" hidden="1">{#N/A,#N/A,FALSE,"Plan1";#N/A,#N/A,FALSE,"Plan2"}</definedName>
    <definedName name="jh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1" hidden="1">{#N/A,#N/A,FALSE,"Plan1";#N/A,#N/A,FALSE,"Plan2"}</definedName>
    <definedName name="jhdfjkhtrdhf" localSheetId="1" hidden="1">{#N/A,#N/A,FALSE,"Plan1";#N/A,#N/A,FALSE,"Plan2"}</definedName>
    <definedName name="jhdfuthr" localSheetId="1" hidden="1">{#N/A,#N/A,FALSE,"Plan1";#N/A,#N/A,FALSE,"Plan2"}</definedName>
    <definedName name="JHDFZGRDHF" localSheetId="1" hidden="1">{"Econ Consolidado",#N/A,FALSE,"Econ Consol";"Fluxo de Caixa",#N/A,FALSE,"Fluxo Caixa";"Investimentos",#N/A,FALSE,"Investimentos"}</definedName>
    <definedName name="JHERKHKFGH" localSheetId="1" hidden="1">{#N/A,#N/A,FALSE,"Plan1";#N/A,#N/A,FALSE,"Plan2"}</definedName>
    <definedName name="JHGKJFJFJGL" localSheetId="1" hidden="1">{#N/A,#N/A,FALSE,"Plan1";#N/A,#N/A,FALSE,"Plan2"}</definedName>
    <definedName name="jhsdjkhfuks" localSheetId="1" hidden="1">{#N/A,#N/A,FALSE,"Plan1";#N/A,#N/A,FALSE,"Plan2"}</definedName>
    <definedName name="jisdrkje" localSheetId="1" hidden="1">{#N/A,#N/A,FALSE,"Plan1";#N/A,#N/A,FALSE,"Plan2"}</definedName>
    <definedName name="jishfrieyhtau" localSheetId="1" hidden="1">{#N/A,#N/A,FALSE,"Plan1";#N/A,#N/A,FALSE,"Plan2"}</definedName>
    <definedName name="jiu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1" hidden="1">{"'Apr-00'!$B$4:$AD$44"}</definedName>
    <definedName name="jjfdsktyhhy" localSheetId="1" hidden="1">{#N/A,#N/A,FALSE,"Plan1";#N/A,#N/A,FALSE,"Plan2"}</definedName>
    <definedName name="jjkjkjk" localSheetId="1" hidden="1">{#N/A,#N/A,FALSE,"Plan1";#N/A,#N/A,FALSE,"Plan2"}</definedName>
    <definedName name="JKDCK" localSheetId="1" hidden="1">{#N/A,#N/A,FALSE,"Plan1";#N/A,#N/A,FALSE,"Plan2"}</definedName>
    <definedName name="JKDFHKHFR" localSheetId="1" hidden="1">{#N/A,#N/A,FALSE,"Plan1";#N/A,#N/A,FALSE,"Plan2"}</definedName>
    <definedName name="JKDFTRDRJ" localSheetId="1" hidden="1">{#N/A,#N/A,FALSE,"Plan1";#N/A,#N/A,FALSE,"Plan2"}</definedName>
    <definedName name="jkdhfukhddf" localSheetId="1" hidden="1">{#N/A,#N/A,FALSE,"Plan1";#N/A,#N/A,FALSE,"Plan2"}</definedName>
    <definedName name="JKDRKGJHTDR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1" hidden="1">{#N/A,#N/A,FALSE,"Plan1";#N/A,#N/A,FALSE,"Plan2"}</definedName>
    <definedName name="jkfhjgkfhghh" localSheetId="1" hidden="1">{#N/A,#N/A,FALSE,"Plan1";#N/A,#N/A,FALSE,"Plan2"}</definedName>
    <definedName name="jkhderjkhes" localSheetId="1" hidden="1">{#N/A,#N/A,FALSE,"Plan1";#N/A,#N/A,FALSE,"Plan2"}</definedName>
    <definedName name="jkhdfhfd" localSheetId="1" hidden="1">{#N/A,#N/A,FALSE,"Plan1";#N/A,#N/A,FALSE,"Plan2"}</definedName>
    <definedName name="jkhfhest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1" hidden="1">{#N/A,#N/A,FALSE,"Plan1";#N/A,#N/A,FALSE,"Plan2"}</definedName>
    <definedName name="JKHGDHFUHTG" localSheetId="1" hidden="1">{#N/A,#N/A,FALSE,"Plan1";#N/A,#N/A,FALSE,"Plan2"}</definedName>
    <definedName name="jkhsdzjkfyiu" localSheetId="1" hidden="1">{#N/A,#N/A,FALSE,"Plan1";#N/A,#N/A,FALSE,"Plan2"}</definedName>
    <definedName name="jkjsdkhfdhrf" localSheetId="1" hidden="1">{#N/A,#N/A,FALSE,"Plan1";#N/A,#N/A,FALSE,"Plan2"}</definedName>
    <definedName name="jklgfsjgtjtg" localSheetId="1" hidden="1">{#N/A,#N/A,FALSE,"Plan1";#N/A,#N/A,FALSE,"Plan2"}</definedName>
    <definedName name="jksldfjsdhf" localSheetId="1" hidden="1">{#N/A,#N/A,FALSE,"Plan1";#N/A,#N/A,FALSE,"Plan2"}</definedName>
    <definedName name="jkxhcjkhfr" localSheetId="1" hidden="1">{#N/A,#N/A,FALSE,"Plan1";#N/A,#N/A,FALSE,"Plan2"}</definedName>
    <definedName name="JNGCKFKJFGH" localSheetId="1" hidden="1">{#N/A,#N/A,FALSE,"Plan1";#N/A,#N/A,FALSE,"Plan2"}</definedName>
    <definedName name="JREJRW" localSheetId="1" hidden="1">{#N/A,#N/A,FALSE,"Plan1";#N/A,#N/A,FALSE,"Plan2"}</definedName>
    <definedName name="JSADKAH" localSheetId="1" hidden="1">{"Econ Consolidado",#N/A,FALSE,"Econ Consol";"Fluxo de Caixa",#N/A,FALSE,"Fluxo Caixa";"Investimentos",#N/A,FALSE,"Investimentos"}</definedName>
    <definedName name="JSDAJRE" localSheetId="1" hidden="1">{#N/A,#N/A,FALSE,"Plan1";#N/A,#N/A,FALSE,"Plan2"}</definedName>
    <definedName name="jsdffse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1" hidden="1">{#N/A,#N/A,FALSE,"Plan1";#N/A,#N/A,FALSE,"Plan2"}</definedName>
    <definedName name="jsdfsdfd" localSheetId="1" hidden="1">{#N/A,#N/A,FALSE,"Plan1";#N/A,#N/A,FALSE,"Plan2"}</definedName>
    <definedName name="jsdljficd" localSheetId="1" hidden="1">{#N/A,#N/A,FALSE,"Plan1";#N/A,#N/A,FALSE,"Plan2"}</definedName>
    <definedName name="JSDTLFJDRG" localSheetId="1" hidden="1">{#N/A,#N/A,FALSE,"Plan1";#N/A,#N/A,FALSE,"Plan2"}</definedName>
    <definedName name="jsfjsjferwea" localSheetId="1" hidden="1">{#N/A,#N/A,FALSE,"Plan1";#N/A,#N/A,FALSE,"Plan2"}</definedName>
    <definedName name="jslrjer" localSheetId="1" hidden="1">{#N/A,#N/A,FALSE,"Plan1";#N/A,#N/A,FALSE,"Plan2"}</definedName>
    <definedName name="juklhkhdf" localSheetId="1" hidden="1">{#N/A,#N/A,FALSE,"Plan1";#N/A,#N/A,FALSE,"Plan2"}</definedName>
    <definedName name="JULHO99" localSheetId="1" hidden="1">{#N/A,#N/A,TRUE,"Quinzena 01 à 15-04-98 "}</definedName>
    <definedName name="jwekljd" localSheetId="1" hidden="1">{#N/A,#N/A,FALSE,"Plan1";#N/A,#N/A,FALSE,"Plan2"}</definedName>
    <definedName name="JWEOITORU5Y" localSheetId="1" hidden="1">{#N/A,#N/A,FALSE,"Plan1";#N/A,#N/A,FALSE,"Plan2"}</definedName>
    <definedName name="jxdfjsrf" localSheetId="1" hidden="1">{#N/A,#N/A,FALSE,"Plan1";#N/A,#N/A,FALSE,"Plan2"}</definedName>
    <definedName name="jxdklfjv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1" hidden="1">{#N/A,#N/A,FALSE,"Plan1";#N/A,#N/A,FALSE,"Plan2"}</definedName>
    <definedName name="JZXFKLJLDJF" localSheetId="1" hidden="1">{#N/A,#N/A,FALSE,"Plan1";#N/A,#N/A,FALSE,"Plan2"}</definedName>
    <definedName name="jzxklfdlvgfg" localSheetId="1" hidden="1">{#N/A,#N/A,FALSE,"Plan1";#N/A,#N/A,FALSE,"Plan2"}</definedName>
    <definedName name="k" localSheetId="1">{#N/A,#N/A,FALSE,"Plan1";#N/A,#N/A,FALSE,"Plan2"}</definedName>
    <definedName name="kaedkroswr" localSheetId="1" hidden="1">{"Econ Consolidado",#N/A,FALSE,"Econ Consol";"Fluxo de Caixa",#N/A,FALSE,"Fluxo Caixa";"Investimentos",#N/A,FALSE,"Investimentos"}</definedName>
    <definedName name="kç\lKçaksdçaqew" localSheetId="1" hidden="1">{#N/A,#N/A,FALSE,"Plan1";#N/A,#N/A,FALSE,"Plan2"}</definedName>
    <definedName name="kçdasekr" localSheetId="1" hidden="1">{#N/A,#N/A,FALSE,"Plan1";#N/A,#N/A,FALSE,"Plan2"}</definedName>
    <definedName name="kçfdljtredr" localSheetId="1" hidden="1">{#N/A,#N/A,FALSE,"Plan1";#N/A,#N/A,FALSE,"Plan2"}</definedName>
    <definedName name="kclçkglf" localSheetId="1" hidden="1">{#N/A,#N/A,FALSE,"Plan1";#N/A,#N/A,FALSE,"Plan2"}</definedName>
    <definedName name="kçlkasçkere" localSheetId="1" hidden="1">{#N/A,#N/A,FALSE,"Plan1";#N/A,#N/A,FALSE,"Plan2"}</definedName>
    <definedName name="kdfbngtjkbf" localSheetId="1" hidden="1">{#N/A,#N/A,FALSE,"Plan1";#N/A,#N/A,FALSE,"Plan2"}</definedName>
    <definedName name="kdfhkghkrh" localSheetId="1" hidden="1">{#N/A,#N/A,FALSE,"Plan1";#N/A,#N/A,FALSE,"Plan2"}</definedName>
    <definedName name="kdfier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1" hidden="1">{#N/A,#N/A,FALSE,"Plan1";#N/A,#N/A,FALSE,"Plan2"}</definedName>
    <definedName name="kdfljlfr" localSheetId="1" hidden="1">{#N/A,#N/A,FALSE,"Plan1";#N/A,#N/A,FALSE,"Plan2"}</definedName>
    <definedName name="kdhfgkdfhytgu" localSheetId="1" hidden="1">{#N/A,#N/A,FALSE,"Plan1";#N/A,#N/A,FALSE,"Plan2"}</definedName>
    <definedName name="kdhgftfg" localSheetId="1" hidden="1">{#N/A,#N/A,FALSE,"Plan1";#N/A,#N/A,FALSE,"Plan2"}</definedName>
    <definedName name="KDHKFGKKHGF" localSheetId="1" hidden="1">{#N/A,#N/A,FALSE,"Plan1";#N/A,#N/A,FALSE,"Plan2"}</definedName>
    <definedName name="kdjgkfjgd" localSheetId="1" hidden="1">{#N/A,#N/A,FALSE,"Plan1";#N/A,#N/A,FALSE,"Plan2"}</definedName>
    <definedName name="kdjglkdlgjd" localSheetId="1" hidden="1">{#N/A,#N/A,FALSE,"Plan1";#N/A,#N/A,FALSE,"Plan2"}</definedName>
    <definedName name="kdjsfkldjgkty" localSheetId="1" hidden="1">{#N/A,#N/A,FALSE,"Plan1";#N/A,#N/A,FALSE,"Plan2"}</definedName>
    <definedName name="KDJU" localSheetId="1" hidden="1">{"'장비'!$A$3:$M$12"}</definedName>
    <definedName name="kdkjhgdkfhjk" localSheetId="1" hidden="1">{#N/A,#N/A,FALSE,"Plan1";#N/A,#N/A,FALSE,"Plan2"}</definedName>
    <definedName name="kdsf" localSheetId="1" hidden="1">{#N/A,#N/A,FALSE,"Plan1";#N/A,#N/A,FALSE,"Plan2"}</definedName>
    <definedName name="kdsr" localSheetId="1" hidden="1">{#N/A,#N/A,FALSE,"Plan1";#N/A,#N/A,FALSE,"Plan2"}</definedName>
    <definedName name="kergtfdstr" localSheetId="1" hidden="1">{#N/A,#N/A,FALSE,"Plan1";#N/A,#N/A,FALSE,"Plan2"}</definedName>
    <definedName name="KFDKTHGT" localSheetId="1" hidden="1">{#N/A,#N/A,FALSE,"Plan1";#N/A,#N/A,FALSE,"Plan2"}</definedName>
    <definedName name="kfdxlfdzs" localSheetId="1" hidden="1">{"Econ Consolidado",#N/A,FALSE,"Econ Consol";"Fluxo de Caixa",#N/A,FALSE,"Fluxo Caixa";"Investimentos",#N/A,FALSE,"Investimentos"}</definedName>
    <definedName name="kfgkhjkjhy" localSheetId="1" hidden="1">{#N/A,#N/A,FALSE,"Plan1";#N/A,#N/A,FALSE,"Plan2"}</definedName>
    <definedName name="KFJFDSDF" localSheetId="1" hidden="1">{#N/A,#N/A,FALSE,"Plan1";#N/A,#N/A,FALSE,"Plan2"}</definedName>
    <definedName name="kfnkeasd" localSheetId="1" hidden="1">{#N/A,#N/A,FALSE,"Plan1";#N/A,#N/A,FALSE,"Plan2"}</definedName>
    <definedName name="khdjkfkjhtg" localSheetId="1" hidden="1">{#N/A,#N/A,FALSE,"Plan1";#N/A,#N/A,FALSE,"Plan2"}</definedName>
    <definedName name="khdkfjhhfsdg" localSheetId="1" hidden="1">{#N/A,#N/A,FALSE,"Plan1";#N/A,#N/A,FALSE,"Plan2"}</definedName>
    <definedName name="khdkjfhgudytu" localSheetId="1" hidden="1">{#N/A,#N/A,FALSE,"Plan1";#N/A,#N/A,FALSE,"Plan2"}</definedName>
    <definedName name="khfdghhhgd" localSheetId="1" hidden="1">{#N/A,#N/A,FALSE,"Plan1";#N/A,#N/A,FALSE,"Plan2"}</definedName>
    <definedName name="khfdkjhsdjf" localSheetId="1" hidden="1">{#N/A,#N/A,FALSE,"Plan1";#N/A,#N/A,FALSE,"Plan2"}</definedName>
    <definedName name="khgdkftfy" localSheetId="1" hidden="1">{#N/A,#N/A,FALSE,"Plan1";#N/A,#N/A,FALSE,"Plan2"}</definedName>
    <definedName name="khgfhhtuhf" localSheetId="1" hidden="1">{#N/A,#N/A,FALSE,"Plan1";#N/A,#N/A,FALSE,"Plan2"}</definedName>
    <definedName name="khjkh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1" hidden="1">{#N/A,#N/A,FALSE,"Plan1";#N/A,#N/A,FALSE,"Plan2"}</definedName>
    <definedName name="kieret" localSheetId="1" hidden="1">{#N/A,#N/A,FALSE,"Plan1";#N/A,#N/A,FALSE,"Plan2"}</definedName>
    <definedName name="kjchkfhsezk" localSheetId="1" hidden="1">{#N/A,#N/A,FALSE,"Plan1";#N/A,#N/A,FALSE,"Plan2"}</definedName>
    <definedName name="kjdghksef" localSheetId="1" hidden="1">{#N/A,#N/A,FALSE,"Plan1";#N/A,#N/A,FALSE,"Plan2"}</definedName>
    <definedName name="kjdkftyhtert" localSheetId="1" hidden="1">{#N/A,#N/A,FALSE,"Plan1";#N/A,#N/A,FALSE,"Plan2"}</definedName>
    <definedName name="kjdlfkjds" localSheetId="1" hidden="1">{#N/A,#N/A,FALSE,"Plan1";#N/A,#N/A,FALSE,"Plan2"}</definedName>
    <definedName name="kjdzhfytrfy" localSheetId="1" hidden="1">{#N/A,#N/A,FALSE,"Plan1";#N/A,#N/A,FALSE,"Plan2"}</definedName>
    <definedName name="kjhdfgjthdft" localSheetId="1" hidden="1">{#N/A,#N/A,FALSE,"Plan1";#N/A,#N/A,FALSE,"Plan2"}</definedName>
    <definedName name="kjhsdfk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1" hidden="1">{#N/A,#N/A,FALSE,"Plan1";#N/A,#N/A,FALSE,"Plan2"}</definedName>
    <definedName name="KJ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1" hidden="1">{#N/A,#N/A,FALSE,"Plan1";#N/A,#N/A,FALSE,"Plan2"}</definedName>
    <definedName name="kjl" localSheetId="1" hidden="1">{#N/A,#N/A,FALSE,"ENG'G(보호계전기)"}</definedName>
    <definedName name="KJOI" localSheetId="1" hidden="1">{#N/A,#N/A,FALSE,"Plan1";#N/A,#N/A,FALSE,"Plan2"}</definedName>
    <definedName name="kjqwerw" localSheetId="1" hidden="1">{#N/A,#N/A,FALSE,"Plan1";#N/A,#N/A,FALSE,"Plan2"}</definedName>
    <definedName name="kjsfert" localSheetId="1" hidden="1">{#N/A,#N/A,FALSE,"Plan1";#N/A,#N/A,FALSE,"Plan2"}</definedName>
    <definedName name="KJXCFKR" localSheetId="1" hidden="1">{#N/A,#N/A,FALSE,"Plan1";#N/A,#N/A,FALSE,"Plan2"}</definedName>
    <definedName name="KJXDFD" localSheetId="1" hidden="1">{#N/A,#N/A,FALSE,"Plan1";#N/A,#N/A,FALSE,"Plan2"}</definedName>
    <definedName name="kk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1" hidden="1">{#N/A,#N/A,FALSE,"Plan1";#N/A,#N/A,FALSE,"Plan2"}</definedName>
    <definedName name="kkkkk" localSheetId="1" hidden="1">{#N/A,#N/A,FALSE,"Plan1";#N/A,#N/A,FALSE,"Plan2"}</definedName>
    <definedName name="kkkkkk" localSheetId="1" hidden="1">{#N/A,#N/A,FALSE,"Plan1";#N/A,#N/A,FALSE,"Plan2"}</definedName>
    <definedName name="kko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1" hidden="1">{#N/A,#N/A,FALSE,"Plan1";#N/A,#N/A,FALSE,"Plan2"}</definedName>
    <definedName name="kksarde" localSheetId="1" hidden="1">{#N/A,#N/A,FALSE,"Plan1";#N/A,#N/A,FALSE,"Plan2"}</definedName>
    <definedName name="klaskldjsw" localSheetId="1" hidden="1">{#N/A,#N/A,FALSE,"Plan1";#N/A,#N/A,FALSE,"Plan2"}</definedName>
    <definedName name="klçkop" localSheetId="1" hidden="1">{#N/A,#N/A,FALSE,"Plan1";#N/A,#N/A,FALSE,"Plan2"}</definedName>
    <definedName name="KLDFNTRDT" localSheetId="1" hidden="1">{#N/A,#N/A,FALSE,"Plan1";#N/A,#N/A,FALSE,"Plan2"}</definedName>
    <definedName name="klhjsdklhdf" localSheetId="1" hidden="1">{#N/A,#N/A,FALSE,"Plan1";#N/A,#N/A,FALSE,"Plan2"}</definedName>
    <definedName name="KLHSKLRHWE" localSheetId="1" hidden="1">{#N/A,#N/A,FALSE,"Plan1";#N/A,#N/A,FALSE,"Plan2"}</definedName>
    <definedName name="KLJASKJD" localSheetId="1" hidden="1">{#N/A,#N/A,FALSE,"Plan1";#N/A,#N/A,FALSE,"Plan2"}</definedName>
    <definedName name="KLJDXLG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1" hidden="1">{#N/A,#N/A,FALSE,"Plan1";#N/A,#N/A,FALSE,"Plan2"}</definedName>
    <definedName name="kljflgjrf" localSheetId="1" hidden="1">{#N/A,#N/A,FALSE,"Plan1";#N/A,#N/A,FALSE,"Plan2"}</definedName>
    <definedName name="kljgfdfr" localSheetId="1" hidden="1">{#N/A,#N/A,FALSE,"Plan1";#N/A,#N/A,FALSE,"Plan2"}</definedName>
    <definedName name="kljgfjrt" localSheetId="1" hidden="1">{#N/A,#N/A,FALSE,"Plan1";#N/A,#N/A,FALSE,"Plan2"}</definedName>
    <definedName name="kljlkdfj" localSheetId="1" hidden="1">{#N/A,#N/A,FALSE,"Plan1";#N/A,#N/A,FALSE,"Plan2"}</definedName>
    <definedName name="kljsakjfr" localSheetId="1" hidden="1">{#N/A,#N/A,FALSE,"Plan1";#N/A,#N/A,FALSE,"Plan2"}</definedName>
    <definedName name="kljsdje" localSheetId="1" hidden="1">{#N/A,#N/A,FALSE,"Plan1";#N/A,#N/A,FALSE,"Plan2"}</definedName>
    <definedName name="kljsfwe" localSheetId="1" hidden="1">{#N/A,#N/A,FALSE,"Plan1";#N/A,#N/A,FALSE,"Plan2"}</definedName>
    <definedName name="klk" localSheetId="1" hidden="1">{#N/A,#N/A,FALSE,"Plan1";#N/A,#N/A,FALSE,"Plan2"}</definedName>
    <definedName name="KLKKLKÇJÇ" localSheetId="1" hidden="1">{#N/A,#N/A,FALSE,"Plan1";#N/A,#N/A,FALSE,"Plan2"}</definedName>
    <definedName name="KLSDFT" localSheetId="1" hidden="1">{#N/A,#N/A,FALSE,"Plan1";#N/A,#N/A,FALSE,"Plan2"}</definedName>
    <definedName name="KLSDHSJKHF" localSheetId="1" hidden="1">{#N/A,#N/A,FALSE,"Plan1";#N/A,#N/A,FALSE,"Plan2"}</definedName>
    <definedName name="klsdkre" localSheetId="1" hidden="1">{#N/A,#N/A,FALSE,"Plan1";#N/A,#N/A,FALSE,"Plan2"}</definedName>
    <definedName name="KLSIDJE" localSheetId="1" hidden="1">{#N/A,#N/A,FALSE,"Plan1";#N/A,#N/A,FALSE,"Plan2"}</definedName>
    <definedName name="klsjarsf" localSheetId="1" hidden="1">{#N/A,#N/A,FALSE,"Plan1";#N/A,#N/A,FALSE,"Plan2"}</definedName>
    <definedName name="klxhjfdkhser" localSheetId="1" hidden="1">{#N/A,#N/A,FALSE,"Plan1";#N/A,#N/A,FALSE,"Plan2"}</definedName>
    <definedName name="kopipnsdfne" localSheetId="1" hidden="1">{#N/A,#N/A,FALSE,"Plan1";#N/A,#N/A,FALSE,"Plan2"}</definedName>
    <definedName name="kp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1" hidden="1">{#N/A,#N/A,FALSE,"Plan1";#N/A,#N/A,FALSE,"Plan2"}</definedName>
    <definedName name="ksdlkfsçzd" localSheetId="1" hidden="1">{#N/A,#N/A,FALSE,"Plan1";#N/A,#N/A,FALSE,"Plan2"}</definedName>
    <definedName name="ksdoçierfe" localSheetId="1" hidden="1">{#N/A,#N/A,FALSE,"Plan1";#N/A,#N/A,FALSE,"Plan2"}</definedName>
    <definedName name="ksdtrdrkf" localSheetId="1" hidden="1">{#N/A,#N/A,FALSE,"Plan1";#N/A,#N/A,FALSE,"Plan2"}</definedName>
    <definedName name="KSFÇJDFJL" localSheetId="1" hidden="1">{#N/A,#N/A,FALSE,"Plan1";#N/A,#N/A,FALSE,"Plan2"}</definedName>
    <definedName name="ksfhse" localSheetId="1" hidden="1">{#N/A,#N/A,FALSE,"Plan1";#N/A,#N/A,FALSE,"Plan2"}</definedName>
    <definedName name="KSRKOE" localSheetId="1" hidden="1">{#N/A,#N/A,FALSE,"Plan1";#N/A,#N/A,FALSE,"Plan2"}</definedName>
    <definedName name="KSWKE" localSheetId="1" hidden="1">{#N/A,#N/A,FALSE,"Plan1";#N/A,#N/A,FALSE,"Plan2"}</definedName>
    <definedName name="kysdusf" localSheetId="1" hidden="1">{#N/A,#N/A,FALSE,"Plan1";#N/A,#N/A,FALSE,"Plan2"}</definedName>
    <definedName name="kzslçdkçle" localSheetId="1" hidden="1">{#N/A,#N/A,FALSE,"Plan1";#N/A,#N/A,FALSE,"Plan2"}</definedName>
    <definedName name="LAEKWRK" localSheetId="1" hidden="1">{#N/A,#N/A,FALSE,"Plan1";#N/A,#N/A,FALSE,"Plan2"}</definedName>
    <definedName name="LAKDEWRF" localSheetId="1" hidden="1">{#N/A,#N/A,FALSE,"Plan1";#N/A,#N/A,FALSE,"Plan2"}</definedName>
    <definedName name="LASÇDSRLF" localSheetId="1" hidden="1">{#N/A,#N/A,FALSE,"Plan1";#N/A,#N/A,FALSE,"Plan2"}</definedName>
    <definedName name="lasrlswer" localSheetId="1" hidden="1">{#N/A,#N/A,FALSE,"Plan1";#N/A,#N/A,FALSE,"Plan2"}</definedName>
    <definedName name="lçadple4r" localSheetId="1" hidden="1">{#N/A,#N/A,FALSE,"Plan1";#N/A,#N/A,FALSE,"Plan2"}</definedName>
    <definedName name="lçasser" localSheetId="1" hidden="1">{#N/A,#N/A,FALSE,"Plan1";#N/A,#N/A,FALSE,"Plan2"}</definedName>
    <definedName name="lcdgjtklfrn" localSheetId="1" hidden="1">{#N/A,#N/A,FALSE,"Plan1";#N/A,#N/A,FALSE,"Plan2"}</definedName>
    <definedName name="lçfklsdkçaer" localSheetId="1" hidden="1">{#N/A,#N/A,FALSE,"Plan1";#N/A,#N/A,FALSE,"Plan2"}</definedName>
    <definedName name="lçjkgf" localSheetId="1" hidden="1">{#N/A,#N/A,FALSE,"Plan1";#N/A,#N/A,FALSE,"Plan2"}</definedName>
    <definedName name="LÇJSLDFJ" localSheetId="1" hidden="1">{#N/A,#N/A,FALSE,"Plan1";#N/A,#N/A,FALSE,"Plan2"}</definedName>
    <definedName name="LÇKÇSDRLK" localSheetId="1" hidden="1">{#N/A,#N/A,FALSE,"Plan1";#N/A,#N/A,FALSE,"Plan2"}</definedName>
    <definedName name="lçkl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1" hidden="1">{#N/A,#N/A,FALSE,"Plan1";#N/A,#N/A,FALSE,"Plan2"}</definedName>
    <definedName name="lçslrr4r" localSheetId="1" hidden="1">{#N/A,#N/A,FALSE,"Plan1";#N/A,#N/A,FALSE,"Plan2"}</definedName>
    <definedName name="ldfjgry" localSheetId="1" hidden="1">{#N/A,#N/A,FALSE,"Plan1";#N/A,#N/A,FALSE,"Plan2"}</definedName>
    <definedName name="ldfjgtilrf" localSheetId="1" hidden="1">{#N/A,#N/A,FALSE,"Plan1";#N/A,#N/A,FALSE,"Plan2"}</definedName>
    <definedName name="ldk" localSheetId="1" hidden="1">{#N/A,#N/A,FALSE,"Plan1";#N/A,#N/A,FALSE,"Plan2"}</definedName>
    <definedName name="ldkgkdfjgkh" localSheetId="1" hidden="1">{#N/A,#N/A,FALSE,"Plan1";#N/A,#N/A,FALSE,"Plan2"}</definedName>
    <definedName name="LDTJGR" localSheetId="1" hidden="1">{#N/A,#N/A,FALSE,"Plan1";#N/A,#N/A,FALSE,"Plan2"}</definedName>
    <definedName name="LEKG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1" hidden="1">{#N/A,#N/A,FALSE,"Plan1";#N/A,#N/A,FALSE,"Plan2"}</definedName>
    <definedName name="lidfjgklruf" localSheetId="1" hidden="1">{#N/A,#N/A,FALSE,"Plan1";#N/A,#N/A,FALSE,"Plan2"}</definedName>
    <definedName name="list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1" hidden="1">{#N/A,#N/A,FALSE,"Plan1";#N/A,#N/A,FALSE,"Plan2"}</definedName>
    <definedName name="LJDFLJRL" localSheetId="1" hidden="1">{#N/A,#N/A,FALSE,"Plan1";#N/A,#N/A,FALSE,"Plan2"}</definedName>
    <definedName name="ljsdfrd" localSheetId="1" hidden="1">{#N/A,#N/A,FALSE,"Plan1";#N/A,#N/A,FALSE,"Plan2"}</definedName>
    <definedName name="LK" localSheetId="1" hidden="1">{#N/A,#N/A,TRUE,"Quinzena 01 à 15-04-98 "}</definedName>
    <definedName name="lkasdkeo" localSheetId="1" hidden="1">{#N/A,#N/A,FALSE,"Plan1";#N/A,#N/A,FALSE,"Plan2"}</definedName>
    <definedName name="lkdeas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1" hidden="1">{#N/A,#N/A,FALSE,"Plan1";#N/A,#N/A,FALSE,"Plan2"}</definedName>
    <definedName name="lkfdkçtktr" localSheetId="1" hidden="1">{#N/A,#N/A,FALSE,"Plan1";#N/A,#N/A,FALSE,"Plan2"}</definedName>
    <definedName name="LKSSDKÇ\E" localSheetId="1" hidden="1">{#N/A,#N/A,FALSE,"Plan1";#N/A,#N/A,FALSE,"Plan2"}</definedName>
    <definedName name="lkt" localSheetId="1" hidden="1">{#N/A,#N/A,FALSE,"Plan1";#N/A,#N/A,FALSE,"Plan2"}</definedName>
    <definedName name="lktlyklt" localSheetId="1" hidden="1">{#N/A,#N/A,FALSE,"Plan1";#N/A,#N/A,FALSE,"Plan2"}</definedName>
    <definedName name="LKTTYT" localSheetId="1" hidden="1">{#N/A,#N/A,FALSE,"Plan1";#N/A,#N/A,FALSE,"Plan2"}</definedName>
    <definedName name="llgg" localSheetId="1" hidden="1">{#N/A,#N/A,FALSE,"Plan1";#N/A,#N/A,FALSE,"Plan2"}</definedName>
    <definedName name="LLL" localSheetId="1" hidden="1">{#N/A,#N/A,FALSE,"Plan1";#N/A,#N/A,FALSE,"Plan2"}</definedName>
    <definedName name="LM_AR" localSheetId="1" hidden="1">{#N/A,#N/A,FALSE,"F-01"}</definedName>
    <definedName name="LM_AT" localSheetId="1" hidden="1">{#N/A,#N/A,FALSE,"F-01"}</definedName>
    <definedName name="LM_INC" localSheetId="1" hidden="1">{#N/A,#N/A,FALSE,"F-01"}</definedName>
    <definedName name="LMPAS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" localSheetId="1">#REF!</definedName>
    <definedName name="LSDFKLDKFTR" localSheetId="1" hidden="1">{#N/A,#N/A,FALSE,"Plan1";#N/A,#N/A,FALSE,"Plan2"}</definedName>
    <definedName name="lsdjs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1" hidden="1">{#N/A,#N/A,FALSE,"Plan1";#N/A,#N/A,FALSE,"Plan2"}</definedName>
    <definedName name="lsdsder" localSheetId="1" hidden="1">{#N/A,#N/A,FALSE,"Plan1";#N/A,#N/A,FALSE,"Plan2"}</definedName>
    <definedName name="ltj6ljyhdjhngças" localSheetId="1" hidden="1">{#N/A,#N/A,FALSE,"Plan1";#N/A,#N/A,FALSE,"Plan2"}</definedName>
    <definedName name="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1" hidden="1">{#N/A,#N/A,FALSE,"Plan1";#N/A,#N/A,FALSE,"Plan2"}</definedName>
    <definedName name="MANTO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1" hidden="1">{#N/A,#N/A,FALSE,"Plan1";#N/A,#N/A,FALSE,"Plan2"}</definedName>
    <definedName name="MC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1" hidden="1">{#N/A,#N/A,FALSE,"Plan1";#N/A,#N/A,FALSE,"Plan2"}</definedName>
    <definedName name="MDSÇLFJKJSD" localSheetId="1" hidden="1">{#N/A,#N/A,FALSE,"Plan1";#N/A,#N/A,FALSE,"Plan2"}</definedName>
    <definedName name="ME" localSheetId="1" hidden="1">{"HW",#N/A,FALSE,"1998"}</definedName>
    <definedName name="MESTRE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1" hidden="1">{#N/A,#N/A,FALSE,"Plan1";#N/A,#N/A,FALSE,"Plan2"}</definedName>
    <definedName name="MM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1" hidden="1">{"tabela",#N/A,FALSE,"Tabela";"decoração",#N/A,FALSE,"Decor.";"Informações",#N/A,FALSE,"Inform."}</definedName>
    <definedName name="mmmmmmm" localSheetId="1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MNBXFKGS" localSheetId="1" hidden="1">{#N/A,#N/A,FALSE,"Plan1";#N/A,#N/A,FALSE,"Plan2"}</definedName>
    <definedName name="mncvbgcvmc" localSheetId="1" hidden="1">{#N/A,#N/A,FALSE,"Plan1";#N/A,#N/A,FALSE,"Plan2"}</definedName>
    <definedName name="MNDKZSFNCEA" localSheetId="1" hidden="1">{#N/A,#N/A,FALSE,"Plan1";#N/A,#N/A,FALSE,"Plan2"}</definedName>
    <definedName name="mnhdshfgfhd" localSheetId="1" hidden="1">{#N/A,#N/A,FALSE,"Plan1";#N/A,#N/A,FALSE,"Plan2"}</definedName>
    <definedName name="mobra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1" hidden="1">{#N/A,#N/A,FALSE,"cdi";#N/A,#N/A,FALSE,"debent";#N/A,#N/A,FALSE,"fdos";#N/A,#N/A,FALSE,"resumo"}</definedName>
    <definedName name="Modelo1a" localSheetId="1" hidden="1">{#N/A,#N/A,FALSE,"cdi";#N/A,#N/A,FALSE,"debent";#N/A,#N/A,FALSE,"fdos";#N/A,#N/A,FALSE,"resumo"}</definedName>
    <definedName name="Modelo2" localSheetId="1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1" hidden="1">{#N/A,#N/A,FALSE,"CCTV"}</definedName>
    <definedName name="MSDRFSWER" localSheetId="1" hidden="1">{"Econ Consolidado",#N/A,FALSE,"Econ Consol";"Fluxo de Caixa",#N/A,FALSE,"Fluxo Caixa";"Investimentos",#N/A,FALSE,"Investimentos"}</definedName>
    <definedName name="mzshdjshjs" localSheetId="1" hidden="1">{#N/A,#N/A,FALSE,"Plan1";#N/A,#N/A,FALSE,"Plan2"}</definedName>
    <definedName name="na" localSheetId="1" hidden="1">{#N/A,#N/A,FALSE,"$170M Cash";#N/A,#N/A,FALSE,"$250M Cash";#N/A,#N/A,FALSE,"$325M Cash"}</definedName>
    <definedName name="ncdgrdhrtg" localSheetId="1" hidden="1">{#N/A,#N/A,FALSE,"Plan1";#N/A,#N/A,FALSE,"Plan2"}</definedName>
    <definedName name="nchngdfhgdh" localSheetId="1" hidden="1">{#N/A,#N/A,FALSE,"Plan1";#N/A,#N/A,FALSE,"Plan2"}</definedName>
    <definedName name="NCJFKNGJHF" localSheetId="1" hidden="1">{#N/A,#N/A,FALSE,"Plan1";#N/A,#N/A,FALSE,"Plan2"}</definedName>
    <definedName name="ndcxhgdhf" localSheetId="1" hidden="1">{#N/A,#N/A,FALSE,"Plan1";#N/A,#N/A,FALSE,"Plan2"}</definedName>
    <definedName name="ndfjnjkrhdgt" localSheetId="1" hidden="1">{#N/A,#N/A,FALSE,"Plan1";#N/A,#N/A,FALSE,"Plan2"}</definedName>
    <definedName name="ndfkghkjthfyst" localSheetId="1" hidden="1">{#N/A,#N/A,FALSE,"Plan1";#N/A,#N/A,FALSE,"Plan2"}</definedName>
    <definedName name="NDJGKFKGHUFG" localSheetId="1" hidden="1">{#N/A,#N/A,FALSE,"Plan1";#N/A,#N/A,FALSE,"Plan2"}</definedName>
    <definedName name="ndrjkt" localSheetId="1" hidden="1">{#N/A,#N/A,FALSE,"Plan1";#N/A,#N/A,FALSE,"Plan2"}</definedName>
    <definedName name="new" localSheetId="1" hidden="1">{#N/A,#N/A,FALSE,"Global by BU";#N/A,#N/A,FALSE,"U.S. by BU";#N/A,#N/A,FALSE,"Canada by BU";#N/A,#N/A,FALSE,"Europe by BU";#N/A,#N/A,FALSE,"Asia by BU";#N/A,#N/A,FALSE,"Cala by BU"}</definedName>
    <definedName name="NEWNAME" localSheetId="1" hidden="1">{#N/A,#N/A,FALSE,"CCTV"}</definedName>
    <definedName name="nfgjkhvhfghn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1" hidden="1">{#N/A,#N/A,FALSE,"Plan1";#N/A,#N/A,FALSE,"Plan2"}</definedName>
    <definedName name="nh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1" hidden="1">{#N/A,#N/A,FALSE,"Plan1";#N/A,#N/A,FALSE,"Plan2"}</definedName>
    <definedName name="NJSDFHERTG" localSheetId="1" hidden="1">{#N/A,#N/A,FALSE,"Plan1";#N/A,#N/A,FALSE,"Plan2"}</definedName>
    <definedName name="nkfnsskdn" localSheetId="1" hidden="1">{#N/A,#N/A,FALSE,"Plan1";#N/A,#N/A,FALSE,"Plan2"}</definedName>
    <definedName name="NKJL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1" hidden="1">{#N/A,#N/A,FALSE,"Plan1";#N/A,#N/A,FALSE,"Plan2"}</definedName>
    <definedName name="nljsdfljfdsfr" localSheetId="1" hidden="1">{#N/A,#N/A,FALSE,"Plan1";#N/A,#N/A,FALSE,"Plan2"}</definedName>
    <definedName name="nmjdfhxj" localSheetId="1" hidden="1">{#N/A,#N/A,FALSE,"Plan1";#N/A,#N/A,FALSE,"Plan2"}</definedName>
    <definedName name="nnmn" localSheetId="1" hidden="1">{#N/A,#N/A,FALSE,"Plan1";#N/A,#N/A,FALSE,"Plan2"}</definedName>
    <definedName name="nnn" localSheetId="1" hidden="1">{#N/A,#N/A,FALSE,"$170M Cash";#N/A,#N/A,FALSE,"$250M Cash";#N/A,#N/A,FALSE,"$325M Cash"}</definedName>
    <definedName name="nnnnnnnnnnn" localSheetId="1" hidden="1">{"HW",#N/A,FALSE,"1998"}</definedName>
    <definedName name="NNNNNNNNNNNNNNN" localSheetId="1" hidden="1">{#N/A,#N/A,FALSE,"Plan1";#N/A,#N/A,FALSE,"Plan2"}</definedName>
    <definedName name="nnnnnnnnnnnnnnnnnnnn" localSheetId="1" hidden="1">{#N/A,#N/A,FALSE,"Plan1";#N/A,#N/A,FALSE,"Plan2"}</definedName>
    <definedName name="NNXFT" localSheetId="1" hidden="1">{#N/A,#N/A,FALSE,"Plan1";#N/A,#N/A,FALSE,"Plan2"}</definedName>
    <definedName name="nsdkfndgfdnatf" localSheetId="1" hidden="1">{#N/A,#N/A,FALSE,"Plan1";#N/A,#N/A,FALSE,"Plan2"}</definedName>
    <definedName name="nsfljdiljrf" localSheetId="1" hidden="1">{#N/A,#N/A,FALSE,"Plan1";#N/A,#N/A,FALSE,"Plan2"}</definedName>
    <definedName name="nzxcnnjkd" localSheetId="1" hidden="1">{#N/A,#N/A,FALSE,"Plan1";#N/A,#N/A,FALSE,"Plan2"}</definedName>
    <definedName name="odfuudor" localSheetId="1" hidden="1">{#N/A,#N/A,FALSE,"Plan1";#N/A,#N/A,FALSE,"Plan2"}</definedName>
    <definedName name="oiditrot" localSheetId="1" hidden="1">{#N/A,#N/A,FALSE,"Plan1";#N/A,#N/A,FALSE,"Plan2"}</definedName>
    <definedName name="oio" localSheetId="1" hidden="1">{#N/A,#N/A,FALSE,"Plan1";#N/A,#N/A,FALSE,"Plan2"}</definedName>
    <definedName name="OJÇLJ" localSheetId="1" hidden="1">{#N/A,#N/A,FALSE,"Plan1";#N/A,#N/A,FALSE,"Plan2"}</definedName>
    <definedName name="ojkdfit" localSheetId="1" hidden="1">{#N/A,#N/A,FALSE,"Plan1";#N/A,#N/A,FALSE,"Plan2"}</definedName>
    <definedName name="ooo" localSheetId="1" hidden="1">{#N/A,#N/A,FALSE,"Plan1";#N/A,#N/A,FALSE,"Plan2"}</definedName>
    <definedName name="OPASEDWED" localSheetId="1" hidden="1">{"Econ Consolidado",#N/A,FALSE,"Econ Consol";"Fluxo de Caixa",#N/A,FALSE,"Fluxo Caixa";"Investimentos",#N/A,FALSE,"Investimentos"}</definedName>
    <definedName name="opiwre" localSheetId="1" hidden="1">{#N/A,#N/A,FALSE,"Plan1";#N/A,#N/A,FALSE,"Plan2"}</definedName>
    <definedName name="os" localSheetId="1" hidden="1">{#N/A,#N/A,FALSE,"TABLE"}</definedName>
    <definedName name="otodgkrjglsrd" localSheetId="1" hidden="1">{#N/A,#N/A,FALSE,"Plan1";#N/A,#N/A,FALSE,"Plan2"}</definedName>
    <definedName name="OUERWRSR" localSheetId="1" hidden="1">{#N/A,#N/A,FALSE,"Plan1";#N/A,#N/A,FALSE,"Plan2"}</definedName>
    <definedName name="overhaul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1">ROW()-Linha_Cabeçalho</definedName>
    <definedName name="Pendencias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intura" localSheetId="1">#REF!</definedName>
    <definedName name="PLACAS" localSheetId="1" hidden="1">{#N/A,#N/A,TRUE,"Quinzena 01 à 15-04-98 "}</definedName>
    <definedName name="Placas_Areas" localSheetId="1" hidden="1">{#N/A,#N/A,TRUE,"Quinzena 01 à 15-04-98 "}</definedName>
    <definedName name="plan2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1" hidden="1">{#N/A,#N/A,FALSE,"Plan1";#N/A,#N/A,FALSE,"Plan2"}</definedName>
    <definedName name="plaslrswe" localSheetId="1" hidden="1">{#N/A,#N/A,FALSE,"Plan1";#N/A,#N/A,FALSE,"Plan2"}</definedName>
    <definedName name="plsearpef" localSheetId="1" hidden="1">{#N/A,#N/A,FALSE,"Plan1";#N/A,#N/A,FALSE,"Plan2"}</definedName>
    <definedName name="plss" localSheetId="1" hidden="1">{#N/A,#N/A,FALSE,"Plan1";#N/A,#N/A,FALSE,"Plan2"}</definedName>
    <definedName name="PN2건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eço" localSheetId="1">ROW()-Linha_Cabeçalho</definedName>
    <definedName name="print" localSheetId="1" hidden="1">{#N/A,#N/A,FALSE,"$170M Cash";#N/A,#N/A,FALSE,"$250M Cash";#N/A,#N/A,FALSE,"$325M Cash"}</definedName>
    <definedName name="ptirigyiotut" localSheetId="1" hidden="1">{#N/A,#N/A,FALSE,"Plan1";#N/A,#N/A,FALSE,"Plan2"}</definedName>
    <definedName name="PWER3" localSheetId="1" hidden="1">{#N/A,#N/A,FALSE,"Plan1";#N/A,#N/A,FALSE,"Plan2"}</definedName>
    <definedName name="qkqh1" localSheetId="1" hidden="1">{#N/A,#N/A,FALSE,"명세표"}</definedName>
    <definedName name="QQ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1" hidden="1">{#N/A,#N/A,FALSE,"Plan1";#N/A,#N/A,FALSE,"Plan2"}</definedName>
    <definedName name="qwdqw" localSheetId="1" hidden="1">{#N/A,#N/A,FALSE,"Plan1";#N/A,#N/A,FALSE,"Plan2"}</definedName>
    <definedName name="qweqwe" localSheetId="1" hidden="1">{#N/A,#N/A,FALSE,"Plan1";#N/A,#N/A,FALSE,"Plan2"}</definedName>
    <definedName name="qweqwe4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1" hidden="1">{"HW",#N/A,FALSE,"1998"}</definedName>
    <definedName name="RE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sum" localSheetId="1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1" hidden="1">{#N/A,#N/A,TRUE,"Quinzena 01 à 15-04-98 "}</definedName>
    <definedName name="RF" localSheetId="1" hidden="1">{#N/A,#N/A,FALSE,"CCTV"}</definedName>
    <definedName name="rgedrfrgfdg" localSheetId="1" hidden="1">{#N/A,#N/A,FALSE,"Plan1";#N/A,#N/A,FALSE,"Plan2"}</definedName>
    <definedName name="rhdrmq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1" hidden="1">{"'장비'!$A$3:$M$12"}</definedName>
    <definedName name="rrrrrrrr" localSheetId="1" hidden="1">{"'장비'!$A$3:$M$12"}</definedName>
    <definedName name="rrrrrrrrrrr" localSheetId="1" hidden="1">{#N/A,#N/A,TRUE,"Quinzena 01 à 15-04-98 "}</definedName>
    <definedName name="RTYE" localSheetId="1" hidden="1">{"'장비'!$A$3:$M$12"}</definedName>
    <definedName name="sa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1" hidden="1">{#N/A,#N/A,FALSE,"Plan1";#N/A,#N/A,FALSE,"Plan2"}</definedName>
    <definedName name="sadke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1" hidden="1">{#N/A,#N/A,FALSE,"Plan1";#N/A,#N/A,FALSE,"Plan2"}</definedName>
    <definedName name="SADSRTR" localSheetId="1" hidden="1">{#N/A,#N/A,FALSE,"Plan1";#N/A,#N/A,FALSE,"Plan2"}</definedName>
    <definedName name="sadwde" localSheetId="1" hidden="1">{#N/A,#N/A,FALSE,"Plan1";#N/A,#N/A,FALSE,"Plan2"}</definedName>
    <definedName name="sanjay" localSheetId="1" hidden="1">{#N/A,#N/A,FALSE,"TABLE"}</definedName>
    <definedName name="SAS" localSheetId="1" hidden="1">{#N/A,#N/A,FALSE,"Plan1";#N/A,#N/A,FALSE,"Plan2"}</definedName>
    <definedName name="sasads" localSheetId="1" hidden="1">{#N/A,#N/A,FALSE,"Plan1";#N/A,#N/A,FALSE,"Plan2"}</definedName>
    <definedName name="sda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1" hidden="1">{#N/A,#N/A,FALSE,"Plan1";#N/A,#N/A,FALSE,"Plan2"}</definedName>
    <definedName name="sdckd" localSheetId="1" hidden="1">{#N/A,#N/A,FALSE,"Plan1";#N/A,#N/A,FALSE,"Plan2"}</definedName>
    <definedName name="SDDFKSEDE" localSheetId="1" hidden="1">{#N/A,#N/A,FALSE,"Plan1";#N/A,#N/A,FALSE,"Plan2"}</definedName>
    <definedName name="sddkslker" localSheetId="1" hidden="1">{#N/A,#N/A,FALSE,"Plan1";#N/A,#N/A,FALSE,"Plan2"}</definedName>
    <definedName name="sdefr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1" hidden="1">{#N/A,#N/A,FALSE,"Plan1";#N/A,#N/A,FALSE,"Plan2"}</definedName>
    <definedName name="sdfdfc" localSheetId="1" hidden="1">{#N/A,#N/A,FALSE,"Plan1";#N/A,#N/A,FALSE,"Plan2"}</definedName>
    <definedName name="sdfdf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1" hidden="1">{#N/A,#N/A,FALSE,"Plan1";#N/A,#N/A,FALSE,"Plan2"}</definedName>
    <definedName name="sdfdsf" localSheetId="1" hidden="1">{#N/A,#N/A,FALSE,"Plan1";#N/A,#N/A,FALSE,"Plan2"}</definedName>
    <definedName name="sdfdsf\da" localSheetId="1" hidden="1">{#N/A,#N/A,FALSE,"Plan1";#N/A,#N/A,FALSE,"Plan2"}</definedName>
    <definedName name="SDFEDRT" localSheetId="1" hidden="1">{#N/A,#N/A,FALSE,"Plan1";#N/A,#N/A,FALSE,"Plan2"}</definedName>
    <definedName name="sdfer" localSheetId="1" hidden="1">{#N/A,#N/A,FALSE,"Plan1";#N/A,#N/A,FALSE,"Plan2"}</definedName>
    <definedName name="sdferr" localSheetId="1" hidden="1">{#N/A,#N/A,FALSE,"Plan1";#N/A,#N/A,FALSE,"Plan2"}</definedName>
    <definedName name="sdfe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1" hidden="1">{#N/A,#N/A,FALSE,"Plan1";#N/A,#N/A,FALSE,"Plan2"}</definedName>
    <definedName name="sdfgtr" localSheetId="1" hidden="1">{#N/A,#N/A,FALSE,"Plan1";#N/A,#N/A,FALSE,"Plan2"}</definedName>
    <definedName name="sdfjdetrt" localSheetId="1" hidden="1">{#N/A,#N/A,FALSE,"Plan1";#N/A,#N/A,FALSE,"Plan2"}</definedName>
    <definedName name="SDFJDRTJEIDR" localSheetId="1" hidden="1">{#N/A,#N/A,FALSE,"Plan1";#N/A,#N/A,FALSE,"Plan2"}</definedName>
    <definedName name="sdfjergtij" localSheetId="1" hidden="1">{#N/A,#N/A,FALSE,"Plan1";#N/A,#N/A,FALSE,"Plan2"}</definedName>
    <definedName name="SDFOPJKWE" localSheetId="1" hidden="1">{#N/A,#N/A,FALSE,"Plan1";#N/A,#N/A,FALSE,"Plan2"}</definedName>
    <definedName name="sdfrdt5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1" hidden="1">{#N/A,#N/A,FALSE,"Plan1";#N/A,#N/A,FALSE,"Plan2"}</definedName>
    <definedName name="SDFRTKK" localSheetId="1" hidden="1">{#N/A,#N/A,FALSE,"Plan1";#N/A,#N/A,FALSE,"Plan2"}</definedName>
    <definedName name="SDFRTR" localSheetId="1" hidden="1">{#N/A,#N/A,FALSE,"Plan1";#N/A,#N/A,FALSE,"Plan2"}</definedName>
    <definedName name="sdfry6" localSheetId="1" hidden="1">{#N/A,#N/A,FALSE,"Plan1";#N/A,#N/A,FALSE,"Plan2"}</definedName>
    <definedName name="sdfsaf" localSheetId="1" hidden="1">{#N/A,#N/A,FALSE,"Plan1";#N/A,#N/A,FALSE,"Plan2"}</definedName>
    <definedName name="sdfsd" localSheetId="1" hidden="1">{"'Estimativa de Lançamento-JAN'!$A$1:$AI$85"}</definedName>
    <definedName name="sdfsdfg" localSheetId="1" hidden="1">{#N/A,#N/A,FALSE,"Plan1";#N/A,#N/A,FALSE,"Plan2"}</definedName>
    <definedName name="SDFSDFK" localSheetId="1" hidden="1">{#N/A,#N/A,FALSE,"Plan1";#N/A,#N/A,FALSE,"Plan2"}</definedName>
    <definedName name="sdfsdgftret" localSheetId="1" hidden="1">{#N/A,#N/A,FALSE,"Plan1";#N/A,#N/A,FALSE,"Plan2"}</definedName>
    <definedName name="SDFSF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DFSFRT" localSheetId="1" hidden="1">{"Econ Consolidado",#N/A,FALSE,"Econ Consol";"Fluxo de Caixa",#N/A,FALSE,"Fluxo Caixa";"Investimentos",#N/A,FALSE,"Investimentos"}</definedName>
    <definedName name="sdfsr" localSheetId="1" hidden="1">{#N/A,#N/A,FALSE,"Plan1";#N/A,#N/A,FALSE,"Plan2"}</definedName>
    <definedName name="sdfty" localSheetId="1" hidden="1">{#N/A,#N/A,FALSE,"Plan1";#N/A,#N/A,FALSE,"Plan2"}</definedName>
    <definedName name="sdgdf" localSheetId="1" hidden="1">{#N/A,#N/A,FALSE,"Plan1";#N/A,#N/A,FALSE,"Plan2"}</definedName>
    <definedName name="sdgfrt" localSheetId="1" hidden="1">{#N/A,#N/A,FALSE,"Plan1";#N/A,#N/A,FALSE,"Plan2"}</definedName>
    <definedName name="sdgft" localSheetId="1" hidden="1">{#N/A,#N/A,FALSE,"Plan1";#N/A,#N/A,FALSE,"Plan2"}</definedName>
    <definedName name="sdgt" localSheetId="1" hidden="1">{#N/A,#N/A,FALSE,"Plan1";#N/A,#N/A,FALSE,"Plan2"}</definedName>
    <definedName name="sdhfghdsfg" localSheetId="1" hidden="1">{#N/A,#N/A,FALSE,"Plan1";#N/A,#N/A,FALSE,"Plan2"}</definedName>
    <definedName name="SDHFJKHDFJRE" localSheetId="1" hidden="1">{#N/A,#N/A,FALSE,"Plan1";#N/A,#N/A,FALSE,"Plan2"}</definedName>
    <definedName name="SDHKFDRKGTR" localSheetId="1" hidden="1">{#N/A,#N/A,FALSE,"Plan1";#N/A,#N/A,FALSE,"Plan2"}</definedName>
    <definedName name="sdjdswger" localSheetId="1" hidden="1">{#N/A,#N/A,FALSE,"Plan1";#N/A,#N/A,FALSE,"Plan2"}</definedName>
    <definedName name="sdjfdf" localSheetId="1" hidden="1">{#N/A,#N/A,FALSE,"Plan1";#N/A,#N/A,FALSE,"Plan2"}</definedName>
    <definedName name="sdjfhdjk" localSheetId="1" hidden="1">{#N/A,#N/A,FALSE,"Plan1";#N/A,#N/A,FALSE,"Plan2"}</definedName>
    <definedName name="SDJFJDER" localSheetId="1" hidden="1">{#N/A,#N/A,FALSE,"Plan1";#N/A,#N/A,FALSE,"Plan2"}</definedName>
    <definedName name="sdjflsdjfl" localSheetId="1" hidden="1">{#N/A,#N/A,FALSE,"Plan1";#N/A,#N/A,FALSE,"Plan2"}</definedName>
    <definedName name="SDJHF" localSheetId="1" hidden="1">{#N/A,#N/A,FALSE,"Plan1";#N/A,#N/A,FALSE,"Plan2"}</definedName>
    <definedName name="sdjrderertrr" localSheetId="1" hidden="1">{#N/A,#N/A,FALSE,"Plan1";#N/A,#N/A,FALSE,"Plan2"}</definedName>
    <definedName name="sdkdjk" localSheetId="1" hidden="1">{#N/A,#N/A,FALSE,"Plan1";#N/A,#N/A,FALSE,"Plan2"}</definedName>
    <definedName name="sdkfjhkdgfhk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1" hidden="1">{#N/A,#N/A,FALSE,"Plan1";#N/A,#N/A,FALSE,"Plan2"}</definedName>
    <definedName name="sdkk" localSheetId="1" hidden="1">{#N/A,#N/A,FALSE,"Plan1";#N/A,#N/A,FALSE,"Plan2"}</definedName>
    <definedName name="sdlfsdflj" localSheetId="1" hidden="1">{#N/A,#N/A,FALSE,"Plan1";#N/A,#N/A,FALSE,"Plan2"}</definedName>
    <definedName name="sdmfmdfsgfd" localSheetId="1" hidden="1">{#N/A,#N/A,FALSE,"Plan1";#N/A,#N/A,FALSE,"Plan2"}</definedName>
    <definedName name="sd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1" hidden="1">{#N/A,#N/A,FALSE,"Plan1";#N/A,#N/A,FALSE,"Plan2"}</definedName>
    <definedName name="sdsd" localSheetId="1" hidden="1">{#N/A,#N/A,FALSE,"Plan1";#N/A,#N/A,FALSE,"Plan2"}</definedName>
    <definedName name="sdser" localSheetId="1" hidden="1">{#N/A,#N/A,FALSE,"Plan1";#N/A,#N/A,FALSE,"Plan2"}</definedName>
    <definedName name="sdsre" localSheetId="1" hidden="1">{#N/A,#N/A,FALSE,"Plan1";#N/A,#N/A,FALSE,"Plan2"}</definedName>
    <definedName name="sdss" localSheetId="1" hidden="1">{#N/A,#N/A,FALSE,"Plan1";#N/A,#N/A,FALSE,"Plan2"}</definedName>
    <definedName name="sdusi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1" hidden="1">{"Econ Consolidado",#N/A,FALSE,"Econ Consol";"Fluxo de Caixa",#N/A,FALSE,"Fluxo Caixa";"Investimentos",#N/A,FALSE,"Investimentos"}</definedName>
    <definedName name="sdxfrt" localSheetId="1" hidden="1">{#N/A,#N/A,FALSE,"Plan1";#N/A,#N/A,FALSE,"Plan2"}</definedName>
    <definedName name="SDZFERF" localSheetId="1" hidden="1">{#N/A,#N/A,FALSE,"Plan1";#N/A,#N/A,FALSE,"Plan2"}</definedName>
    <definedName name="sefret4r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ftru" localSheetId="1" hidden="1">{#N/A,#N/A,FALSE,"Plan1";#N/A,#N/A,FALSE,"Plan2"}</definedName>
    <definedName name="sencount" localSheetId="1" hidden="1">1</definedName>
    <definedName name="SEREWRSWE" localSheetId="1" hidden="1">{"tabela",#N/A,FALSE,"Tabela";"decoração",#N/A,FALSE,"Decor.";"Informações",#N/A,FALSE,"Inform."}</definedName>
    <definedName name="sf" localSheetId="1" hidden="1">{#N/A,#N/A,FALSE,"Plan1";#N/A,#N/A,FALSE,"Plan2"}</definedName>
    <definedName name="sfcrer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1" hidden="1">{#N/A,#N/A,FALSE,"Plan1";#N/A,#N/A,FALSE,"Plan2"}</definedName>
    <definedName name="sfds" localSheetId="1" hidden="1">{#N/A,#N/A,FALSE,"Plan1";#N/A,#N/A,FALSE,"Plan2"}</definedName>
    <definedName name="sfdsd" localSheetId="1" hidden="1">{#N/A,#N/A,FALSE,"Plan1";#N/A,#N/A,FALSE,"Plan2"}</definedName>
    <definedName name="sfrsdrgt" localSheetId="1" hidden="1">{#N/A,#N/A,FALSE,"Plan1";#N/A,#N/A,FALSE,"Plan2"}</definedName>
    <definedName name="SFRT" localSheetId="1" hidden="1">{#N/A,#N/A,FALSE,"Plan1";#N/A,#N/A,FALSE,"Plan2"}</definedName>
    <definedName name="sfsdferf" localSheetId="1" hidden="1">{#N/A,#N/A,FALSE,"Plan1";#N/A,#N/A,FALSE,"Plan2"}</definedName>
    <definedName name="SFSDS" localSheetId="1" hidden="1">{#N/A,#N/A,FALSE,"Plan1";#N/A,#N/A,FALSE,"Plan2"}</definedName>
    <definedName name="sgtghty" localSheetId="1" hidden="1">{#N/A,#N/A,FALSE,"Plan1";#N/A,#N/A,FALSE,"Plan2"}</definedName>
    <definedName name="SH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jawe" localSheetId="1" hidden="1">{#N/A,#N/A,FALSE,"Plan1";#N/A,#N/A,FALSE,"Plan2"}</definedName>
    <definedName name="sjdffd" localSheetId="1" hidden="1">{#N/A,#N/A,FALSE,"Plan1";#N/A,#N/A,FALSE,"Plan2"}</definedName>
    <definedName name="SJDFHDJS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1" hidden="1">{#N/A,#N/A,FALSE,"Plan1";#N/A,#N/A,FALSE,"Plan2"}</definedName>
    <definedName name="SJDKJDE" localSheetId="1" hidden="1">{"Econ Consolidado",#N/A,FALSE,"Econ Consol";"Fluxo de Caixa",#N/A,FALSE,"Fluxo Caixa";"Investimentos",#N/A,FALSE,"Investimentos"}</definedName>
    <definedName name="sjekwjri" localSheetId="1" hidden="1">{#N/A,#N/A,FALSE,"Plan1";#N/A,#N/A,FALSE,"Plan2"}</definedName>
    <definedName name="sjfkdhsfds" localSheetId="1" hidden="1">{#N/A,#N/A,FALSE,"Plan1";#N/A,#N/A,FALSE,"Plan2"}</definedName>
    <definedName name="sjkdljslkrje" localSheetId="1" hidden="1">{#N/A,#N/A,FALSE,"Plan1";#N/A,#N/A,FALSE,"Plan2"}</definedName>
    <definedName name="skadadaszs" localSheetId="1" hidden="1">{#N/A,#N/A,FALSE,"Plan1";#N/A,#N/A,FALSE,"Plan2"}</definedName>
    <definedName name="SKASH" localSheetId="1" hidden="1">{#N/A,#N/A,FALSE,"Plan1";#N/A,#N/A,FALSE,"Plan2"}</definedName>
    <definedName name="skldfrde" localSheetId="1" hidden="1">{#N/A,#N/A,FALSE,"Plan1";#N/A,#N/A,FALSE,"Plan2"}</definedName>
    <definedName name="skosroer" localSheetId="1" hidden="1">{#N/A,#N/A,FALSE,"Plan1";#N/A,#N/A,FALSE,"Plan2"}</definedName>
    <definedName name="sp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1" hidden="1">{#N/A,#N/A,FALSE,"Plan1";#N/A,#N/A,FALSE,"Plan2"}</definedName>
    <definedName name="SRH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ab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est" localSheetId="1" hidden="1">{"'Edit'!$A$1:$V$2277"}</definedName>
    <definedName name="TESTANDO" localSheetId="1" hidden="1">{#N/A,#N/A,TRUE,"Quinzena 01 à 15-04-98 "}</definedName>
    <definedName name="teste1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1" hidden="1">{#N/A,#N/A,FALSE,"Plan1";#N/A,#N/A,FALSE,"Plan2"}</definedName>
    <definedName name="THYJ" localSheetId="1" hidden="1">{#N/A,#N/A,FALSE,"Plan1";#N/A,#N/A,FALSE,"Plan2"}</definedName>
    <definedName name="tihjgih" localSheetId="1" hidden="1">{#N/A,#N/A,FALSE,"Plan1";#N/A,#N/A,FALSE,"Plan2"}</definedName>
    <definedName name="trjyidih" localSheetId="1" hidden="1">{#N/A,#N/A,FALSE,"Plan1";#N/A,#N/A,FALSE,"Plan2"}</definedName>
    <definedName name="tuyedjsksj" localSheetId="1" hidden="1">{#N/A,#N/A,FALSE,"Plan1";#N/A,#N/A,FALSE,"Plan2"}</definedName>
    <definedName name="TYHGFHFHG" localSheetId="1" hidden="1">{#N/A,#N/A,FALSE,"Plan1";#N/A,#N/A,FALSE,"Plan2"}</definedName>
    <definedName name="u" localSheetId="1" hidden="1">{#N/A,#N/A,FALSE,"ET-CAPA";#N/A,#N/A,FALSE,"ET-PAG1";#N/A,#N/A,FALSE,"ET-PAG2";#N/A,#N/A,FALSE,"ET-PAG3";#N/A,#N/A,FALSE,"ET-PAG4";#N/A,#N/A,FALSE,"ET-PAG5"}</definedName>
    <definedName name="udhgfhfg" localSheetId="1" hidden="1">{#N/A,#N/A,FALSE,"Plan1";#N/A,#N/A,FALSE,"Plan2"}</definedName>
    <definedName name="ueiutriuef" localSheetId="1" hidden="1">{#N/A,#N/A,FALSE,"Plan1";#N/A,#N/A,FALSE,"Plan2"}</definedName>
    <definedName name="UHGSDUS" localSheetId="1" hidden="1">{#N/A,#N/A,FALSE,"Plan1";#N/A,#N/A,FALSE,"Plan2"}</definedName>
    <definedName name="UIHWER45R" localSheetId="1" hidden="1">{#N/A,#N/A,FALSE,"Plan1";#N/A,#N/A,FALSE,"Plan2"}</definedName>
    <definedName name="uiosderuiu" localSheetId="1" hidden="1">{#N/A,#N/A,FALSE,"Plan1";#N/A,#N/A,FALSE,"Plan2"}</definedName>
    <definedName name="UIOURET" localSheetId="1" hidden="1">{#N/A,#N/A,FALSE,"Plan1";#N/A,#N/A,FALSE,"Plan2"}</definedName>
    <definedName name="uiwuer" localSheetId="1" hidden="1">{#N/A,#N/A,FALSE,"Plan1";#N/A,#N/A,FALSE,"Plan2"}</definedName>
    <definedName name="UKHDFDSGUDFKD" localSheetId="1" hidden="1">{#N/A,#N/A,FALSE,"Plan1";#N/A,#N/A,FALSE,"Plan2"}</definedName>
    <definedName name="um" localSheetId="1" hidden="1">0</definedName>
    <definedName name="unit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1" hidden="1">{#N/A,#N/A,FALSE,"Plan1";#N/A,#N/A,FALSE,"Plan2"}</definedName>
    <definedName name="valv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1" hidden="1">{#N/A,#N/A,FALSE,"Plan1";#N/A,#N/A,FALSE,"Plan2"}</definedName>
    <definedName name="VERIFICAR" localSheetId="1" hidden="1">{#N/A,#N/A,TRUE,"Quinzena 01 à 15-04-98 "}</definedName>
    <definedName name="vfnijfd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1" hidden="1">{#N/A,#N/A,FALSE,"Plan1";#N/A,#N/A,FALSE,"Plan2"}</definedName>
    <definedName name="vld_classificacao" localSheetId="1" hidden="1">IF(#REF!="Ativa",OFFSET(INDEX(rng_list_classificacao,MATCH(#REF!,rng_list_classificacao,0)),1,0,COUNTA(rng_list_classificacao)-1),#REF!)</definedName>
    <definedName name="vld_regional" localSheetId="1" hidden="1">OFFSET(INDEX(rng_list_regional,MATCH(#REF!,rng_list_regional,0)),1,0,COUNTA(rng_list_regional)-1)</definedName>
    <definedName name="vld_segmento" localSheetId="1" hidden="1">IF(#REF!="Ativa",OFFSET(INDEX(rng_list_segmento,MATCH(#REF!,rng_list_segmento,0)),1,0,COUNTA(rng_list_segmento)-1),#REF!)</definedName>
    <definedName name="vld_sociedade" localSheetId="1" hidden="1">OFFSET(INDEX(rng_list_sociedade,MATCH(#REF!,rng_list_sociedade,0)),1,0,COUNTA(rng_list_sociedade)-1)</definedName>
    <definedName name="vld_status_empresa" localSheetId="1" hidden="1">OFFSET(INDEX(rng_list_status_empresa,MATCH(#REF!,rng_list_status_empresa,0)),1,0,COUNTA(rng_list_status_empresa)-1)</definedName>
    <definedName name="vld_status_lancamento" localSheetId="1" hidden="1">IF(#REF!="Ativa",OFFSET(INDEX(rng_list_status_lancamento,MATCH(#REF!,rng_list_status_lancamento,0)),1,0,COUNTA(rng_list_status_lancamento)-1),#REF!)</definedName>
    <definedName name="vld_status_projeto" localSheetId="1" hidden="1">IF(#REF!="Ativa",OFFSET(INDEX(rng_list_status_projeto,MATCH(#REF!,rng_list_status_projeto,0)),1,0,COUNTA(rng_list_status_projeto)-1),#REF!)</definedName>
    <definedName name="vld_status_viabilidade" localSheetId="1" hidden="1">OFFSET(INDEX(rng_list_status_viabilidade,MATCH(#REF!,rng_list_status_viabilidade,0)),1,0,COUNTA(rng_list_status_viabilidade)-1)</definedName>
    <definedName name="VSDHFGDFGR" localSheetId="1" hidden="1">{#N/A,#N/A,FALSE,"Plan1";#N/A,#N/A,FALSE,"Plan2"}</definedName>
    <definedName name="vvbb" localSheetId="1" hidden="1">{"tabela",#N/A,FALSE,"Tabela";"decoração",#N/A,FALSE,"Decor.";"Informações",#N/A,FALSE,"Inform."}</definedName>
    <definedName name="vvcbnb" localSheetId="1" hidden="1">{#N/A,#N/A,FALSE,"Plan1";#N/A,#N/A,FALSE,"Plan2"}</definedName>
    <definedName name="vvvvv" localSheetId="1" hidden="1">{"Econ Consolidado",#N/A,FALSE,"Econ Consol";"Fluxo de Caixa",#N/A,FALSE,"Fluxo Caixa";"Investimentos",#N/A,FALSE,"Investimentos"}</definedName>
    <definedName name="vvvvvv" localSheetId="1" hidden="1">{#N/A,#N/A,FALSE,"Plan1";#N/A,#N/A,FALSE,"Plan2"}</definedName>
    <definedName name="vvvvvvvvvvvvvvvvv" localSheetId="1" hidden="1">{"HW",#N/A,FALSE,"1998"}</definedName>
    <definedName name="w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dalrdjlaev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1" hidden="1">{#N/A,#N/A,FALSE,"Plan1";#N/A,#N/A,FALSE,"Plan2"}</definedName>
    <definedName name="wetoedjtkdr" localSheetId="1" hidden="1">{#N/A,#N/A,FALSE,"Plan1";#N/A,#N/A,FALSE,"Plan2"}</definedName>
    <definedName name="WHATS" localSheetId="1" hidden="1">{"'Edit'!$A$1:$V$2277"}</definedName>
    <definedName name="win.VESSEL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1" hidden="1">{#N/A,#N/A,FALSE,"Plan1";#N/A,#N/A,FALSE,"Plan2"}</definedName>
    <definedName name="WLQ" localSheetId="1" hidden="1">{#N/A,#N/A,FALSE,"명세표"}</definedName>
    <definedName name="WRITE" localSheetId="1" hidden="1">{#N/A,#N/A,FALSE,"CCTV"}</definedName>
    <definedName name="wrn.BM." localSheetId="1" hidden="1">{#N/A,#N/A,FALSE,"CCTV"}</definedName>
    <definedName name="wrn.Brita98.xls." localSheetId="1" hidden="1">{#N/A,#N/A,TRUE,"Quinzena 01 à 15-04-98 "}</definedName>
    <definedName name="wrn.Completo." localSheetId="1" hidden="1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1" hidden="1">{"EconCons",#N/A,TRUE,"Econômico - Consolidado";"CaixaCons",#N/A,TRUE,"Caixa - Consolidado";"InvestCons",#N/A,TRUE,"Invest Consolidado"}</definedName>
    <definedName name="wrn.Consolidado." localSheetId="1" hidden="1">{"Econ Consolidado",#N/A,FALSE,"Econ Consol";"Fluxo de Caixa",#N/A,FALSE,"Fluxo Caixa";"Investimentos",#N/A,FALSE,"Investimentos"}</definedName>
    <definedName name="wrn.GERAL." localSheetId="1" hidden="1">{#N/A,#N/A,FALSE,"ET-CAPA";#N/A,#N/A,FALSE,"ET-PAG1";#N/A,#N/A,FALSE,"ET-PAG2";#N/A,#N/A,FALSE,"ET-PAG3";#N/A,#N/A,FALSE,"ET-PAG4";#N/A,#N/A,FALSE,"ET-PAG5"}</definedName>
    <definedName name="wrn.HAGE." localSheetId="1" hidden="1">{#N/A,#N/A,FALSE,"cdi";#N/A,#N/A,FALSE,"debent";#N/A,#N/A,FALSE,"fdos";#N/A,#N/A,FALSE,"resumo"}</definedName>
    <definedName name="wrn.HAGE01" localSheetId="1" hidden="1">{#N/A,#N/A,FALSE,"cdi";#N/A,#N/A,FALSE,"debent";#N/A,#N/A,FALSE,"fdos";#N/A,#N/A,FALSE,"resumo"}</definedName>
    <definedName name="wrn.HW." localSheetId="1" hidden="1">{"HW",#N/A,FALSE,"1998"}</definedName>
    <definedName name="wrn.imp_flx." localSheetId="1" hidden="1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1" hidden="1">{#N/A,#N/A,FALSE,"Plan1";#N/A,#N/A,FALSE,"Plan2"}</definedName>
    <definedName name="wrn.Imprimir." localSheetId="1" hidden="1">{"tabela",#N/A,FALSE,"Tabela";"decoração",#N/A,FALSE,"Decor.";"Informações",#N/A,FALSE,"Inform."}</definedName>
    <definedName name="wrn.LPU._.MG." localSheetId="1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1" hidden="1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1">{#N/A,#N/A,FALSE,"ALVENARIA";#N/A,#N/A,FALSE,"BLOCOS";#N/A,#N/A,FALSE,"CINTAS";#N/A,#N/A,FALSE,"CORTINA";#N/A,#N/A,FALSE,"LAJES";#N/A,#N/A,FALSE,"PILARES";#N/A,#N/A,FALSE,"VIGAS"}</definedName>
    <definedName name="wrn.Month._.Report._.Package." localSheetId="1" hidden="1">{#N/A,#N/A,FALSE,"Global Wls Trend";#N/A,#N/A,FALSE,"Region Trend";#N/A,#N/A,FALSE,"PBU Trend"}</definedName>
    <definedName name="wrn.Monthly._.Report._.Package." localSheetId="1" hidden="1">{#N/A,#N/A,FALSE,"Global by BU";#N/A,#N/A,FALSE,"U.S. by BU";#N/A,#N/A,FALSE,"Canada by BU";#N/A,#N/A,FALSE,"Europe by BU";#N/A,#N/A,FALSE,"Asia by BU";#N/A,#N/A,FALSE,"Cala by BU"}</definedName>
    <definedName name="wrn.PENDENCIAS.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1" hidden="1">{#N/A,#N/A,FALSE,"F-01"}</definedName>
    <definedName name="wrn.Planiha._.de._.Medição._.F._.01._1" localSheetId="1" hidden="1">{#N/A,#N/A,FALSE,"F-01"}</definedName>
    <definedName name="wrn.Planilha_de_Medição_F_02" localSheetId="1" hidden="1">{#N/A,#N/A,FALSE,"F-01"}</definedName>
    <definedName name="wrn.print._.all." localSheetId="1" hidden="1">{#N/A,#N/A,FALSE,"$170M Cash";#N/A,#N/A,FALSE,"$250M Cash";#N/A,#N/A,FALSE,"$325M Cash"}</definedName>
    <definedName name="wrn.PrintAll." localSheetId="1" hidden="1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1" hidden="1">{#N/A,#N/A,FALSE,"Sheet1";#N/A,#N/A,FALSE,"Sheet2";#N/A,#N/A,FALSE,"Sheet3"}</definedName>
    <definedName name="wrn.PrintPrev1." localSheetId="1" hidden="1">{#N/A,#N/A,FALSE,"Sheet4";#N/A,#N/A,FALSE,"Sheet5";#N/A,#N/A,FALSE,"Sheet6"}</definedName>
    <definedName name="wrn.PrintPrev2." localSheetId="1" hidden="1">{#N/A,#N/A,FALSE,"Sheet7";#N/A,#N/A,FALSE,"Sheet8";#N/A,#N/A,FALSE,"Sheet9"}</definedName>
    <definedName name="wrn.Quadros._.relatório." localSheetId="1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1" hidden="1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1" hidden="1">{#N/A,#N/A,FALSE,"TABLE"}</definedName>
    <definedName name="wrn.TERCEIRO." localSheetId="1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1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1" hidden="1">{#N/A,#N/A,FALSE,"명세표"}</definedName>
    <definedName name="wrn.Unidades." localSheetId="1" hidden="1">{"Rio Branco",#N/A,FALSE,"Rio Branco";"Itajaí",#N/A,FALSE,"Itajaí";"Pinheiro Machado",#N/A,FALSE,"PMachado";"Esteio",#N/A,FALSE,"Esteio"}</definedName>
    <definedName name="wrn.VESSEL및N2._.구입사양서.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1" hidden="1">{#N/A,#N/A,FALSE,"Sheet1";#N/A,#N/A,FALSE,"Sheet2";#N/A,#N/A,FALSE,"TAB96-1"}</definedName>
    <definedName name="wrn.보호계전기." localSheetId="1" hidden="1">{#N/A,#N/A,FALSE,"ENG'G(보호계전기)"}</definedName>
    <definedName name="wrn.현장._.NCR._.분석." localSheetId="1" hidden="1">{#N/A,#N/A,FALSE,"현장 NCR 분석";#N/A,#N/A,FALSE,"현장품질감사";#N/A,#N/A,FALSE,"현장품질감사"}</definedName>
    <definedName name="wrn1.Cons." localSheetId="1" hidden="1">{"EconCons",#N/A,TRUE,"Econômico - Consolidado";"CaixaCons",#N/A,TRUE,"Caixa - Consolidado";"InvestCons",#N/A,TRUE,"Invest Consolidado"}</definedName>
    <definedName name="wrn1.print._.all." localSheetId="1" hidden="1">{#N/A,#N/A,FALSE,"$170M Cash";#N/A,#N/A,FALSE,"$250M Cash";#N/A,#N/A,FALSE,"$325M Cash"}</definedName>
    <definedName name="WRS" localSheetId="1" hidden="1">{"'장비'!$A$3:$M$12"}</definedName>
    <definedName name="wrt" localSheetId="1" hidden="1">{#N/A,#N/A,FALSE,"$170M Cash";#N/A,#N/A,FALSE,"$250M Cash";#N/A,#N/A,FALSE,"$325M Cash"}</definedName>
    <definedName name="wvu.PLANILHA2.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1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1" hidden="1">{#N/A,#N/A,FALSE,"Plan1";#N/A,#N/A,FALSE,"Plan2"}</definedName>
    <definedName name="xcgjkfghf" localSheetId="1" hidden="1">{#N/A,#N/A,FALSE,"Plan1";#N/A,#N/A,FALSE,"Plan2"}</definedName>
    <definedName name="XCGJKVHFDG" localSheetId="1" hidden="1">{#N/A,#N/A,FALSE,"Plan1";#N/A,#N/A,FALSE,"Plan2"}</definedName>
    <definedName name="xcgtrty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1" hidden="1">{#N/A,#N/A,FALSE,"Plan1";#N/A,#N/A,FALSE,"Plan2"}</definedName>
    <definedName name="xcndj" localSheetId="1" hidden="1">{#N/A,#N/A,FALSE,"Plan1";#N/A,#N/A,FALSE,"Plan2"}</definedName>
    <definedName name="XCVGGT" localSheetId="1" hidden="1">{#N/A,#N/A,FALSE,"Plan1";#N/A,#N/A,FALSE,"Plan2"}</definedName>
    <definedName name="xcvrg" localSheetId="1" hidden="1">{#N/A,#N/A,FALSE,"Plan1";#N/A,#N/A,FALSE,"Plan2"}</definedName>
    <definedName name="xdfef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1" hidden="1">{#N/A,#N/A,FALSE,"Plan1";#N/A,#N/A,FALSE,"Plan2"}</definedName>
    <definedName name="xfdlfj" localSheetId="1" hidden="1">{#N/A,#N/A,FALSE,"Plan1";#N/A,#N/A,FALSE,"Plan2"}</definedName>
    <definedName name="xfdxfdf" localSheetId="1" hidden="1">{#N/A,#N/A,FALSE,"Plan1";#N/A,#N/A,FALSE,"Plan2"}</definedName>
    <definedName name="XFJKLDJKLGJ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1" hidden="1">{#N/A,#N/A,FALSE,"Plan1";#N/A,#N/A,FALSE,"Plan2"}</definedName>
    <definedName name="XFT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1" hidden="1">{"Econ Consolidado",#N/A,FALSE,"Econ Consol";"Fluxo de Caixa",#N/A,FALSE,"Fluxo Caixa";"Investimentos",#N/A,FALSE,"Investimentos"}</definedName>
    <definedName name="xfvgcfgt" localSheetId="1" hidden="1">{#N/A,#N/A,FALSE,"Plan1";#N/A,#N/A,FALSE,"Plan2"}</definedName>
    <definedName name="xgrg" localSheetId="1" hidden="1">{#N/A,#N/A,FALSE,"Plan1";#N/A,#N/A,FALSE,"Plan2"}</definedName>
    <definedName name="xmght" localSheetId="1" hidden="1">{#N/A,#N/A,FALSE,"Plan1";#N/A,#N/A,FALSE,"Plan2"}</definedName>
    <definedName name="xo" localSheetId="1" hidden="1">{#N/A,#N/A,FALSE,"Global by BU";#N/A,#N/A,FALSE,"U.S. by BU";#N/A,#N/A,FALSE,"Canada by BU";#N/A,#N/A,FALSE,"Europe by BU";#N/A,#N/A,FALSE,"Asia by BU";#N/A,#N/A,FALSE,"Cala by BU"}</definedName>
    <definedName name="xxx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1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1" hidden="1">{"'Edit'!$A$1:$V$2277"}</definedName>
    <definedName name="xxxxxxxxxxxxxx" localSheetId="1" hidden="1">{#N/A,#N/A,FALSE,"Plan1";#N/A,#N/A,FALSE,"Plan2"}</definedName>
    <definedName name="xzfrt" localSheetId="1" hidden="1">{#N/A,#N/A,FALSE,"Plan1";#N/A,#N/A,FALSE,"Plan2"}</definedName>
    <definedName name="yeitrtged" localSheetId="1" hidden="1">{#N/A,#N/A,FALSE,"Plan1";#N/A,#N/A,FALSE,"Plan2"}</definedName>
    <definedName name="yhdfiuygrui" localSheetId="1" hidden="1">{#N/A,#N/A,FALSE,"Plan1";#N/A,#N/A,FALSE,"Plan2"}</definedName>
    <definedName name="YRGUYDRIY" localSheetId="1" hidden="1">{"Econ Consolidado",#N/A,FALSE,"Econ Consol";"Fluxo de Caixa",#N/A,FALSE,"Fluxo Caixa";"Investimentos",#N/A,FALSE,"Investimentos"}</definedName>
    <definedName name="yuegursdmksf" localSheetId="1" hidden="1">{#N/A,#N/A,FALSE,"Plan1";#N/A,#N/A,FALSE,"Plan2"}</definedName>
    <definedName name="yuekl4fr" localSheetId="1" hidden="1">{#N/A,#N/A,FALSE,"Plan1";#N/A,#N/A,FALSE,"Plan2"}</definedName>
    <definedName name="yureytuyrea" localSheetId="1" hidden="1">{#N/A,#N/A,FALSE,"Plan1";#N/A,#N/A,FALSE,"Plan2"}</definedName>
    <definedName name="z" localSheetId="1" hidden="1">{"'Estimativa de Lançamento-JAN'!$A$1:$AI$85"}</definedName>
    <definedName name="z\djs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cdçskld" localSheetId="1" hidden="1">{#N/A,#N/A,FALSE,"Plan1";#N/A,#N/A,FALSE,"Plan2"}</definedName>
    <definedName name="zcsdrfrt" localSheetId="1" hidden="1">{#N/A,#N/A,FALSE,"Plan1";#N/A,#N/A,FALSE,"Plan2"}</definedName>
    <definedName name="ZDRE" localSheetId="1" hidden="1">{#N/A,#N/A,FALSE,"Plan1";#N/A,#N/A,FALSE,"Plan2"}</definedName>
    <definedName name="ZSADF" localSheetId="1" hidden="1">{#N/A,#N/A,FALSE,"Plan1";#N/A,#N/A,FALSE,"Plan2"}</definedName>
    <definedName name="zsads" localSheetId="1" hidden="1">{#N/A,#N/A,FALSE,"Plan1";#N/A,#N/A,FALSE,"Plan2"}</definedName>
    <definedName name="zsds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1" hidden="1">{#N/A,#N/A,FALSE,"Plan1";#N/A,#N/A,FALSE,"Plan2"}</definedName>
    <definedName name="zxcfdstrrt" localSheetId="1" hidden="1">{#N/A,#N/A,FALSE,"Plan1";#N/A,#N/A,FALSE,"Plan2"}</definedName>
    <definedName name="zxcx" localSheetId="1" hidden="1">{#N/A,#N/A,FALSE,"Plan1";#N/A,#N/A,FALSE,"Plan2"}</definedName>
    <definedName name="ZXFCRF" localSheetId="1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1" hidden="1">{#N/A,#N/A,FALSE,"Plan1";#N/A,#N/A,FALSE,"Plan2"}</definedName>
    <definedName name="zzdftr" localSheetId="1" hidden="1">{#N/A,#N/A,FALSE,"Plan1";#N/A,#N/A,FALSE,"Plan2"}</definedName>
    <definedName name="zzz" localSheetId="1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1" hidden="1">{"'장비'!$A$3:$M$12"}</definedName>
    <definedName name="검증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1" hidden="1">{#N/A,#N/A,FALSE,"현장 NCR 분석";#N/A,#N/A,FALSE,"현장품질감사";#N/A,#N/A,FALSE,"현장품질감사"}</definedName>
    <definedName name="고문2" localSheetId="1" hidden="1">{#N/A,#N/A,FALSE,"현장 NCR 분석";#N/A,#N/A,FALSE,"현장품질감사";#N/A,#N/A,FALSE,"현장품질감사"}</definedName>
    <definedName name="공공공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1" hidden="1">{#N/A,#N/A,FALSE,"ENG'G(보호계전기)"}</definedName>
    <definedName name="공급표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1" hidden="1">{#N/A,#N/A,FALSE,"CCTV"}</definedName>
    <definedName name="ㄷㄳ" localSheetId="1" hidden="1">{"'장비'!$A$3:$M$12"}</definedName>
    <definedName name="ㄷㄷㄷㄷ" localSheetId="1" hidden="1">{"'장비'!$A$3:$M$12"}</definedName>
    <definedName name="ㄷㅈㅂㄷ" localSheetId="1" hidden="1">{"'장비'!$A$3:$M$12"}</definedName>
    <definedName name="ㄹㄹ" localSheetId="1" hidden="1">{"'장비'!$A$3:$M$12"}</definedName>
    <definedName name="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1" hidden="1">{#N/A,#N/A,FALSE,"현장 NCR 분석";#N/A,#N/A,FALSE,"현장품질감사";#N/A,#N/A,FALSE,"현장품질감사"}</definedName>
    <definedName name="ㅁ" localSheetId="1" hidden="1">{#N/A,#N/A,FALSE,"명세표"}</definedName>
    <definedName name="ㅁ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1" hidden="1">{#N/A,#N/A,FALSE,"명세표"}</definedName>
    <definedName name="ㅁㅁㅁㅁㅁㅁㅁㅁㅁㅁㅁㅁ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1" hidden="1">{#N/A,#N/A,FALSE,"명세표"}</definedName>
    <definedName name="ㅂㅂㅂㅂ" localSheetId="1" hidden="1">{#N/A,#N/A,FALSE,"명세표"}</definedName>
    <definedName name="ㅂㅂㅂㅂㅂㅂㅂ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1" hidden="1">{"'장비'!$A$3:$M$12"}</definedName>
    <definedName name="ㅂㅈㄷ" localSheetId="1" hidden="1">{"'장비'!$A$3:$M$12"}</definedName>
    <definedName name="ㅂㅈㄷㄷㅂㅈㅈㅂ" localSheetId="1" hidden="1">{"'장비'!$A$3:$M$12"}</definedName>
    <definedName name="ㅂㅈㄷㅂㅈ" localSheetId="1" hidden="1">{"'장비'!$A$3:$M$12"}</definedName>
    <definedName name="ㅂㅈㄷㅂㅈㅈㅂㄷ" localSheetId="1" hidden="1">{"'장비'!$A$3:$M$12"}</definedName>
    <definedName name="ㅂㅈㄷㅈㅂㄷ" localSheetId="1" hidden="1">{"'장비'!$A$3:$M$12"}</definedName>
    <definedName name="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1" hidden="1">{#N/A,#N/A,FALSE,"ENG'G(보호계전기)"}</definedName>
    <definedName name="본공사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1" hidden="1">{#N/A,#N/A,FALSE,"현장 NCR 분석";#N/A,#N/A,FALSE,"현장품질감사";#N/A,#N/A,FALSE,"현장품질감사"}</definedName>
    <definedName name="분야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1" hidden="1">{"'장비'!$A$3:$M$12"}</definedName>
    <definedName name="ㅅㅅㅅㅅㅅ" localSheetId="1" hidden="1">{"'장비'!$A$3:$M$12"}</definedName>
    <definedName name="사업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1" hidden="1">{#N/A,#N/A,FALSE,"TABLE"}</definedName>
    <definedName name="석항" localSheetId="1" hidden="1">{#N/A,#N/A,FALSE,"명세표"}</definedName>
    <definedName name="설계현황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1" hidden="1">{"'장비'!$A$3:$M$12"}</definedName>
    <definedName name="수당" localSheetId="1" hidden="1">#N/A</definedName>
    <definedName name="신설" localSheetId="1" hidden="1">{#N/A,#N/A,FALSE,"명세표"}</definedName>
    <definedName name="ㅇㅇ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1" hidden="1">{#N/A,#N/A,FALSE,"명세표"}</definedName>
    <definedName name="ㅈㅈㅈㅈ" localSheetId="1" hidden="1">{#N/A,#N/A,FALSE,"명세표"}</definedName>
    <definedName name="자미" localSheetId="1" hidden="1">{#N/A,#N/A,FALSE,"명세표"}</definedName>
    <definedName name="자재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1" hidden="1">{#N/A,#N/A,FALSE,"ENG'G(보호계전기)"}</definedName>
    <definedName name="집계" localSheetId="1" hidden="1">{#N/A,#N/A,FALSE,"명세표"}</definedName>
    <definedName name="철골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1" hidden="1">{#N/A,#N/A,FALSE,"명세표"}</definedName>
    <definedName name="ㅋㅋㅋ" localSheetId="1" hidden="1">{#N/A,#N/A,FALSE,"명세표"}</definedName>
    <definedName name="ㅌㅌ" localSheetId="1" hidden="1">{#N/A,#N/A,FALSE,"명세표"}</definedName>
    <definedName name="토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1" hidden="1">{"'장비'!$A$3:$M$12"}</definedName>
    <definedName name="하하하" localSheetId="1" hidden="1">{#N/A,#N/A,FALSE,"명세표"}</definedName>
    <definedName name="한국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1" hidden="1">{#N/A,#N/A,FALSE,"명세표"}</definedName>
    <definedName name="ㅏㅏㅏ" localSheetId="1" hidden="1">{#N/A,#N/A,FALSE,"명세표"}</definedName>
    <definedName name="ㅔㅔ" localSheetId="1" hidden="1">{#N/A,#N/A,FALSE,"명세표"}</definedName>
    <definedName name="ㅔㅔㅔㅔㅔ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1" hidden="1">{"'장비'!$A$3:$M$12"}</definedName>
    <definedName name="ㅗㅗ" localSheetId="1" hidden="1">{#N/A,#N/A,FALSE,"명세표"}</definedName>
    <definedName name="ㅗㅗㅗㅗㅗ" localSheetId="1" hidden="1">{"'장비'!$A$3:$M$12"}</definedName>
    <definedName name="ㅛ" localSheetId="1" hidden="1">{"'장비'!$A$3:$M$12"}</definedName>
    <definedName name="ㅛㅕㅛㅕㅛ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1" hidden="1">{"'장비'!$A$3:$M$12"}</definedName>
    <definedName name="ㅜ" localSheetId="1" hidden="1">{#N/A,#N/A,FALSE,"명세표"}</definedName>
    <definedName name="ㅠㅠ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1" hidden="1">{#N/A,#N/A,FALSE,"명세표"}</definedName>
    <definedName name="\xasd" localSheetId="2" hidden="1">{#N/A,#N/A,FALSE,"Plan1";#N/A,#N/A,FALSE,"Plan2"}</definedName>
    <definedName name="_\xasd" localSheetId="2" hidden="1">{#N/A,#N/A,FALSE,"Plan1";#N/A,#N/A,FALSE,"Plan2"}</definedName>
    <definedName name="_______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2">{"'장비'!$A$3:$M$12"}</definedName>
    <definedName name="____PKG3" localSheetId="2">{"'장비'!$A$3:$M$12"}</definedName>
    <definedName name="____qqq222" localSheetId="2">{"'장비'!$A$3:$M$12"}</definedName>
    <definedName name="_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2">{"'장비'!$A$3:$M$12"}</definedName>
    <definedName name="___PKG3" localSheetId="2">{"'장비'!$A$3:$M$12"}</definedName>
    <definedName name="___qqq222" localSheetId="2">{"'장비'!$A$3:$M$12"}</definedName>
    <definedName name="_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2">{"'장비'!$A$3:$M$12"}</definedName>
    <definedName name="__PKG3" localSheetId="2">{"'장비'!$A$3:$M$12"}</definedName>
    <definedName name="__qqq222" localSheetId="2">{"'장비'!$A$3:$M$12"}</definedName>
    <definedName name="_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2">{#N/A,#N/A,FALSE,"Plan1";#N/A,#N/A,FALSE,"Plan2"}</definedName>
    <definedName name="_new11" localSheetId="2">{#N/A,#N/A,FALSE,"Global by BU";#N/A,#N/A,FALSE,"U.S. by BU";#N/A,#N/A,FALSE,"Canada by BU";#N/A,#N/A,FALSE,"Europe by BU";#N/A,#N/A,FALSE,"Asia by BU";#N/A,#N/A,FALSE,"Cala by BU"}</definedName>
    <definedName name="_Order2" localSheetId="2">0</definedName>
    <definedName name="_PK2" localSheetId="2">{"'장비'!$A$3:$M$12"}</definedName>
    <definedName name="_PKG3" localSheetId="2">{"'장비'!$A$3:$M$12"}</definedName>
    <definedName name="_qqq222" localSheetId="2">{"'장비'!$A$3:$M$12"}</definedName>
    <definedName name="_r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2">{#N/A,#N/A,FALSE,"Plan1";#N/A,#N/A,FALSE,"Plan2"}</definedName>
    <definedName name="_wrn.pendencias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\sgt" localSheetId="2" hidden="1">{#N/A,#N/A,FALSE,"Plan1";#N/A,#N/A,FALSE,"Plan2"}</definedName>
    <definedName name="aa" localSheetId="2">#REF!</definedName>
    <definedName name="aaaa" localSheetId="2">#REF!</definedName>
    <definedName name="aaaaaaaaa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2">{#N/A,#N/A,FALSE,"Plan1";#N/A,#N/A,FALSE,"Plan2"}</definedName>
    <definedName name="AB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2">{#N/A,#N/A,FALSE,"Plan1";#N/A,#N/A,FALSE,"Plan2"}</definedName>
    <definedName name="ad" localSheetId="2">{#N/A,#N/A,FALSE,"Plan1";#N/A,#N/A,FALSE,"Plan2"}</definedName>
    <definedName name="adads" localSheetId="2">{#N/A,#N/A,FALSE,"Plan1";#N/A,#N/A,FALSE,"Plan2"}</definedName>
    <definedName name="adads2" localSheetId="2">{#N/A,#N/A,FALSE,"Plan1";#N/A,#N/A,FALSE,"Plan2"}</definedName>
    <definedName name="adced" localSheetId="2">{#N/A,#N/A,FALSE,"Plan1";#N/A,#N/A,FALSE,"Plan2"}</definedName>
    <definedName name="adced2" localSheetId="2">{#N/A,#N/A,FALSE,"Plan1";#N/A,#N/A,FALSE,"Plan2"}</definedName>
    <definedName name="ader" localSheetId="2">{#N/A,#N/A,FALSE,"Plan1";#N/A,#N/A,FALSE,"Plan2"}</definedName>
    <definedName name="ader2" localSheetId="2">{#N/A,#N/A,FALSE,"Plan1";#N/A,#N/A,FALSE,"Plan2"}</definedName>
    <definedName name="adesr" localSheetId="2">{#N/A,#N/A,FALSE,"Plan1";#N/A,#N/A,FALSE,"Plan2"}</definedName>
    <definedName name="adewr" localSheetId="2">{#N/A,#N/A,FALSE,"Plan1";#N/A,#N/A,FALSE,"Plan2"}</definedName>
    <definedName name="adf" localSheetId="2">{#N/A,#N/A,FALSE,"Plan1";#N/A,#N/A,FALSE,"Plan2"}</definedName>
    <definedName name="adsfr" localSheetId="2">{#N/A,#N/A,FALSE,"Plan1";#N/A,#N/A,FALSE,"Plan2"}</definedName>
    <definedName name="adssrgtg" localSheetId="2">{#N/A,#N/A,FALSE,"Plan1";#N/A,#N/A,FALSE,"Plan2"}</definedName>
    <definedName name="adtsetrr6t" localSheetId="2">{#N/A,#N/A,FALSE,"Plan1";#N/A,#N/A,FALSE,"Plan2"}</definedName>
    <definedName name="adwr" localSheetId="2">{#N/A,#N/A,FALSE,"Plan1";#N/A,#N/A,FALSE,"Plan2"}</definedName>
    <definedName name="aeiresft" localSheetId="2">{#N/A,#N/A,FALSE,"Plan1";#N/A,#N/A,FALSE,"Plan2"}</definedName>
    <definedName name="aEL3QE" localSheetId="2">{#N/A,#N/A,FALSE,"Plan1";#N/A,#N/A,FALSE,"Plan2"}</definedName>
    <definedName name="afeasfre" localSheetId="2">{#N/A,#N/A,FALSE,"Plan1";#N/A,#N/A,FALSE,"Plan2"}</definedName>
    <definedName name="agua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2">{#N/A,#N/A,FALSE,"CCTV"}</definedName>
    <definedName name="angelo" localSheetId="2">#REF!</definedName>
    <definedName name="anscount" localSheetId="2">1</definedName>
    <definedName name="AQE" localSheetId="2">{"'장비'!$A$3:$M$12"}</definedName>
    <definedName name="ArComprimido" localSheetId="2">{"'Estimativa de Lançamento-JAN'!$A$1:$AI$85"}</definedName>
    <definedName name="area" localSheetId="2">#REF!</definedName>
    <definedName name="asawe3" localSheetId="2">{#N/A,#N/A,FALSE,"Plan1";#N/A,#N/A,FALSE,"Plan2"}</definedName>
    <definedName name="asd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A" localSheetId="2">{#N/A,#N/A,FALSE,"Plan1";#N/A,#N/A,FALSE,"Plan2"}</definedName>
    <definedName name="asdade" localSheetId="2">{#N/A,#N/A,FALSE,"Plan1";#N/A,#N/A,FALSE,"Plan2"}</definedName>
    <definedName name="asdas" localSheetId="2">{#N/A,#N/A,FALSE,"Plan1";#N/A,#N/A,FALSE,"Plan2"}</definedName>
    <definedName name="asdawed" localSheetId="2">{#N/A,#N/A,FALSE,"Plan1";#N/A,#N/A,FALSE,"Plan2"}</definedName>
    <definedName name="ASDER" localSheetId="2">{#N/A,#N/A,FALSE,"Plan1";#N/A,#N/A,FALSE,"Plan2"}</definedName>
    <definedName name="asderr" localSheetId="2">{#N/A,#N/A,FALSE,"Plan1";#N/A,#N/A,FALSE,"Plan2"}</definedName>
    <definedName name="asdesre" localSheetId="2">{#N/A,#N/A,FALSE,"Plan1";#N/A,#N/A,FALSE,"Plan2"}</definedName>
    <definedName name="asdewr" localSheetId="2">{#N/A,#N/A,FALSE,"Plan1";#N/A,#N/A,FALSE,"Plan2"}</definedName>
    <definedName name="ASDFASDFA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2">{#N/A,#N/A,FALSE,"Plan1";#N/A,#N/A,FALSE,"Plan2"}</definedName>
    <definedName name="asdg" localSheetId="2">{#N/A,#N/A,FALSE,"Plan1";#N/A,#N/A,FALSE,"Plan2"}</definedName>
    <definedName name="asdke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2">{#N/A,#N/A,FALSE,"Plan1";#N/A,#N/A,FALSE,"Plan2"}</definedName>
    <definedName name="asdqwe" localSheetId="2">{#N/A,#N/A,FALSE,"Plan1";#N/A,#N/A,FALSE,"Plan2"}</definedName>
    <definedName name="asdsa" localSheetId="2">{#N/A,#N/A,FALSE,"Plan1";#N/A,#N/A,FALSE,"Plan2"}</definedName>
    <definedName name="asdser" localSheetId="2">{#N/A,#N/A,FALSE,"Plan1";#N/A,#N/A,FALSE,"Plan2"}</definedName>
    <definedName name="asdwef" localSheetId="2">{#N/A,#N/A,FALSE,"Plan1";#N/A,#N/A,FALSE,"Plan2"}</definedName>
    <definedName name="ASET" localSheetId="2">{#N/A,#N/A,FALSE,"Plan1";#N/A,#N/A,FALSE,"Plan2"}</definedName>
    <definedName name="asfDSF" localSheetId="2">{#N/A,#N/A,FALSE,"Plan1";#N/A,#N/A,FALSE,"Plan2"}</definedName>
    <definedName name="ASFERTE" localSheetId="2">{#N/A,#N/A,FALSE,"Plan1";#N/A,#N/A,FALSE,"Plan2"}</definedName>
    <definedName name="asfl" localSheetId="2">{#N/A,#N/A,FALSE,"Plan1";#N/A,#N/A,FALSE,"Plan2"}</definedName>
    <definedName name="asfsz" localSheetId="2">{#N/A,#N/A,FALSE,"Plan1";#N/A,#N/A,FALSE,"Plan2"}</definedName>
    <definedName name="askserf" localSheetId="2">{#N/A,#N/A,FALSE,"Plan1";#N/A,#N/A,FALSE,"Plan2"}</definedName>
    <definedName name="ASSFSDF" localSheetId="2">{#N/A,#N/A,FALSE,"Plan1";#N/A,#N/A,FALSE,"Plan2"}</definedName>
    <definedName name="asw" localSheetId="2">{#N/A,#N/A,FALSE,"Plan1";#N/A,#N/A,FALSE,"Plan2"}</definedName>
    <definedName name="ATIVOS" localSheetId="2">{#N/A,#N/A,FALSE,"F-01"}</definedName>
    <definedName name="aux" localSheetId="2">#REF!</definedName>
    <definedName name="awdjw" localSheetId="2">{#N/A,#N/A,FALSE,"Plan1";#N/A,#N/A,FALSE,"Plan2"}</definedName>
    <definedName name="aweqw4" localSheetId="2">{#N/A,#N/A,FALSE,"Plan1";#N/A,#N/A,FALSE,"Plan2"}</definedName>
    <definedName name="awssdwaer" localSheetId="2">{#N/A,#N/A,FALSE,"Plan1";#N/A,#N/A,FALSE,"Plan2"}</definedName>
    <definedName name="b" localSheetId="2">{#N/A,#N/A,FALSE,"Plan1";#N/A,#N/A,FALSE,"Plan2"}</definedName>
    <definedName name="bbbbbbbbbbbbbbb" localSheetId="2">{"'Edit'!$A$1:$V$2277"}</definedName>
    <definedName name="BDA" localSheetId="2">#REF!</definedName>
    <definedName name="bdfjghf" localSheetId="2">{#N/A,#N/A,FALSE,"Plan1";#N/A,#N/A,FALSE,"Plan2"}</definedName>
    <definedName name="BDI" localSheetId="2">#REF!</definedName>
    <definedName name="bdzbfbdr" localSheetId="2">{#N/A,#N/A,FALSE,"Plan1";#N/A,#N/A,FALSE,"Plan2"}</definedName>
    <definedName name="BGG" localSheetId="2">{#N/A,#N/A,FALSE,"Plan1";#N/A,#N/A,FALSE,"Plan2"}</definedName>
    <definedName name="bhjgfhfh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2">{#N/A,#N/A,FALSE,"Plan1";#N/A,#N/A,FALSE,"Plan2"}</definedName>
    <definedName name="bmdgghrtfde" localSheetId="2">{#N/A,#N/A,FALSE,"Plan1";#N/A,#N/A,FALSE,"Plan2"}</definedName>
    <definedName name="bnkjhjhdfxgt" localSheetId="2">{#N/A,#N/A,FALSE,"Plan1";#N/A,#N/A,FALSE,"Plan2"}</definedName>
    <definedName name="BORDA1" localSheetId="2">#REF!</definedName>
    <definedName name="bxnzfmkzxbhdf" localSheetId="2">{#N/A,#N/A,FALSE,"Plan1";#N/A,#N/A,FALSE,"Plan2"}</definedName>
    <definedName name="ca" localSheetId="2">#REF!</definedName>
    <definedName name="CAB" localSheetId="2">#REF!</definedName>
    <definedName name="caixas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çaos\ewapo" localSheetId="2" hidden="1">{#N/A,#N/A,FALSE,"Plan1";#N/A,#N/A,FALSE,"Plan2"}</definedName>
    <definedName name="Capa" localSheetId="2">#REF!</definedName>
    <definedName name="CAT6_IP" localSheetId="2">{#N/A,#N/A,FALSE,"F-01"}</definedName>
    <definedName name="ççç" localSheetId="2">{#N/A,#N/A,FALSE,"Plan1";#N/A,#N/A,FALSE,"Plan2"}</definedName>
    <definedName name="cccc" localSheetId="2">{#N/A,#N/A,FALSE,"Plan1";#N/A,#N/A,FALSE,"Plan2"}</definedName>
    <definedName name="ççççççç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2">{"HW",#N/A,FALSE,"1998"}</definedName>
    <definedName name="çcklfjk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2">{#N/A,#N/A,FALSE,"Plan1";#N/A,#N/A,FALSE,"Plan2"}</definedName>
    <definedName name="CDSGHE" localSheetId="2">{#N/A,#N/A,FALSE,"Plan1";#N/A,#N/A,FALSE,"Plan2"}</definedName>
    <definedName name="çfhjglkjhkljyh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2">{#N/A,#N/A,FALSE,"Plan1";#N/A,#N/A,FALSE,"Plan2"}</definedName>
    <definedName name="chfch" localSheetId="2">{#N/A,#N/A,FALSE,"Plan1";#N/A,#N/A,FALSE,"Plan2"}</definedName>
    <definedName name="ÇJKRÇLFS" localSheetId="2">{"Econ Consolidado",#N/A,FALSE,"Econ Consol";"Fluxo de Caixa",#N/A,FALSE,"Fluxo Caixa";"Investimentos",#N/A,FALSE,"Investimentos"}</definedName>
    <definedName name="ÇJsrejtçe" localSheetId="2">{#N/A,#N/A,FALSE,"Plan1";#N/A,#N/A,FALSE,"Plan2"}</definedName>
    <definedName name="çkaçekow" localSheetId="2">{#N/A,#N/A,FALSE,"Plan1";#N/A,#N/A,FALSE,"Plan2"}</definedName>
    <definedName name="ÇKSDOEKR" localSheetId="2">{#N/A,#N/A,FALSE,"Plan1";#N/A,#N/A,FALSE,"Plan2"}</definedName>
    <definedName name="çl" localSheetId="2">{#N/A,#N/A,FALSE,"Plan1";#N/A,#N/A,FALSE,"Plan2"}</definedName>
    <definedName name="çlassde" localSheetId="2">{#N/A,#N/A,FALSE,"Plan1";#N/A,#N/A,FALSE,"Plan2"}</definedName>
    <definedName name="çlçlç" localSheetId="2">{#N/A,#N/A,FALSE,"Plan1";#N/A,#N/A,FALSE,"Plan2"}</definedName>
    <definedName name="çld" localSheetId="2">{#N/A,#N/A,FALSE,"Plan1";#N/A,#N/A,FALSE,"Plan2"}</definedName>
    <definedName name="çlererr" localSheetId="2">{#N/A,#N/A,FALSE,"Plan1";#N/A,#N/A,FALSE,"Plan2"}</definedName>
    <definedName name="çlertert" localSheetId="2">{#N/A,#N/A,FALSE,"Plan1";#N/A,#N/A,FALSE,"Plan2"}</definedName>
    <definedName name="çll" localSheetId="2">{#N/A,#N/A,FALSE,"Plan1";#N/A,#N/A,FALSE,"Plan2"}</definedName>
    <definedName name="CMC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2">{#N/A,#N/A,TRUE,"Quinzena 01 à 15-04-98 "}</definedName>
    <definedName name="cont" localSheetId="2">{#N/A,#N/A,FALSE,"Plan1";#N/A,#N/A,FALSE,"Plan2"}</definedName>
    <definedName name="Controle_Tecnologico" localSheetId="2" hidden="1">{#N/A,#N/A,FALSE,"Plan1";#N/A,#N/A,FALSE,"Plan2"}</definedName>
    <definedName name="cronograma" localSheetId="2">#REF!</definedName>
    <definedName name="ÇSAÇDFW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2">{#N/A,#N/A,FALSE,"Plan1";#N/A,#N/A,FALSE,"Plan2"}</definedName>
    <definedName name="CTH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" localSheetId="2">#REF!</definedName>
    <definedName name="dalmo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2">{#N/A,#N/A,FALSE,"Plan1";#N/A,#N/A,FALSE,"Plan2"}</definedName>
    <definedName name="DÇDL" localSheetId="2">{#N/A,#N/A,FALSE,"Plan1";#N/A,#N/A,FALSE,"Plan2"}</definedName>
    <definedName name="dcnsfgdjkgb" localSheetId="2">{#N/A,#N/A,FALSE,"Plan1";#N/A,#N/A,FALSE,"Plan2"}</definedName>
    <definedName name="DÇWK" localSheetId="2">{#N/A,#N/A,FALSE,"Plan1";#N/A,#N/A,FALSE,"Plan2"}</definedName>
    <definedName name="DD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2">{"'장비'!$A$3:$M$12"}</definedName>
    <definedName name="ddddd" localSheetId="2">{#N/A,#N/A,FALSE,"Plan1";#N/A,#N/A,FALSE,"Plan2"}</definedName>
    <definedName name="dde" localSheetId="2">{#N/A,#N/A,FALSE,"Plan1";#N/A,#N/A,FALSE,"Plan2"}</definedName>
    <definedName name="ddgfdvgd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2">{#N/A,#N/A,FALSE,"Plan1";#N/A,#N/A,FALSE,"Plan2"}</definedName>
    <definedName name="dede" localSheetId="2">{#N/A,#N/A,FALSE,"Plan1";#N/A,#N/A,FALSE,"Plan2"}</definedName>
    <definedName name="des" localSheetId="2">{#N/A,#N/A,FALSE,"Plan1";#N/A,#N/A,FALSE,"Plan2"}</definedName>
    <definedName name="desc" localSheetId="2">{#N/A,#N/A,FALSE,"Plan1";#N/A,#N/A,FALSE,"Plan2"}</definedName>
    <definedName name="d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2">{#N/A,#N/A,FALSE,"명세표"}</definedName>
    <definedName name="dfdfty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2">{#N/A,#N/A,FALSE,"Plan1";#N/A,#N/A,FALSE,"Plan2"}</definedName>
    <definedName name="dfdrtrr" localSheetId="2">{#N/A,#N/A,FALSE,"Plan1";#N/A,#N/A,FALSE,"Plan2"}</definedName>
    <definedName name="DFDSG" localSheetId="2">{#N/A,#N/A,FALSE,"Plan1";#N/A,#N/A,FALSE,"Plan2"}</definedName>
    <definedName name="dfer" localSheetId="2">{#N/A,#N/A,FALSE,"Plan1";#N/A,#N/A,FALSE,"Plan2"}</definedName>
    <definedName name="dffbty" localSheetId="2">{#N/A,#N/A,FALSE,"Plan1";#N/A,#N/A,FALSE,"Plan2"}</definedName>
    <definedName name="dffgk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2">{#N/A,#N/A,FALSE,"Plan1";#N/A,#N/A,FALSE,"Plan2"}</definedName>
    <definedName name="dfg" localSheetId="2">{#N/A,#N/A,FALSE,"Plan1";#N/A,#N/A,FALSE,"Plan2"}</definedName>
    <definedName name="dfgdf" localSheetId="2">{#N/A,#N/A,FALSE,"Plan1";#N/A,#N/A,FALSE,"Plan2"}</definedName>
    <definedName name="dfgdytygr" localSheetId="2">{#N/A,#N/A,FALSE,"Plan1";#N/A,#N/A,FALSE,"Plan2"}</definedName>
    <definedName name="dfgftrrdt5" localSheetId="2">{#N/A,#N/A,FALSE,"Plan1";#N/A,#N/A,FALSE,"Plan2"}</definedName>
    <definedName name="dfghjfhsg" localSheetId="2">{#N/A,#N/A,FALSE,"Plan1";#N/A,#N/A,FALSE,"Plan2"}</definedName>
    <definedName name="dfgj" localSheetId="2">{#N/A,#N/A,FALSE,"Plan1";#N/A,#N/A,FALSE,"Plan2"}</definedName>
    <definedName name="dfgjfttyd" localSheetId="2">{#N/A,#N/A,FALSE,"Plan1";#N/A,#N/A,FALSE,"Plan2"}</definedName>
    <definedName name="dfgjjtdrtg" localSheetId="2">{#N/A,#N/A,FALSE,"Plan1";#N/A,#N/A,FALSE,"Plan2"}</definedName>
    <definedName name="dfgt" localSheetId="2">{#N/A,#N/A,FALSE,"Plan1";#N/A,#N/A,FALSE,"Plan2"}</definedName>
    <definedName name="dfgtrkjhk" localSheetId="2">{#N/A,#N/A,FALSE,"Plan1";#N/A,#N/A,FALSE,"Plan2"}</definedName>
    <definedName name="dfgty" localSheetId="2">{#N/A,#N/A,FALSE,"Plan1";#N/A,#N/A,FALSE,"Plan2"}</definedName>
    <definedName name="dfhdgfdgf" localSheetId="2">{#N/A,#N/A,FALSE,"Plan1";#N/A,#N/A,FALSE,"Plan2"}</definedName>
    <definedName name="DFHDJGJFHJGF" localSheetId="2">{#N/A,#N/A,FALSE,"Plan1";#N/A,#N/A,FALSE,"Plan2"}</definedName>
    <definedName name="dfhdyg" localSheetId="2">{#N/A,#N/A,FALSE,"Plan1";#N/A,#N/A,FALSE,"Plan2"}</definedName>
    <definedName name="DFHGDHUR" localSheetId="2">{#N/A,#N/A,FALSE,"Plan1";#N/A,#N/A,FALSE,"Plan2"}</definedName>
    <definedName name="dfhgjfgdhfjdrf" localSheetId="2">{#N/A,#N/A,FALSE,"Plan1";#N/A,#N/A,FALSE,"Plan2"}</definedName>
    <definedName name="dfhgkhfut" localSheetId="2">{#N/A,#N/A,FALSE,"Plan1";#N/A,#N/A,FALSE,"Plan2"}</definedName>
    <definedName name="dfhguitrhfg" localSheetId="2">{#N/A,#N/A,FALSE,"Plan1";#N/A,#N/A,FALSE,"Plan2"}</definedName>
    <definedName name="DFHKHDGKJHDKS" localSheetId="2">{#N/A,#N/A,FALSE,"Plan1";#N/A,#N/A,FALSE,"Plan2"}</definedName>
    <definedName name="dfjgjfhykj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2">{#N/A,#N/A,FALSE,"Plan1";#N/A,#N/A,FALSE,"Plan2"}</definedName>
    <definedName name="dfkhgfg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2">{#N/A,#N/A,FALSE,"Plan1";#N/A,#N/A,FALSE,"Plan2"}</definedName>
    <definedName name="dfnert" localSheetId="2">{#N/A,#N/A,FALSE,"Plan1";#N/A,#N/A,FALSE,"Plan2"}</definedName>
    <definedName name="dfrt" localSheetId="2">{#N/A,#N/A,FALSE,"Plan1";#N/A,#N/A,FALSE,"Plan2"}</definedName>
    <definedName name="dfsdr5tt" localSheetId="2">{#N/A,#N/A,FALSE,"Plan1";#N/A,#N/A,FALSE,"Plan2"}</definedName>
    <definedName name="dfsd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2">{#N/A,#N/A,FALSE,"Plan1";#N/A,#N/A,FALSE,"Plan2"}</definedName>
    <definedName name="dfsf" localSheetId="2">{#N/A,#N/A,FALSE,"Plan1";#N/A,#N/A,FALSE,"Plan2"}</definedName>
    <definedName name="DFT" localSheetId="2">{#N/A,#N/A,FALSE,"Plan1";#N/A,#N/A,FALSE,"Plan2"}</definedName>
    <definedName name="DFTRTTY" localSheetId="2">{#N/A,#N/A,FALSE,"Plan1";#N/A,#N/A,FALSE,"Plan2"}</definedName>
    <definedName name="dfurghifdjyhits" localSheetId="2">{#N/A,#N/A,FALSE,"Plan1";#N/A,#N/A,FALSE,"Plan2"}</definedName>
    <definedName name="dfxgdrged" localSheetId="2">{#N/A,#N/A,FALSE,"Plan1";#N/A,#N/A,FALSE,"Plan2"}</definedName>
    <definedName name="dgfrtyt" localSheetId="2">{#N/A,#N/A,FALSE,"Plan1";#N/A,#N/A,FALSE,"Plan2"}</definedName>
    <definedName name="dggfdg" localSheetId="2">{#N/A,#N/A,FALSE,"Plan1";#N/A,#N/A,FALSE,"Plan2"}</definedName>
    <definedName name="dgldfhgkljslh" localSheetId="2">{#N/A,#N/A,FALSE,"Plan1";#N/A,#N/A,FALSE,"Plan2"}</definedName>
    <definedName name="dhfgdhrehrwe" localSheetId="2">{#N/A,#N/A,FALSE,"Plan1";#N/A,#N/A,FALSE,"Plan2"}</definedName>
    <definedName name="dhgfdgrfgdfgd" localSheetId="2">{#N/A,#N/A,FALSE,"Plan1";#N/A,#N/A,FALSE,"Plan2"}</definedName>
    <definedName name="dhkjfhdhfjdh" localSheetId="2">{#N/A,#N/A,FALSE,"Plan1";#N/A,#N/A,FALSE,"Plan2"}</definedName>
    <definedName name="DHTJRT" localSheetId="2">{#N/A,#N/A,FALSE,"Plan1";#N/A,#N/A,FALSE,"Plan2"}</definedName>
    <definedName name="dijghdhks" localSheetId="2">{#N/A,#N/A,FALSE,"Plan1";#N/A,#N/A,FALSE,"Plan2"}</definedName>
    <definedName name="direto" localSheetId="2">#REF!</definedName>
    <definedName name="djasdrjas" localSheetId="2">{#N/A,#N/A,FALSE,"Plan1";#N/A,#N/A,FALSE,"Plan2"}</definedName>
    <definedName name="dj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2">{#N/A,#N/A,FALSE,"Plan1";#N/A,#N/A,FALSE,"Plan2"}</definedName>
    <definedName name="djfkhsdkjhf" localSheetId="2">{#N/A,#N/A,FALSE,"Plan1";#N/A,#N/A,FALSE,"Plan2"}</definedName>
    <definedName name="djfldjsgljslkjtg" localSheetId="2">{#N/A,#N/A,FALSE,"Plan1";#N/A,#N/A,FALSE,"Plan2"}</definedName>
    <definedName name="djflkdjgdth" localSheetId="2">{#N/A,#N/A,FALSE,"Plan1";#N/A,#N/A,FALSE,"Plan2"}</definedName>
    <definedName name="DJFLKDJGKTJYJT" localSheetId="2">{#N/A,#N/A,FALSE,"Plan1";#N/A,#N/A,FALSE,"Plan2"}</definedName>
    <definedName name="djgkfjgtiyty" localSheetId="2">{#N/A,#N/A,FALSE,"Plan1";#N/A,#N/A,FALSE,"Plan2"}</definedName>
    <definedName name="djrkehrjfhng" localSheetId="2">{#N/A,#N/A,FALSE,"Plan1";#N/A,#N/A,FALSE,"Plan2"}</definedName>
    <definedName name="djtkjldfr" localSheetId="2">{#N/A,#N/A,FALSE,"Plan1";#N/A,#N/A,FALSE,"Plan2"}</definedName>
    <definedName name="DJXDLFGDFG" localSheetId="2">{#N/A,#N/A,FALSE,"Plan1";#N/A,#N/A,FALSE,"Plan2"}</definedName>
    <definedName name="dkdkdkdkd" localSheetId="2">{#N/A,#N/A,FALSE,"명세표"}</definedName>
    <definedName name="dkfhskgf" localSheetId="2">{#N/A,#N/A,FALSE,"Plan1";#N/A,#N/A,FALSE,"Plan2"}</definedName>
    <definedName name="dkjfk" localSheetId="2">{#N/A,#N/A,FALSE,"Plan1";#N/A,#N/A,FALSE,"Plan2"}</definedName>
    <definedName name="DKLD" localSheetId="2">{#N/A,#N/A,FALSE,"Plan1";#N/A,#N/A,FALSE,"Plan2"}</definedName>
    <definedName name="DKLFJDKFD" localSheetId="2">{#N/A,#N/A,FALSE,"Plan1";#N/A,#N/A,FALSE,"Plan2"}</definedName>
    <definedName name="dklfjgirtgid" localSheetId="2">{#N/A,#N/A,FALSE,"Plan1";#N/A,#N/A,FALSE,"Plan2"}</definedName>
    <definedName name="dklfm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2">{#N/A,#N/A,FALSE,"Plan1";#N/A,#N/A,FALSE,"Plan2"}</definedName>
    <definedName name="DNFJKDHTKRE" localSheetId="2">{#N/A,#N/A,FALSE,"Plan1";#N/A,#N/A,FALSE,"Plan2"}</definedName>
    <definedName name="dng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" localSheetId="2">#REF!</definedName>
    <definedName name="drewr" localSheetId="2">{#N/A,#N/A,FALSE,"Plan1";#N/A,#N/A,FALSE,"Plan2"}</definedName>
    <definedName name="DRRJR" localSheetId="2">{#N/A,#N/A,FALSE,"Plan1";#N/A,#N/A,FALSE,"Plan2"}</definedName>
    <definedName name="drtrt" localSheetId="2">{"'Estimativa de Lançamento-JAN'!$A$1:$AI$85"}</definedName>
    <definedName name="dsdrf" localSheetId="2">{#N/A,#N/A,FALSE,"Plan1";#N/A,#N/A,FALSE,"Plan2"}</definedName>
    <definedName name="dsfdf" localSheetId="2">{#N/A,#N/A,FALSE,"Plan1";#N/A,#N/A,FALSE,"Plan2"}</definedName>
    <definedName name="dsfg" localSheetId="2">{#N/A,#N/A,FALSE,"Plan1";#N/A,#N/A,FALSE,"Plan2"}</definedName>
    <definedName name="DSFKDSKH" localSheetId="2">{#N/A,#N/A,FALSE,"Plan1";#N/A,#N/A,FALSE,"Plan2"}</definedName>
    <definedName name="DSFR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2">{#N/A,#N/A,FALSE,"Plan1";#N/A,#N/A,FALSE,"Plan2"}</definedName>
    <definedName name="DSFSAD" localSheetId="2">{#N/A,#N/A,FALSE,"Plan1";#N/A,#N/A,FALSE,"Plan2"}</definedName>
    <definedName name="dsfsdf" localSheetId="2">{#N/A,#N/A,FALSE,"Plan1";#N/A,#N/A,FALSE,"Plan2"}</definedName>
    <definedName name="dsfsdgfb" localSheetId="2">{#N/A,#N/A,FALSE,"Plan1";#N/A,#N/A,FALSE,"Plan2"}</definedName>
    <definedName name="dsgfr" localSheetId="2">{#N/A,#N/A,FALSE,"Plan1";#N/A,#N/A,FALSE,"Plan2"}</definedName>
    <definedName name="dshfkhkrhesru" localSheetId="2">{#N/A,#N/A,FALSE,"Plan1";#N/A,#N/A,FALSE,"Plan2"}</definedName>
    <definedName name="dsjkthkr" localSheetId="2">{#N/A,#N/A,FALSE,"Plan1";#N/A,#N/A,FALSE,"Plan2"}</definedName>
    <definedName name="DSLFJSLFJ" localSheetId="2">{#N/A,#N/A,FALSE,"Plan1";#N/A,#N/A,FALSE,"Plan2"}</definedName>
    <definedName name="dsrff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2">{#N/A,#N/A,FALSE,"Plan1";#N/A,#N/A,FALSE,"Plan2"}</definedName>
    <definedName name="dtgsrytt" localSheetId="2">{#N/A,#N/A,FALSE,"Plan1";#N/A,#N/A,FALSE,"Plan2"}</definedName>
    <definedName name="dtrjkhtrgkfh" localSheetId="2">{#N/A,#N/A,FALSE,"Plan1";#N/A,#N/A,FALSE,"Plan2"}</definedName>
    <definedName name="dttjuk" localSheetId="2">{#N/A,#N/A,FALSE,"Plan1";#N/A,#N/A,FALSE,"Plan2"}</definedName>
    <definedName name="dvtry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2">{#N/A,#N/A,FALSE,"Plan1";#N/A,#N/A,FALSE,"Plan2"}</definedName>
    <definedName name="DY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2">{#N/A,#N/A,FALSE,"Plan1";#N/A,#N/A,FALSE,"Plan2"}</definedName>
    <definedName name="dzdfr" localSheetId="2">{#N/A,#N/A,FALSE,"Plan1";#N/A,#N/A,FALSE,"Plan2"}</definedName>
    <definedName name="e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a" localSheetId="2">#REF!</definedName>
    <definedName name="EC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2">{#N/A,#N/A,FALSE,"F-01"}</definedName>
    <definedName name="ECEW_1" localSheetId="2">{#N/A,#N/A,FALSE,"F-01"}</definedName>
    <definedName name="ECS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2">{#N/A,#N/A,FALSE,"Plan1";#N/A,#N/A,FALSE,"Plan2"}</definedName>
    <definedName name="eee" localSheetId="2">{#N/A,#N/A,FALSE,"ET-CAPA";#N/A,#N/A,FALSE,"ET-PAG1";#N/A,#N/A,FALSE,"ET-PAG2";#N/A,#N/A,FALSE,"ET-PAG3";#N/A,#N/A,FALSE,"ET-PAG4";#N/A,#N/A,FALSE,"ET-PAG5"}</definedName>
    <definedName name="efestfr" localSheetId="2">{#N/A,#N/A,FALSE,"Plan1";#N/A,#N/A,FALSE,"Plan2"}</definedName>
    <definedName name="efrdrt" localSheetId="2">{#N/A,#N/A,FALSE,"Plan1";#N/A,#N/A,FALSE,"Plan2"}</definedName>
    <definedName name="efrg" localSheetId="2">{#N/A,#N/A,FALSE,"Plan1";#N/A,#N/A,FALSE,"Plan2"}</definedName>
    <definedName name="efsgfr" localSheetId="2">{#N/A,#N/A,FALSE,"Plan1";#N/A,#N/A,FALSE,"Plan2"}</definedName>
    <definedName name="ER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2">{#N/A,#N/A,FALSE,"Plan1";#N/A,#N/A,FALSE,"Plan2"}</definedName>
    <definedName name="ESGFDSFD" localSheetId="2">{#N/A,#N/A,FALSE,"Plan1";#N/A,#N/A,FALSE,"Plan2"}</definedName>
    <definedName name="EU" localSheetId="2">{#N/A,#N/A,FALSE,"Plan1";#N/A,#N/A,FALSE,"Plan2"}</definedName>
    <definedName name="EVL" localSheetId="2">{"Econ Consolidado",#N/A,FALSE,"Econ Consol";"Fluxo de Caixa",#N/A,FALSE,"Fluxo Caixa";"Investimentos",#N/A,FALSE,"Investimentos"}</definedName>
    <definedName name="Evol." localSheetId="2">{"Econ Consolidado",#N/A,FALSE,"Econ Consol";"Fluxo de Caixa",#N/A,FALSE,"Fluxo Caixa";"Investimentos",#N/A,FALSE,"Investimentos"}</definedName>
    <definedName name="ewfr" localSheetId="2">{#N/A,#N/A,FALSE,"Plan1";#N/A,#N/A,FALSE,"Plan2"}</definedName>
    <definedName name="eyruieyteta" localSheetId="2">{#N/A,#N/A,FALSE,"Plan1";#N/A,#N/A,FALSE,"Plan2"}</definedName>
    <definedName name="f" localSheetId="2">{#N/A,#N/A,FALSE,"Plan1";#N/A,#N/A,FALSE,"Plan2"}</definedName>
    <definedName name="FAS" localSheetId="2">{"'Total'!$A$1","'Total'!$A$3"}</definedName>
    <definedName name="fasfasf" localSheetId="2">{#N/A,#N/A,TRUE,"Quinzena 01 à 15-04-98 "}</definedName>
    <definedName name="fddhght" localSheetId="2">{#N/A,#N/A,FALSE,"Plan1";#N/A,#N/A,FALSE,"Plan2"}</definedName>
    <definedName name="fdfgd" localSheetId="2">{#N/A,#N/A,FALSE,"Plan1";#N/A,#N/A,FALSE,"Plan2"}</definedName>
    <definedName name="fdfng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2">{#N/A,#N/A,FALSE,"Plan1";#N/A,#N/A,FALSE,"Plan2"}</definedName>
    <definedName name="fdgdf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2">{#N/A,#N/A,FALSE,"Plan1";#N/A,#N/A,FALSE,"Plan2"}</definedName>
    <definedName name="fdgfyhygfuj" localSheetId="2">{#N/A,#N/A,FALSE,"Plan1";#N/A,#N/A,FALSE,"Plan2"}</definedName>
    <definedName name="fdhgfdf" localSheetId="2">{#N/A,#N/A,FALSE,"Plan1";#N/A,#N/A,FALSE,"Plan2"}</definedName>
    <definedName name="fdjfgdfjg" localSheetId="2">{#N/A,#N/A,FALSE,"Plan1";#N/A,#N/A,FALSE,"Plan2"}</definedName>
    <definedName name="fdjghkshtygt" localSheetId="2">{#N/A,#N/A,FALSE,"Plan1";#N/A,#N/A,FALSE,"Plan2"}</definedName>
    <definedName name="fdnhgf" localSheetId="2">{"'Estimativa de Lançamento-JAN'!$A$1:$AI$85"}</definedName>
    <definedName name="fdsf" localSheetId="2">{#N/A,#N/A,FALSE,"Plan1";#N/A,#N/A,FALSE,"Plan2"}</definedName>
    <definedName name="fffff" localSheetId="2">{#N/A,#N/A,FALSE,"Plan1";#N/A,#N/A,FALSE,"Plan2"}</definedName>
    <definedName name="FFFFFFF" localSheetId="2">#REF!</definedName>
    <definedName name="FFTY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2">{#N/A,#N/A,FALSE,"Plan1";#N/A,#N/A,FALSE,"Plan2"}</definedName>
    <definedName name="fgg" localSheetId="2">{"'장비'!$A$3:$M$12"}</definedName>
    <definedName name="fghfh" localSheetId="2">{"'Estimativa de Lançamento-JAN'!$A$1:$AI$85"}</definedName>
    <definedName name="fghgfh" localSheetId="2">{#N/A,#N/A,FALSE,"Plan1";#N/A,#N/A,FALSE,"Plan2"}</definedName>
    <definedName name="FGJHFGK" localSheetId="2">{#N/A,#N/A,FALSE,"Plan1";#N/A,#N/A,FALSE,"Plan2"}</definedName>
    <definedName name="fgktyhdf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2">{#N/A,#N/A,FALSE,"Plan1";#N/A,#N/A,FALSE,"Plan2"}</definedName>
    <definedName name="fhgjfgyt" localSheetId="2">{#N/A,#N/A,FALSE,"Plan1";#N/A,#N/A,FALSE,"Plan2"}</definedName>
    <definedName name="fhgjkhtrfg" localSheetId="2">{#N/A,#N/A,FALSE,"Plan1";#N/A,#N/A,FALSE,"Plan2"}</definedName>
    <definedName name="FHGTGSRSG" localSheetId="2">{#N/A,#N/A,FALSE,"Plan1";#N/A,#N/A,FALSE,"Plan2"}</definedName>
    <definedName name="FIELD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2">{#N/A,#N/A,TRUE,"Quinzena 01 à 15-04-98 "}</definedName>
    <definedName name="fjdhfgjdhtgu" localSheetId="2">{#N/A,#N/A,FALSE,"Plan1";#N/A,#N/A,FALSE,"Plan2"}</definedName>
    <definedName name="fjfjg" localSheetId="2">{#N/A,#N/A,FALSE,"명세표"}</definedName>
    <definedName name="FJGH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2">{#N/A,#N/A,FALSE,"Plan1";#N/A,#N/A,FALSE,"Plan2"}</definedName>
    <definedName name="fjtgfh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2">{#N/A,#N/A,FALSE,"Plan1";#N/A,#N/A,FALSE,"Plan2"}</definedName>
    <definedName name="fl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rçt4r" localSheetId="2">{#N/A,#N/A,FALSE,"Plan1";#N/A,#N/A,FALSE,"Plan2"}</definedName>
    <definedName name="frdtty" localSheetId="2">{#N/A,#N/A,FALSE,"Plan1";#N/A,#N/A,FALSE,"Plan2"}</definedName>
    <definedName name="fsdfsf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2">{#N/A,#N/A,FALSE,"Plan1";#N/A,#N/A,FALSE,"Plan2"}</definedName>
    <definedName name="fxjghkfg" localSheetId="2">{#N/A,#N/A,FALSE,"Plan1";#N/A,#N/A,FALSE,"Plan2"}</definedName>
    <definedName name="galo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2">{#N/A,#N/A,FALSE,"Plan1";#N/A,#N/A,FALSE,"Plan2"}</definedName>
    <definedName name="gbdsjgsjfdgj" localSheetId="2">{#N/A,#N/A,FALSE,"Plan1";#N/A,#N/A,FALSE,"Plan2"}</definedName>
    <definedName name="gdfdhgfjgj" localSheetId="2">{#N/A,#N/A,FALSE,"Plan1";#N/A,#N/A,FALSE,"Plan2"}</definedName>
    <definedName name="gdfgdstggt" localSheetId="2">{#N/A,#N/A,FALSE,"Plan1";#N/A,#N/A,FALSE,"Plan2"}</definedName>
    <definedName name="GDFHGRJGFJDRF" localSheetId="2">{"Econ Consolidado",#N/A,FALSE,"Econ Consol";"Fluxo de Caixa",#N/A,FALSE,"Fluxo Caixa";"Investimentos",#N/A,FALSE,"Investimentos"}</definedName>
    <definedName name="gdfigfhuyuy" localSheetId="2">{#N/A,#N/A,FALSE,"Plan1";#N/A,#N/A,FALSE,"Plan2"}</definedName>
    <definedName name="gdfsgfew" localSheetId="2">{#N/A,#N/A,FALSE,"Plan1";#N/A,#N/A,FALSE,"Plan2"}</definedName>
    <definedName name="gdhfgdhfgf" localSheetId="2">{#N/A,#N/A,FALSE,"Plan1";#N/A,#N/A,FALSE,"Plan2"}</definedName>
    <definedName name="gdsfhefrwrw" localSheetId="2">{#N/A,#N/A,FALSE,"Plan1";#N/A,#N/A,FALSE,"Plan2"}</definedName>
    <definedName name="geshrjhed" localSheetId="2">{#N/A,#N/A,FALSE,"Plan1";#N/A,#N/A,FALSE,"Plan2"}</definedName>
    <definedName name="gfdcgnkf" localSheetId="2">{#N/A,#N/A,FALSE,"Plan1";#N/A,#N/A,FALSE,"Plan2"}</definedName>
    <definedName name="gfdjtgur" localSheetId="2">{#N/A,#N/A,FALSE,"Plan1";#N/A,#N/A,FALSE,"Plan2"}</definedName>
    <definedName name="gfgdhxgfdhf" localSheetId="2">{#N/A,#N/A,FALSE,"Plan1";#N/A,#N/A,FALSE,"Plan2"}</definedName>
    <definedName name="gfhfdtgjb" localSheetId="2">{#N/A,#N/A,FALSE,"Plan1";#N/A,#N/A,FALSE,"Plan2"}</definedName>
    <definedName name="gfjdshrtjhtged" localSheetId="2">{#N/A,#N/A,FALSE,"Plan1";#N/A,#N/A,FALSE,"Plan2"}</definedName>
    <definedName name="gfjgkddgfd" localSheetId="2">{#N/A,#N/A,FALSE,"Plan1";#N/A,#N/A,FALSE,"Plan2"}</definedName>
    <definedName name="gfsghjdgygr" localSheetId="2">{#N/A,#N/A,FALSE,"Plan1";#N/A,#N/A,FALSE,"Plan2"}</definedName>
    <definedName name="gftfy" localSheetId="2">{#N/A,#N/A,FALSE,"Plan1";#N/A,#N/A,FALSE,"Plan2"}</definedName>
    <definedName name="gfty" localSheetId="2">{#N/A,#N/A,FALSE,"Plan1";#N/A,#N/A,FALSE,"Plan2"}</definedName>
    <definedName name="GFUJU9" localSheetId="2">{#N/A,#N/A,FALSE,"Plan1";#N/A,#N/A,FALSE,"Plan2"}</definedName>
    <definedName name="ggg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2">{"'장비'!$A$3:$M$12"}</definedName>
    <definedName name="ggggggggg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2">{"'장비'!$A$3:$M$12"}</definedName>
    <definedName name="ghfgdfrtert" localSheetId="2">{#N/A,#N/A,FALSE,"Plan1";#N/A,#N/A,FALSE,"Plan2"}</definedName>
    <definedName name="ghfhghft" localSheetId="2">{#N/A,#N/A,FALSE,"Plan1";#N/A,#N/A,FALSE,"Plan2"}</definedName>
    <definedName name="ghjg" localSheetId="2">{"'Estimativa de Lançamento-JAN'!$A$1:$AI$85"}</definedName>
    <definedName name="ghkfhgh" localSheetId="2">{#N/A,#N/A,FALSE,"Plan1";#N/A,#N/A,FALSE,"Plan2"}</definedName>
    <definedName name="ghkjh" localSheetId="2">{#N/A,#N/A,FALSE,"ENG'G(보호계전기)"}</definedName>
    <definedName name="GJ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2">{#N/A,#N/A,FALSE,"Plan1";#N/A,#N/A,FALSE,"Plan2"}</definedName>
    <definedName name="GJ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2">{#N/A,#N/A,FALSE,"Plan1";#N/A,#N/A,FALSE,"Plan2"}</definedName>
    <definedName name="glgl" localSheetId="2">{#N/A,#N/A,FALSE,"Plan1";#N/A,#N/A,FALSE,"Plan2"}</definedName>
    <definedName name="global" localSheetId="2">{"'Estimativa de Lançamento-JAN'!$A$1:$AI$85"}</definedName>
    <definedName name="gnfrth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2">{#N/A,#N/A,FALSE,"Plan1";#N/A,#N/A,FALSE,"Plan2"}</definedName>
    <definedName name="GUI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2">{#N/A,#N/A,FALSE,"CCTV"}</definedName>
    <definedName name="hcjfkhdghfktg" localSheetId="2">{#N/A,#N/A,FALSE,"Plan1";#N/A,#N/A,FALSE,"Plan2"}</definedName>
    <definedName name="hddfndgdfg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2">{#N/A,#N/A,FALSE,"Plan1";#N/A,#N/A,FALSE,"Plan2"}</definedName>
    <definedName name="HDFGJKHKFDHTY" localSheetId="2">{#N/A,#N/A,FALSE,"Plan1";#N/A,#N/A,FALSE,"Plan2"}</definedName>
    <definedName name="hdfhdhrtgd" localSheetId="2">{#N/A,#N/A,FALSE,"Plan1";#N/A,#N/A,FALSE,"Plan2"}</definedName>
    <definedName name="hdfhftde" localSheetId="2">{#N/A,#N/A,FALSE,"Plan1";#N/A,#N/A,FALSE,"Plan2"}</definedName>
    <definedName name="hdfhgkdhgtrf" localSheetId="2">{#N/A,#N/A,FALSE,"Plan1";#N/A,#N/A,FALSE,"Plan2"}</definedName>
    <definedName name="hdfjhdkzhgdr" localSheetId="2">{#N/A,#N/A,FALSE,"Plan1";#N/A,#N/A,FALSE,"Plan2"}</definedName>
    <definedName name="hdfjkgvjgtd" localSheetId="2">{#N/A,#N/A,FALSE,"Plan1";#N/A,#N/A,FALSE,"Plan2"}</definedName>
    <definedName name="hdfjkhdhrute" localSheetId="2">{#N/A,#N/A,FALSE,"Plan1";#N/A,#N/A,FALSE,"Plan2"}</definedName>
    <definedName name="HDFKGVF" localSheetId="2">{#N/A,#N/A,FALSE,"Plan1";#N/A,#N/A,FALSE,"Plan2"}</definedName>
    <definedName name="hdgfhdgtdrt" localSheetId="2">{#N/A,#N/A,FALSE,"Plan1";#N/A,#N/A,FALSE,"Plan2"}</definedName>
    <definedName name="hdghgtgtrgd" localSheetId="2">{#N/A,#N/A,FALSE,"Plan1";#N/A,#N/A,FALSE,"Plan2"}</definedName>
    <definedName name="HDHDGHTUHDTG" localSheetId="2">{#N/A,#N/A,FALSE,"Plan1";#N/A,#N/A,FALSE,"Plan2"}</definedName>
    <definedName name="hdhghfthrrhy" localSheetId="2">{#N/A,#N/A,FALSE,"Plan1";#N/A,#N/A,FALSE,"Plan2"}</definedName>
    <definedName name="hdkfjhydjh" localSheetId="2">{#N/A,#N/A,FALSE,"Plan1";#N/A,#N/A,FALSE,"Plan2"}</definedName>
    <definedName name="hdsgfgrrdgr" localSheetId="2">{#N/A,#N/A,FALSE,"Plan1";#N/A,#N/A,FALSE,"Plan2"}</definedName>
    <definedName name="hdtertkkdsa" localSheetId="2">{#N/A,#N/A,FALSE,"Plan1";#N/A,#N/A,FALSE,"Plan2"}</definedName>
    <definedName name="HEDHA" localSheetId="2">{#N/A,#N/A,FALSE,"Plan1";#N/A,#N/A,FALSE,"Plan2"}</definedName>
    <definedName name="heife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2">{#N/A,#N/A,FALSE,"Plan1";#N/A,#N/A,FALSE,"Plan2"}</definedName>
    <definedName name="hersdtretyt" localSheetId="2">{#N/A,#N/A,FALSE,"Plan1";#N/A,#N/A,FALSE,"Plan2"}</definedName>
    <definedName name="HFDJTHTRS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2">{#N/A,#N/A,FALSE,"Plan1";#N/A,#N/A,FALSE,"Plan2"}</definedName>
    <definedName name="hfdkhgkfdhtj" localSheetId="2">{#N/A,#N/A,FALSE,"Plan1";#N/A,#N/A,FALSE,"Plan2"}</definedName>
    <definedName name="hfgfktgkhyt" localSheetId="2">{#N/A,#N/A,FALSE,"Plan1";#N/A,#N/A,FALSE,"Plan2"}</definedName>
    <definedName name="hfghdkhrgkjg" localSheetId="2">{#N/A,#N/A,FALSE,"Plan1";#N/A,#N/A,FALSE,"Plan2"}</definedName>
    <definedName name="hfighfth" localSheetId="2">{#N/A,#N/A,FALSE,"Plan1";#N/A,#N/A,FALSE,"Plan2"}</definedName>
    <definedName name="hfjghtfuyrf" localSheetId="2">{#N/A,#N/A,FALSE,"Plan1";#N/A,#N/A,FALSE,"Plan2"}</definedName>
    <definedName name="HFKJHDJGHFJ" localSheetId="2">{#N/A,#N/A,FALSE,"Plan1";#N/A,#N/A,FALSE,"Plan2"}</definedName>
    <definedName name="hgdesgfgsj" localSheetId="2">{#N/A,#N/A,FALSE,"Plan1";#N/A,#N/A,FALSE,"Plan2"}</definedName>
    <definedName name="hgdgfd" localSheetId="2">{#N/A,#N/A,FALSE,"Plan1";#N/A,#N/A,FALSE,"Plan2"}</definedName>
    <definedName name="hgfhjkdfhj" localSheetId="2">{#N/A,#N/A,FALSE,"Plan1";#N/A,#N/A,FALSE,"Plan2"}</definedName>
    <definedName name="hgg" localSheetId="2">{#N/A,#N/A,FALSE,"Plan1";#N/A,#N/A,FALSE,"Plan2"}</definedName>
    <definedName name="hgjdfgghg" localSheetId="2">{#N/A,#N/A,FALSE,"Plan1";#N/A,#N/A,FALSE,"Plan2"}</definedName>
    <definedName name="hgjkfdhg" localSheetId="2">{#N/A,#N/A,FALSE,"Plan1";#N/A,#N/A,FALSE,"Plan2"}</definedName>
    <definedName name="hgkdfhkfk" localSheetId="2">{#N/A,#N/A,FALSE,"Plan1";#N/A,#N/A,FALSE,"Plan2"}</definedName>
    <definedName name="hgkjhdfhtrdyt" localSheetId="2">{#N/A,#N/A,FALSE,"Plan1";#N/A,#N/A,FALSE,"Plan2"}</definedName>
    <definedName name="hgkjhdfkhgtfhg" localSheetId="2">{#N/A,#N/A,FALSE,"Plan1";#N/A,#N/A,FALSE,"Plan2"}</definedName>
    <definedName name="hgkjhkfhsdkdhgk" localSheetId="2">{#N/A,#N/A,FALSE,"Plan1";#N/A,#N/A,FALSE,"Plan2"}</definedName>
    <definedName name="hgsufgdhghd" localSheetId="2">{#N/A,#N/A,FALSE,"Plan1";#N/A,#N/A,FALSE,"Plan2"}</definedName>
    <definedName name="HHGFHTYUT" localSheetId="2">{#N/A,#N/A,FALSE,"Plan1";#N/A,#N/A,FALSE,"Plan2"}</definedName>
    <definedName name="hhh" localSheetId="2">{"'Total'!$A$1","'Total'!$A$3"}</definedName>
    <definedName name="hik" localSheetId="2">{#N/A,#N/A,FALSE,"TABLE"}</definedName>
    <definedName name="hjdgtjdjxrfg" localSheetId="2">{#N/A,#N/A,FALSE,"Plan1";#N/A,#N/A,FALSE,"Plan2"}</definedName>
    <definedName name="HJFDGD" localSheetId="2">{#N/A,#N/A,FALSE,"Plan1";#N/A,#N/A,FALSE,"Plan2"}</definedName>
    <definedName name="HJGASD" localSheetId="2">{#N/A,#N/A,FALSE,"Plan1";#N/A,#N/A,FALSE,"Plan2"}</definedName>
    <definedName name="HJGFGTFDG" localSheetId="2">{#N/A,#N/A,FALSE,"Plan1";#N/A,#N/A,FALSE,"Plan2"}</definedName>
    <definedName name="hjgfhdsgfhsd" localSheetId="2">{#N/A,#N/A,FALSE,"Plan1";#N/A,#N/A,FALSE,"Plan2"}</definedName>
    <definedName name="hjgxfjgdjyftr" localSheetId="2">{#N/A,#N/A,FALSE,"Plan1";#N/A,#N/A,FALSE,"Plan2"}</definedName>
    <definedName name="hjgyugasd" localSheetId="2">{#N/A,#N/A,FALSE,"Plan1";#N/A,#N/A,FALSE,"Plan2"}</definedName>
    <definedName name="hjjfyfy" localSheetId="2">{#N/A,#N/A,FALSE,"Plan1";#N/A,#N/A,FALSE,"Plan2"}</definedName>
    <definedName name="hjkchkvjhdjkgh" localSheetId="2">{#N/A,#N/A,FALSE,"Plan1";#N/A,#N/A,FALSE,"Plan2"}</definedName>
    <definedName name="hjkfjdyht" localSheetId="2">{#N/A,#N/A,FALSE,"Plan1";#N/A,#N/A,FALSE,"Plan2"}</definedName>
    <definedName name="hjsdffe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2">{#N/A,#N/A,FALSE,"Plan1";#N/A,#N/A,FALSE,"Plan2"}</definedName>
    <definedName name="hjsrdfre" localSheetId="2">{"Econ Consolidado",#N/A,FALSE,"Econ Consol";"Fluxo de Caixa",#N/A,FALSE,"Fluxo Caixa";"Investimentos",#N/A,FALSE,"Investimentos"}</definedName>
    <definedName name="HKewewsr" localSheetId="2">{#N/A,#N/A,FALSE,"Plan1";#N/A,#N/A,FALSE,"Plan2"}</definedName>
    <definedName name="hkhdskacd" localSheetId="2">{#N/A,#N/A,FALSE,"Plan1";#N/A,#N/A,FALSE,"Plan2"}</definedName>
    <definedName name="hkjfgfhgfh" localSheetId="2">{#N/A,#N/A,FALSE,"Plan1";#N/A,#N/A,FALSE,"Plan2"}</definedName>
    <definedName name="hkjfhgjkfhghfg" localSheetId="2">{#N/A,#N/A,FALSE,"Plan1";#N/A,#N/A,FALSE,"Plan2"}</definedName>
    <definedName name="HKLZHFRH" localSheetId="2">{#N/A,#N/A,FALSE,"Plan1";#N/A,#N/A,FALSE,"Plan2"}</definedName>
    <definedName name="ho" localSheetId="2">{#N/A,#N/A,FALSE,"TABLE"}</definedName>
    <definedName name="hrterte" localSheetId="2">{#N/A,#N/A,FALSE,"Plan1";#N/A,#N/A,FALSE,"Plan2"}</definedName>
    <definedName name="hsdf" localSheetId="2">{#N/A,#N/A,FALSE,"Plan1";#N/A,#N/A,FALSE,"Plan2"}</definedName>
    <definedName name="hsdfgdgudrt" localSheetId="2">{#N/A,#N/A,FALSE,"Plan1";#N/A,#N/A,FALSE,"Plan2"}</definedName>
    <definedName name="hsdfjkdhur" localSheetId="2">{#N/A,#N/A,FALSE,"Plan1";#N/A,#N/A,FALSE,"Plan2"}</definedName>
    <definedName name="hsdgftdht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2">{#N/A,#N/A,FALSE,"Plan1";#N/A,#N/A,FALSE,"Plan2"}</definedName>
    <definedName name="hsdjffe" localSheetId="2">{#N/A,#N/A,FALSE,"Plan1";#N/A,#N/A,FALSE,"Plan2"}</definedName>
    <definedName name="HSFIHDTR" localSheetId="2">{"Econ Consolidado",#N/A,FALSE,"Econ Consol";"Fluxo de Caixa",#N/A,FALSE,"Fluxo Caixa";"Investimentos",#N/A,FALSE,"Investimentos"}</definedName>
    <definedName name="hsfjkdshrgf" localSheetId="2">{#N/A,#N/A,FALSE,"Plan1";#N/A,#N/A,FALSE,"Plan2"}</definedName>
    <definedName name="hthhrtetdre" localSheetId="2">{#N/A,#N/A,FALSE,"Plan1";#N/A,#N/A,FALSE,"Plan2"}</definedName>
    <definedName name="HTML_Control" localSheetId="2">{"'장비'!$A$3:$M$12"}</definedName>
    <definedName name="HTML2_CONTROL" localSheetId="2">{"'Estimativa de Lançamento-JAN'!$A$1:$AI$85"}</definedName>
    <definedName name="HTML3_CONTROL" localSheetId="2">{"'Estimativa de Lançamento-JAN'!$A$1:$AI$85"}</definedName>
    <definedName name="HTMLControl" localSheetId="2">{"'Edit'!$A$1:$V$2277"}</definedName>
    <definedName name="HVJKHGKFXHFD" localSheetId="2">{#N/A,#N/A,FALSE,"Plan1";#N/A,#N/A,FALSE,"Plan2"}</definedName>
    <definedName name="hwekjhekhf" localSheetId="2">{#N/A,#N/A,FALSE,"Plan1";#N/A,#N/A,FALSE,"Plan2"}</definedName>
    <definedName name="HXFRE" localSheetId="2">{#N/A,#N/A,FALSE,"Plan1";#N/A,#N/A,FALSE,"Plan2"}</definedName>
    <definedName name="HXKJFGDKHG" localSheetId="2">{#N/A,#N/A,FALSE,"Plan1";#N/A,#N/A,FALSE,"Plan2"}</definedName>
    <definedName name="idfhgkjhfkthy" localSheetId="2">{#N/A,#N/A,FALSE,"Plan1";#N/A,#N/A,FALSE,"Plan2"}</definedName>
    <definedName name="ieroweft" localSheetId="2">{#N/A,#N/A,FALSE,"Plan1";#N/A,#N/A,FALSE,"Plan2"}</definedName>
    <definedName name="iewpotqi5poejy" localSheetId="2">{#N/A,#N/A,FALSE,"Plan1";#N/A,#N/A,FALSE,"Plan2"}</definedName>
    <definedName name="ihdfifguhgfuiyh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2">{#N/A,#N/A,FALSE,"Plan1";#N/A,#N/A,FALSE,"Plan2"}</definedName>
    <definedName name="ihrtetw4r" localSheetId="2">{#N/A,#N/A,FALSE,"Plan1";#N/A,#N/A,FALSE,"Plan2"}</definedName>
    <definedName name="IIASDSAWE" localSheetId="2">{"Econ Consolidado",#N/A,FALSE,"Econ Consol";"Fluxo de Caixa",#N/A,FALSE,"Fluxo Caixa";"Investimentos",#N/A,FALSE,"Investimentos"}</definedName>
    <definedName name="iinstalações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2">{#N/A,#N/A,FALSE,"Plan1";#N/A,#N/A,FALSE,"Plan2"}</definedName>
    <definedName name="ilsdr4wf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2">{"'Edit'!$A$1:$V$2277"}</definedName>
    <definedName name="ioeriotyt" localSheetId="2">{#N/A,#N/A,FALSE,"Plan1";#N/A,#N/A,FALSE,"Plan2"}</definedName>
    <definedName name="iohudtorh" localSheetId="2">{#N/A,#N/A,FALSE,"Plan1";#N/A,#N/A,FALSE,"Plan2"}</definedName>
    <definedName name="iojtkheayed" localSheetId="2">{#N/A,#N/A,FALSE,"Plan1";#N/A,#N/A,FALSE,"Plan2"}</definedName>
    <definedName name="iouweroieuw4" localSheetId="2">{#N/A,#N/A,FALSE,"Plan1";#N/A,#N/A,FALSE,"Plan2"}</definedName>
    <definedName name="iphifpgh" localSheetId="2">{#N/A,#N/A,FALSE,"Plan1";#N/A,#N/A,FALSE,"Plan2"}</definedName>
    <definedName name="ipodsifgpds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2">{#N/A,#N/A,FALSE,"Plan1";#N/A,#N/A,FALSE,"Plan2"}</definedName>
    <definedName name="item_1" localSheetId="2">#REF!</definedName>
    <definedName name="ITEM별상세업무분장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2">{#N/A,#N/A,FALSE,"Plan1";#N/A,#N/A,FALSE,"Plan2"}</definedName>
    <definedName name="iyuyheturtd" localSheetId="2">{#N/A,#N/A,FALSE,"Plan1";#N/A,#N/A,FALSE,"Plan2"}</definedName>
    <definedName name="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2">{#N/A,#N/A,FALSE,"Plan1";#N/A,#N/A,FALSE,"Plan2"}</definedName>
    <definedName name="JASDJS" localSheetId="2">{#N/A,#N/A,FALSE,"Plan1";#N/A,#N/A,FALSE,"Plan2"}</definedName>
    <definedName name="jaskldjlse" localSheetId="2">{#N/A,#N/A,FALSE,"Plan1";#N/A,#N/A,FALSE,"Plan2"}</definedName>
    <definedName name="JASLDKLD" localSheetId="2">{#N/A,#N/A,FALSE,"Plan1";#N/A,#N/A,FALSE,"Plan2"}</definedName>
    <definedName name="JÇDFHDF" localSheetId="2">{"Econ Consolidado",#N/A,FALSE,"Econ Consol";"Fluxo de Caixa",#N/A,FALSE,"Fluxo Caixa";"Investimentos",#N/A,FALSE,"Investimentos"}</definedName>
    <definedName name="jdbgftbhr" localSheetId="2">{#N/A,#N/A,FALSE,"Plan1";#N/A,#N/A,FALSE,"Plan2"}</definedName>
    <definedName name="jdfgldfjgklh" localSheetId="2">{#N/A,#N/A,FALSE,"Plan1";#N/A,#N/A,FALSE,"Plan2"}</definedName>
    <definedName name="jdfhjkdrhjtkg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2">{#N/A,#N/A,FALSE,"Plan1";#N/A,#N/A,FALSE,"Plan2"}</definedName>
    <definedName name="JDFJLDJR" localSheetId="2">{#N/A,#N/A,FALSE,"Plan1";#N/A,#N/A,FALSE,"Plan2"}</definedName>
    <definedName name="jdfkgitfgdrtt" localSheetId="2">{#N/A,#N/A,FALSE,"Plan1";#N/A,#N/A,FALSE,"Plan2"}</definedName>
    <definedName name="JDFKHFKJ" localSheetId="2">{#N/A,#N/A,FALSE,"Plan1";#N/A,#N/A,FALSE,"Plan2"}</definedName>
    <definedName name="jdfklgtdtr" localSheetId="2">{#N/A,#N/A,FALSE,"Plan1";#N/A,#N/A,FALSE,"Plan2"}</definedName>
    <definedName name="JDFKTHRT" localSheetId="2">{#N/A,#N/A,FALSE,"Plan1";#N/A,#N/A,FALSE,"Plan2"}</definedName>
    <definedName name="JDFLKJDRF" localSheetId="2">{#N/A,#N/A,FALSE,"Plan1";#N/A,#N/A,FALSE,"Plan2"}</definedName>
    <definedName name="jdfzlkjgfdht" localSheetId="2">{#N/A,#N/A,FALSE,"Plan1";#N/A,#N/A,FALSE,"Plan2"}</definedName>
    <definedName name="jdglhfghkt" localSheetId="2">{#N/A,#N/A,FALSE,"Plan1";#N/A,#N/A,FALSE,"Plan2"}</definedName>
    <definedName name="jdhfjdhgfd" localSheetId="2">{#N/A,#N/A,FALSE,"Plan1";#N/A,#N/A,FALSE,"Plan2"}</definedName>
    <definedName name="jdjdjdjd" localSheetId="2">{#N/A,#N/A,FALSE,"명세표"}</definedName>
    <definedName name="jdkfhgjhf" localSheetId="2">{#N/A,#N/A,FALSE,"Plan1";#N/A,#N/A,FALSE,"Plan2"}</definedName>
    <definedName name="jdkfjdtr" localSheetId="2">{#N/A,#N/A,FALSE,"Plan1";#N/A,#N/A,FALSE,"Plan2"}</definedName>
    <definedName name="jdljgftldjti5r" localSheetId="2">{#N/A,#N/A,FALSE,"Plan1";#N/A,#N/A,FALSE,"Plan2"}</definedName>
    <definedName name="JDLKJDASGF" localSheetId="2">{#N/A,#N/A,FALSE,"Plan1";#N/A,#N/A,FALSE,"Plan2"}</definedName>
    <definedName name="jdrfkdjfghrtfjg" localSheetId="2">{#N/A,#N/A,FALSE,"Plan1";#N/A,#N/A,FALSE,"Plan2"}</definedName>
    <definedName name="jdskfhdk" localSheetId="2">{#N/A,#N/A,FALSE,"Plan1";#N/A,#N/A,FALSE,"Plan2"}</definedName>
    <definedName name="JDSKLGKDRHGGF" localSheetId="2">{#N/A,#N/A,FALSE,"Plan1";#N/A,#N/A,FALSE,"Plan2"}</definedName>
    <definedName name="jefsgfr" localSheetId="2">{#N/A,#N/A,FALSE,"Plan1";#N/A,#N/A,FALSE,"Plan2"}</definedName>
    <definedName name="JERHIEHYURE" localSheetId="2">{#N/A,#N/A,FALSE,"Plan1";#N/A,#N/A,FALSE,"Plan2"}</definedName>
    <definedName name="jfddlsrtyty" localSheetId="2">{#N/A,#N/A,FALSE,"Plan1";#N/A,#N/A,FALSE,"Plan2"}</definedName>
    <definedName name="jfdjtgdjghitfyh" localSheetId="2">{#N/A,#N/A,FALSE,"Plan1";#N/A,#N/A,FALSE,"Plan2"}</definedName>
    <definedName name="jfdkgkftftg" localSheetId="2">{#N/A,#N/A,FALSE,"Plan1";#N/A,#N/A,FALSE,"Plan2"}</definedName>
    <definedName name="jfghjkfdhtkyru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2">{#N/A,#N/A,FALSE,"Plan1";#N/A,#N/A,FALSE,"Plan2"}</definedName>
    <definedName name="jfgkflcnjkglc" localSheetId="2">{#N/A,#N/A,FALSE,"Plan1";#N/A,#N/A,FALSE,"Plan2"}</definedName>
    <definedName name="JFHRE" localSheetId="2">{#N/A,#N/A,FALSE,"Plan1";#N/A,#N/A,FALSE,"Plan2"}</definedName>
    <definedName name="jfkdls5jtirjd" localSheetId="2">{#N/A,#N/A,FALSE,"Plan1";#N/A,#N/A,FALSE,"Plan2"}</definedName>
    <definedName name="jfkljdkfcj" localSheetId="2">{#N/A,#N/A,FALSE,"Plan1";#N/A,#N/A,FALSE,"Plan2"}</definedName>
    <definedName name="jfkrhdtghdut" localSheetId="2">{#N/A,#N/A,FALSE,"Plan1";#N/A,#N/A,FALSE,"Plan2"}</definedName>
    <definedName name="JFRESR" localSheetId="2">{#N/A,#N/A,FALSE,"Plan1";#N/A,#N/A,FALSE,"Plan2"}</definedName>
    <definedName name="jgdfdgfjgdj" localSheetId="2">{#N/A,#N/A,FALSE,"Plan1";#N/A,#N/A,FALSE,"Plan2"}</definedName>
    <definedName name="jgdfght" localSheetId="2">{#N/A,#N/A,FALSE,"Plan1";#N/A,#N/A,FALSE,"Plan2"}</definedName>
    <definedName name="jgfgdsgfdhrf" localSheetId="2">{#N/A,#N/A,FALSE,"Plan1";#N/A,#N/A,FALSE,"Plan2"}</definedName>
    <definedName name="JGFJGTFT" localSheetId="2">{#N/A,#N/A,FALSE,"Plan1";#N/A,#N/A,FALSE,"Plan2"}</definedName>
    <definedName name="jgkjkhjuftgi" localSheetId="2">{#N/A,#N/A,FALSE,"Plan1";#N/A,#N/A,FALSE,"Plan2"}</definedName>
    <definedName name="jh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2">{#N/A,#N/A,FALSE,"Plan1";#N/A,#N/A,FALSE,"Plan2"}</definedName>
    <definedName name="jhdfjkhtrdhf" localSheetId="2">{#N/A,#N/A,FALSE,"Plan1";#N/A,#N/A,FALSE,"Plan2"}</definedName>
    <definedName name="jhdfuthr" localSheetId="2">{#N/A,#N/A,FALSE,"Plan1";#N/A,#N/A,FALSE,"Plan2"}</definedName>
    <definedName name="JHDFZGRDHF" localSheetId="2">{"Econ Consolidado",#N/A,FALSE,"Econ Consol";"Fluxo de Caixa",#N/A,FALSE,"Fluxo Caixa";"Investimentos",#N/A,FALSE,"Investimentos"}</definedName>
    <definedName name="JHERKHKFGH" localSheetId="2">{#N/A,#N/A,FALSE,"Plan1";#N/A,#N/A,FALSE,"Plan2"}</definedName>
    <definedName name="JHGKJFJFJGL" localSheetId="2">{#N/A,#N/A,FALSE,"Plan1";#N/A,#N/A,FALSE,"Plan2"}</definedName>
    <definedName name="jhsdjkhfuks" localSheetId="2">{#N/A,#N/A,FALSE,"Plan1";#N/A,#N/A,FALSE,"Plan2"}</definedName>
    <definedName name="jisdrkje" localSheetId="2">{#N/A,#N/A,FALSE,"Plan1";#N/A,#N/A,FALSE,"Plan2"}</definedName>
    <definedName name="jishfrieyhtau" localSheetId="2">{#N/A,#N/A,FALSE,"Plan1";#N/A,#N/A,FALSE,"Plan2"}</definedName>
    <definedName name="jiu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2">{"'Apr-00'!$B$4:$AD$44"}</definedName>
    <definedName name="jjfdsktyhhy" localSheetId="2">{#N/A,#N/A,FALSE,"Plan1";#N/A,#N/A,FALSE,"Plan2"}</definedName>
    <definedName name="jjkjkjk" localSheetId="2">{#N/A,#N/A,FALSE,"Plan1";#N/A,#N/A,FALSE,"Plan2"}</definedName>
    <definedName name="JKDCK" localSheetId="2">{#N/A,#N/A,FALSE,"Plan1";#N/A,#N/A,FALSE,"Plan2"}</definedName>
    <definedName name="JKDFHKHFR" localSheetId="2">{#N/A,#N/A,FALSE,"Plan1";#N/A,#N/A,FALSE,"Plan2"}</definedName>
    <definedName name="JKDFTRDRJ" localSheetId="2">{#N/A,#N/A,FALSE,"Plan1";#N/A,#N/A,FALSE,"Plan2"}</definedName>
    <definedName name="jkdhfukhddf" localSheetId="2">{#N/A,#N/A,FALSE,"Plan1";#N/A,#N/A,FALSE,"Plan2"}</definedName>
    <definedName name="JKDRKGJHTDR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2">{#N/A,#N/A,FALSE,"Plan1";#N/A,#N/A,FALSE,"Plan2"}</definedName>
    <definedName name="jkfhjgkfhghh" localSheetId="2">{#N/A,#N/A,FALSE,"Plan1";#N/A,#N/A,FALSE,"Plan2"}</definedName>
    <definedName name="jkhderjkhes" localSheetId="2">{#N/A,#N/A,FALSE,"Plan1";#N/A,#N/A,FALSE,"Plan2"}</definedName>
    <definedName name="jkhdfhfd" localSheetId="2">{#N/A,#N/A,FALSE,"Plan1";#N/A,#N/A,FALSE,"Plan2"}</definedName>
    <definedName name="jkhfhest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2">{#N/A,#N/A,FALSE,"Plan1";#N/A,#N/A,FALSE,"Plan2"}</definedName>
    <definedName name="JKHGDHFUHTG" localSheetId="2">{#N/A,#N/A,FALSE,"Plan1";#N/A,#N/A,FALSE,"Plan2"}</definedName>
    <definedName name="jkhsdzjkfyiu" localSheetId="2">{#N/A,#N/A,FALSE,"Plan1";#N/A,#N/A,FALSE,"Plan2"}</definedName>
    <definedName name="jkjsdkhfdhrf" localSheetId="2">{#N/A,#N/A,FALSE,"Plan1";#N/A,#N/A,FALSE,"Plan2"}</definedName>
    <definedName name="jklgfsjgtjtg" localSheetId="2">{#N/A,#N/A,FALSE,"Plan1";#N/A,#N/A,FALSE,"Plan2"}</definedName>
    <definedName name="jksldfjsdhf" localSheetId="2">{#N/A,#N/A,FALSE,"Plan1";#N/A,#N/A,FALSE,"Plan2"}</definedName>
    <definedName name="jkxhcjkhfr" localSheetId="2">{#N/A,#N/A,FALSE,"Plan1";#N/A,#N/A,FALSE,"Plan2"}</definedName>
    <definedName name="JNGCKFKJFGH" localSheetId="2">{#N/A,#N/A,FALSE,"Plan1";#N/A,#N/A,FALSE,"Plan2"}</definedName>
    <definedName name="JREJRW" localSheetId="2">{#N/A,#N/A,FALSE,"Plan1";#N/A,#N/A,FALSE,"Plan2"}</definedName>
    <definedName name="JSADKAH" localSheetId="2">{"Econ Consolidado",#N/A,FALSE,"Econ Consol";"Fluxo de Caixa",#N/A,FALSE,"Fluxo Caixa";"Investimentos",#N/A,FALSE,"Investimentos"}</definedName>
    <definedName name="JSDAJRE" localSheetId="2">{#N/A,#N/A,FALSE,"Plan1";#N/A,#N/A,FALSE,"Plan2"}</definedName>
    <definedName name="jsdffse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2">{#N/A,#N/A,FALSE,"Plan1";#N/A,#N/A,FALSE,"Plan2"}</definedName>
    <definedName name="jsdfsdfd" localSheetId="2">{#N/A,#N/A,FALSE,"Plan1";#N/A,#N/A,FALSE,"Plan2"}</definedName>
    <definedName name="jsdljficd" localSheetId="2">{#N/A,#N/A,FALSE,"Plan1";#N/A,#N/A,FALSE,"Plan2"}</definedName>
    <definedName name="JSDTLFJDRG" localSheetId="2">{#N/A,#N/A,FALSE,"Plan1";#N/A,#N/A,FALSE,"Plan2"}</definedName>
    <definedName name="jsfjsjferwea" localSheetId="2">{#N/A,#N/A,FALSE,"Plan1";#N/A,#N/A,FALSE,"Plan2"}</definedName>
    <definedName name="jslrjer" localSheetId="2">{#N/A,#N/A,FALSE,"Plan1";#N/A,#N/A,FALSE,"Plan2"}</definedName>
    <definedName name="juklhkhdf" localSheetId="2">{#N/A,#N/A,FALSE,"Plan1";#N/A,#N/A,FALSE,"Plan2"}</definedName>
    <definedName name="JULHO99" localSheetId="2">{#N/A,#N/A,TRUE,"Quinzena 01 à 15-04-98 "}</definedName>
    <definedName name="jwekljd" localSheetId="2">{#N/A,#N/A,FALSE,"Plan1";#N/A,#N/A,FALSE,"Plan2"}</definedName>
    <definedName name="JWEOITORU5Y" localSheetId="2">{#N/A,#N/A,FALSE,"Plan1";#N/A,#N/A,FALSE,"Plan2"}</definedName>
    <definedName name="jxdfjsrf" localSheetId="2">{#N/A,#N/A,FALSE,"Plan1";#N/A,#N/A,FALSE,"Plan2"}</definedName>
    <definedName name="jxdklfjv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2">{#N/A,#N/A,FALSE,"Plan1";#N/A,#N/A,FALSE,"Plan2"}</definedName>
    <definedName name="JZXFKLJLDJF" localSheetId="2">{#N/A,#N/A,FALSE,"Plan1";#N/A,#N/A,FALSE,"Plan2"}</definedName>
    <definedName name="jzxklfdlvgfg" localSheetId="2">{#N/A,#N/A,FALSE,"Plan1";#N/A,#N/A,FALSE,"Plan2"}</definedName>
    <definedName name="k" localSheetId="2">{#N/A,#N/A,FALSE,"Plan1";#N/A,#N/A,FALSE,"Plan2"}</definedName>
    <definedName name="kaedkroswr" localSheetId="2">{"Econ Consolidado",#N/A,FALSE,"Econ Consol";"Fluxo de Caixa",#N/A,FALSE,"Fluxo Caixa";"Investimentos",#N/A,FALSE,"Investimentos"}</definedName>
    <definedName name="kç\lKçaksdçaqew" localSheetId="2" hidden="1">{#N/A,#N/A,FALSE,"Plan1";#N/A,#N/A,FALSE,"Plan2"}</definedName>
    <definedName name="kçdasekr" localSheetId="2">{#N/A,#N/A,FALSE,"Plan1";#N/A,#N/A,FALSE,"Plan2"}</definedName>
    <definedName name="kçfdljtredr" localSheetId="2">{#N/A,#N/A,FALSE,"Plan1";#N/A,#N/A,FALSE,"Plan2"}</definedName>
    <definedName name="kclçkglf" localSheetId="2">{#N/A,#N/A,FALSE,"Plan1";#N/A,#N/A,FALSE,"Plan2"}</definedName>
    <definedName name="kçlkasçkere" localSheetId="2">{#N/A,#N/A,FALSE,"Plan1";#N/A,#N/A,FALSE,"Plan2"}</definedName>
    <definedName name="kdfbngtjkbf" localSheetId="2">{#N/A,#N/A,FALSE,"Plan1";#N/A,#N/A,FALSE,"Plan2"}</definedName>
    <definedName name="kdfhkghkrh" localSheetId="2">{#N/A,#N/A,FALSE,"Plan1";#N/A,#N/A,FALSE,"Plan2"}</definedName>
    <definedName name="kdfiere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2">{#N/A,#N/A,FALSE,"Plan1";#N/A,#N/A,FALSE,"Plan2"}</definedName>
    <definedName name="kdfljlfr" localSheetId="2">{#N/A,#N/A,FALSE,"Plan1";#N/A,#N/A,FALSE,"Plan2"}</definedName>
    <definedName name="kdhfgkdfhytgu" localSheetId="2">{#N/A,#N/A,FALSE,"Plan1";#N/A,#N/A,FALSE,"Plan2"}</definedName>
    <definedName name="kdhgftfg" localSheetId="2">{#N/A,#N/A,FALSE,"Plan1";#N/A,#N/A,FALSE,"Plan2"}</definedName>
    <definedName name="KDHKFGKKHGF" localSheetId="2">{#N/A,#N/A,FALSE,"Plan1";#N/A,#N/A,FALSE,"Plan2"}</definedName>
    <definedName name="kdjgkfjgd" localSheetId="2">{#N/A,#N/A,FALSE,"Plan1";#N/A,#N/A,FALSE,"Plan2"}</definedName>
    <definedName name="kdjglkdlgjd" localSheetId="2">{#N/A,#N/A,FALSE,"Plan1";#N/A,#N/A,FALSE,"Plan2"}</definedName>
    <definedName name="kdjsfkldjgkty" localSheetId="2">{#N/A,#N/A,FALSE,"Plan1";#N/A,#N/A,FALSE,"Plan2"}</definedName>
    <definedName name="KDJU" localSheetId="2">{"'장비'!$A$3:$M$12"}</definedName>
    <definedName name="kdkjhgdkfhjk" localSheetId="2">{#N/A,#N/A,FALSE,"Plan1";#N/A,#N/A,FALSE,"Plan2"}</definedName>
    <definedName name="kdsf" localSheetId="2">{#N/A,#N/A,FALSE,"Plan1";#N/A,#N/A,FALSE,"Plan2"}</definedName>
    <definedName name="kdsr" localSheetId="2">{#N/A,#N/A,FALSE,"Plan1";#N/A,#N/A,FALSE,"Plan2"}</definedName>
    <definedName name="kergtfdstr" localSheetId="2">{#N/A,#N/A,FALSE,"Plan1";#N/A,#N/A,FALSE,"Plan2"}</definedName>
    <definedName name="KFDKTHGT" localSheetId="2">{#N/A,#N/A,FALSE,"Plan1";#N/A,#N/A,FALSE,"Plan2"}</definedName>
    <definedName name="kfdxlfdzs" localSheetId="2">{"Econ Consolidado",#N/A,FALSE,"Econ Consol";"Fluxo de Caixa",#N/A,FALSE,"Fluxo Caixa";"Investimentos",#N/A,FALSE,"Investimentos"}</definedName>
    <definedName name="kfgkhjkjhy" localSheetId="2">{#N/A,#N/A,FALSE,"Plan1";#N/A,#N/A,FALSE,"Plan2"}</definedName>
    <definedName name="KFJFDSDF" localSheetId="2">{#N/A,#N/A,FALSE,"Plan1";#N/A,#N/A,FALSE,"Plan2"}</definedName>
    <definedName name="kfnkeasd" localSheetId="2">{#N/A,#N/A,FALSE,"Plan1";#N/A,#N/A,FALSE,"Plan2"}</definedName>
    <definedName name="khdjkfkjhtg" localSheetId="2">{#N/A,#N/A,FALSE,"Plan1";#N/A,#N/A,FALSE,"Plan2"}</definedName>
    <definedName name="khdkfjhhfsdg" localSheetId="2">{#N/A,#N/A,FALSE,"Plan1";#N/A,#N/A,FALSE,"Plan2"}</definedName>
    <definedName name="khdkjfhgudytu" localSheetId="2">{#N/A,#N/A,FALSE,"Plan1";#N/A,#N/A,FALSE,"Plan2"}</definedName>
    <definedName name="khfdghhhgd" localSheetId="2">{#N/A,#N/A,FALSE,"Plan1";#N/A,#N/A,FALSE,"Plan2"}</definedName>
    <definedName name="khfdkjhsdjf" localSheetId="2">{#N/A,#N/A,FALSE,"Plan1";#N/A,#N/A,FALSE,"Plan2"}</definedName>
    <definedName name="khgdkftfy" localSheetId="2">{#N/A,#N/A,FALSE,"Plan1";#N/A,#N/A,FALSE,"Plan2"}</definedName>
    <definedName name="khgfhhtuhf" localSheetId="2">{#N/A,#N/A,FALSE,"Plan1";#N/A,#N/A,FALSE,"Plan2"}</definedName>
    <definedName name="khjkh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2">{#N/A,#N/A,FALSE,"Plan1";#N/A,#N/A,FALSE,"Plan2"}</definedName>
    <definedName name="kieret" localSheetId="2">{#N/A,#N/A,FALSE,"Plan1";#N/A,#N/A,FALSE,"Plan2"}</definedName>
    <definedName name="kjchkfhsezk" localSheetId="2">{#N/A,#N/A,FALSE,"Plan1";#N/A,#N/A,FALSE,"Plan2"}</definedName>
    <definedName name="kjdghksef" localSheetId="2">{#N/A,#N/A,FALSE,"Plan1";#N/A,#N/A,FALSE,"Plan2"}</definedName>
    <definedName name="kjdkftyhtert" localSheetId="2">{#N/A,#N/A,FALSE,"Plan1";#N/A,#N/A,FALSE,"Plan2"}</definedName>
    <definedName name="kjdlfkjds" localSheetId="2">{#N/A,#N/A,FALSE,"Plan1";#N/A,#N/A,FALSE,"Plan2"}</definedName>
    <definedName name="kjdzhfytrfy" localSheetId="2">{#N/A,#N/A,FALSE,"Plan1";#N/A,#N/A,FALSE,"Plan2"}</definedName>
    <definedName name="kjhdfgjthdft" localSheetId="2">{#N/A,#N/A,FALSE,"Plan1";#N/A,#N/A,FALSE,"Plan2"}</definedName>
    <definedName name="kjhsdfk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2">{#N/A,#N/A,FALSE,"Plan1";#N/A,#N/A,FALSE,"Plan2"}</definedName>
    <definedName name="KJ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2">{#N/A,#N/A,FALSE,"Plan1";#N/A,#N/A,FALSE,"Plan2"}</definedName>
    <definedName name="kjl" localSheetId="2">{#N/A,#N/A,FALSE,"ENG'G(보호계전기)"}</definedName>
    <definedName name="KJOI" localSheetId="2">{#N/A,#N/A,FALSE,"Plan1";#N/A,#N/A,FALSE,"Plan2"}</definedName>
    <definedName name="kjqwerw" localSheetId="2">{#N/A,#N/A,FALSE,"Plan1";#N/A,#N/A,FALSE,"Plan2"}</definedName>
    <definedName name="kjsfert" localSheetId="2">{#N/A,#N/A,FALSE,"Plan1";#N/A,#N/A,FALSE,"Plan2"}</definedName>
    <definedName name="KJXCFKR" localSheetId="2">{#N/A,#N/A,FALSE,"Plan1";#N/A,#N/A,FALSE,"Plan2"}</definedName>
    <definedName name="KJXDFD" localSheetId="2">{#N/A,#N/A,FALSE,"Plan1";#N/A,#N/A,FALSE,"Plan2"}</definedName>
    <definedName name="kk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2">{#N/A,#N/A,FALSE,"Plan1";#N/A,#N/A,FALSE,"Plan2"}</definedName>
    <definedName name="kkkkk" localSheetId="2">{#N/A,#N/A,FALSE,"Plan1";#N/A,#N/A,FALSE,"Plan2"}</definedName>
    <definedName name="kkkkkk" localSheetId="2">{#N/A,#N/A,FALSE,"Plan1";#N/A,#N/A,FALSE,"Plan2"}</definedName>
    <definedName name="kko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2">{#N/A,#N/A,FALSE,"Plan1";#N/A,#N/A,FALSE,"Plan2"}</definedName>
    <definedName name="kksarde" localSheetId="2">{#N/A,#N/A,FALSE,"Plan1";#N/A,#N/A,FALSE,"Plan2"}</definedName>
    <definedName name="klaskldjsw" localSheetId="2">{#N/A,#N/A,FALSE,"Plan1";#N/A,#N/A,FALSE,"Plan2"}</definedName>
    <definedName name="klçkop" localSheetId="2">{#N/A,#N/A,FALSE,"Plan1";#N/A,#N/A,FALSE,"Plan2"}</definedName>
    <definedName name="KLDFNTRDT" localSheetId="2">{#N/A,#N/A,FALSE,"Plan1";#N/A,#N/A,FALSE,"Plan2"}</definedName>
    <definedName name="klhjsdklhdf" localSheetId="2">{#N/A,#N/A,FALSE,"Plan1";#N/A,#N/A,FALSE,"Plan2"}</definedName>
    <definedName name="KLHSKLRHWE" localSheetId="2">{#N/A,#N/A,FALSE,"Plan1";#N/A,#N/A,FALSE,"Plan2"}</definedName>
    <definedName name="KLJASKJD" localSheetId="2">{#N/A,#N/A,FALSE,"Plan1";#N/A,#N/A,FALSE,"Plan2"}</definedName>
    <definedName name="KLJDXLG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2">{#N/A,#N/A,FALSE,"Plan1";#N/A,#N/A,FALSE,"Plan2"}</definedName>
    <definedName name="kljflgjrf" localSheetId="2">{#N/A,#N/A,FALSE,"Plan1";#N/A,#N/A,FALSE,"Plan2"}</definedName>
    <definedName name="kljgfdfr" localSheetId="2">{#N/A,#N/A,FALSE,"Plan1";#N/A,#N/A,FALSE,"Plan2"}</definedName>
    <definedName name="kljgfjrt" localSheetId="2">{#N/A,#N/A,FALSE,"Plan1";#N/A,#N/A,FALSE,"Plan2"}</definedName>
    <definedName name="kljlkdfj" localSheetId="2">{#N/A,#N/A,FALSE,"Plan1";#N/A,#N/A,FALSE,"Plan2"}</definedName>
    <definedName name="kljsakjfr" localSheetId="2">{#N/A,#N/A,FALSE,"Plan1";#N/A,#N/A,FALSE,"Plan2"}</definedName>
    <definedName name="kljsdje" localSheetId="2">{#N/A,#N/A,FALSE,"Plan1";#N/A,#N/A,FALSE,"Plan2"}</definedName>
    <definedName name="kljsfwe" localSheetId="2">{#N/A,#N/A,FALSE,"Plan1";#N/A,#N/A,FALSE,"Plan2"}</definedName>
    <definedName name="klk" localSheetId="2">{#N/A,#N/A,FALSE,"Plan1";#N/A,#N/A,FALSE,"Plan2"}</definedName>
    <definedName name="KLKKLKÇJÇ" localSheetId="2">{#N/A,#N/A,FALSE,"Plan1";#N/A,#N/A,FALSE,"Plan2"}</definedName>
    <definedName name="KLSDFT" localSheetId="2">{#N/A,#N/A,FALSE,"Plan1";#N/A,#N/A,FALSE,"Plan2"}</definedName>
    <definedName name="KLSDHSJKHF" localSheetId="2">{#N/A,#N/A,FALSE,"Plan1";#N/A,#N/A,FALSE,"Plan2"}</definedName>
    <definedName name="klsdkre" localSheetId="2">{#N/A,#N/A,FALSE,"Plan1";#N/A,#N/A,FALSE,"Plan2"}</definedName>
    <definedName name="KLSIDJE" localSheetId="2">{#N/A,#N/A,FALSE,"Plan1";#N/A,#N/A,FALSE,"Plan2"}</definedName>
    <definedName name="klsjarsf" localSheetId="2">{#N/A,#N/A,FALSE,"Plan1";#N/A,#N/A,FALSE,"Plan2"}</definedName>
    <definedName name="klxhjfdkhser" localSheetId="2">{#N/A,#N/A,FALSE,"Plan1";#N/A,#N/A,FALSE,"Plan2"}</definedName>
    <definedName name="kopipnsdfne" localSheetId="2">{#N/A,#N/A,FALSE,"Plan1";#N/A,#N/A,FALSE,"Plan2"}</definedName>
    <definedName name="kp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2">{#N/A,#N/A,FALSE,"Plan1";#N/A,#N/A,FALSE,"Plan2"}</definedName>
    <definedName name="ksdlkfsçzd" localSheetId="2">{#N/A,#N/A,FALSE,"Plan1";#N/A,#N/A,FALSE,"Plan2"}</definedName>
    <definedName name="ksdoçierfe" localSheetId="2">{#N/A,#N/A,FALSE,"Plan1";#N/A,#N/A,FALSE,"Plan2"}</definedName>
    <definedName name="ksdtrdrkf" localSheetId="2">{#N/A,#N/A,FALSE,"Plan1";#N/A,#N/A,FALSE,"Plan2"}</definedName>
    <definedName name="KSFÇJDFJL" localSheetId="2">{#N/A,#N/A,FALSE,"Plan1";#N/A,#N/A,FALSE,"Plan2"}</definedName>
    <definedName name="ksfhse" localSheetId="2">{#N/A,#N/A,FALSE,"Plan1";#N/A,#N/A,FALSE,"Plan2"}</definedName>
    <definedName name="KSRKOE" localSheetId="2">{#N/A,#N/A,FALSE,"Plan1";#N/A,#N/A,FALSE,"Plan2"}</definedName>
    <definedName name="KSWKE" localSheetId="2">{#N/A,#N/A,FALSE,"Plan1";#N/A,#N/A,FALSE,"Plan2"}</definedName>
    <definedName name="kysdusf" localSheetId="2">{#N/A,#N/A,FALSE,"Plan1";#N/A,#N/A,FALSE,"Plan2"}</definedName>
    <definedName name="kzslçdkçle" localSheetId="2">{#N/A,#N/A,FALSE,"Plan1";#N/A,#N/A,FALSE,"Plan2"}</definedName>
    <definedName name="LAEKWRK" localSheetId="2">{#N/A,#N/A,FALSE,"Plan1";#N/A,#N/A,FALSE,"Plan2"}</definedName>
    <definedName name="LAKDEWRF" localSheetId="2">{#N/A,#N/A,FALSE,"Plan1";#N/A,#N/A,FALSE,"Plan2"}</definedName>
    <definedName name="LASÇDSRLF" localSheetId="2">{#N/A,#N/A,FALSE,"Plan1";#N/A,#N/A,FALSE,"Plan2"}</definedName>
    <definedName name="lasrlswer" localSheetId="2">{#N/A,#N/A,FALSE,"Plan1";#N/A,#N/A,FALSE,"Plan2"}</definedName>
    <definedName name="lçadple4r" localSheetId="2">{#N/A,#N/A,FALSE,"Plan1";#N/A,#N/A,FALSE,"Plan2"}</definedName>
    <definedName name="lçasser" localSheetId="2">{#N/A,#N/A,FALSE,"Plan1";#N/A,#N/A,FALSE,"Plan2"}</definedName>
    <definedName name="lcdgjtklfrn" localSheetId="2">{#N/A,#N/A,FALSE,"Plan1";#N/A,#N/A,FALSE,"Plan2"}</definedName>
    <definedName name="lçfklsdkçaer" localSheetId="2">{#N/A,#N/A,FALSE,"Plan1";#N/A,#N/A,FALSE,"Plan2"}</definedName>
    <definedName name="lçjkgf" localSheetId="2">{#N/A,#N/A,FALSE,"Plan1";#N/A,#N/A,FALSE,"Plan2"}</definedName>
    <definedName name="LÇJSLDFJ" localSheetId="2">{#N/A,#N/A,FALSE,"Plan1";#N/A,#N/A,FALSE,"Plan2"}</definedName>
    <definedName name="LÇKÇSDRLK" localSheetId="2">{#N/A,#N/A,FALSE,"Plan1";#N/A,#N/A,FALSE,"Plan2"}</definedName>
    <definedName name="lçkl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2">{#N/A,#N/A,FALSE,"Plan1";#N/A,#N/A,FALSE,"Plan2"}</definedName>
    <definedName name="lçslrr4r" localSheetId="2">{#N/A,#N/A,FALSE,"Plan1";#N/A,#N/A,FALSE,"Plan2"}</definedName>
    <definedName name="ldfjgry" localSheetId="2">{#N/A,#N/A,FALSE,"Plan1";#N/A,#N/A,FALSE,"Plan2"}</definedName>
    <definedName name="ldfjgtilrf" localSheetId="2">{#N/A,#N/A,FALSE,"Plan1";#N/A,#N/A,FALSE,"Plan2"}</definedName>
    <definedName name="ldk" localSheetId="2">{#N/A,#N/A,FALSE,"Plan1";#N/A,#N/A,FALSE,"Plan2"}</definedName>
    <definedName name="ldkgkdfjgkh" localSheetId="2">{#N/A,#N/A,FALSE,"Plan1";#N/A,#N/A,FALSE,"Plan2"}</definedName>
    <definedName name="LDTJGR" localSheetId="2">{#N/A,#N/A,FALSE,"Plan1";#N/A,#N/A,FALSE,"Plan2"}</definedName>
    <definedName name="LEKG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2">{#N/A,#N/A,FALSE,"Plan1";#N/A,#N/A,FALSE,"Plan2"}</definedName>
    <definedName name="lidfjgklruf" localSheetId="2">{#N/A,#N/A,FALSE,"Plan1";#N/A,#N/A,FALSE,"Plan2"}</definedName>
    <definedName name="list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2">{#N/A,#N/A,FALSE,"Plan1";#N/A,#N/A,FALSE,"Plan2"}</definedName>
    <definedName name="LJDFLJRL" localSheetId="2">{#N/A,#N/A,FALSE,"Plan1";#N/A,#N/A,FALSE,"Plan2"}</definedName>
    <definedName name="ljsdfrd" localSheetId="2">{#N/A,#N/A,FALSE,"Plan1";#N/A,#N/A,FALSE,"Plan2"}</definedName>
    <definedName name="LK" localSheetId="2">{#N/A,#N/A,TRUE,"Quinzena 01 à 15-04-98 "}</definedName>
    <definedName name="lkasdkeo" localSheetId="2">{#N/A,#N/A,FALSE,"Plan1";#N/A,#N/A,FALSE,"Plan2"}</definedName>
    <definedName name="lkdeas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2">{#N/A,#N/A,FALSE,"Plan1";#N/A,#N/A,FALSE,"Plan2"}</definedName>
    <definedName name="lkfdkçtktr" localSheetId="2">{#N/A,#N/A,FALSE,"Plan1";#N/A,#N/A,FALSE,"Plan2"}</definedName>
    <definedName name="LKSSDKÇ\E" localSheetId="2" hidden="1">{#N/A,#N/A,FALSE,"Plan1";#N/A,#N/A,FALSE,"Plan2"}</definedName>
    <definedName name="lkt" localSheetId="2">{#N/A,#N/A,FALSE,"Plan1";#N/A,#N/A,FALSE,"Plan2"}</definedName>
    <definedName name="lktlyklt" localSheetId="2">{#N/A,#N/A,FALSE,"Plan1";#N/A,#N/A,FALSE,"Plan2"}</definedName>
    <definedName name="LKTTYT" localSheetId="2">{#N/A,#N/A,FALSE,"Plan1";#N/A,#N/A,FALSE,"Plan2"}</definedName>
    <definedName name="llgg" localSheetId="2">{#N/A,#N/A,FALSE,"Plan1";#N/A,#N/A,FALSE,"Plan2"}</definedName>
    <definedName name="LLL" localSheetId="2">{#N/A,#N/A,FALSE,"Plan1";#N/A,#N/A,FALSE,"Plan2"}</definedName>
    <definedName name="LM_AR" localSheetId="2">{#N/A,#N/A,FALSE,"F-01"}</definedName>
    <definedName name="LM_AT" localSheetId="2">{#N/A,#N/A,FALSE,"F-01"}</definedName>
    <definedName name="LM_INC" localSheetId="2">{#N/A,#N/A,FALSE,"F-01"}</definedName>
    <definedName name="LMPAS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" localSheetId="2">#REF!</definedName>
    <definedName name="LSDFKLDKFTR" localSheetId="2">{#N/A,#N/A,FALSE,"Plan1";#N/A,#N/A,FALSE,"Plan2"}</definedName>
    <definedName name="lsdjse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2">{#N/A,#N/A,FALSE,"Plan1";#N/A,#N/A,FALSE,"Plan2"}</definedName>
    <definedName name="lsdsder" localSheetId="2">{#N/A,#N/A,FALSE,"Plan1";#N/A,#N/A,FALSE,"Plan2"}</definedName>
    <definedName name="ltj6ljyhdjhngças" localSheetId="2">{#N/A,#N/A,FALSE,"Plan1";#N/A,#N/A,FALSE,"Plan2"}</definedName>
    <definedName name="m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2">{#N/A,#N/A,FALSE,"Plan1";#N/A,#N/A,FALSE,"Plan2"}</definedName>
    <definedName name="MANTO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2">{#N/A,#N/A,FALSE,"Plan1";#N/A,#N/A,FALSE,"Plan2"}</definedName>
    <definedName name="MC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2">{#N/A,#N/A,FALSE,"Plan1";#N/A,#N/A,FALSE,"Plan2"}</definedName>
    <definedName name="MDSÇLFJKJSD" localSheetId="2">{#N/A,#N/A,FALSE,"Plan1";#N/A,#N/A,FALSE,"Plan2"}</definedName>
    <definedName name="ME" localSheetId="2">{"HW",#N/A,FALSE,"1998"}</definedName>
    <definedName name="MENU" localSheetId="2">#REF!</definedName>
    <definedName name="MENU1" localSheetId="2">#REF!</definedName>
    <definedName name="MENU2" localSheetId="2">#REF!</definedName>
    <definedName name="MENU3" localSheetId="2">#REF!</definedName>
    <definedName name="MENU4" localSheetId="2">#REF!</definedName>
    <definedName name="MENU5" localSheetId="2">#REF!</definedName>
    <definedName name="MENU6" localSheetId="2">#REF!</definedName>
    <definedName name="MESTRE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2">{#N/A,#N/A,FALSE,"Plan1";#N/A,#N/A,FALSE,"Plan2"}</definedName>
    <definedName name="MM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2">{"tabela",#N/A,FALSE,"Tabela";"decoração",#N/A,FALSE,"Decor.";"Informações",#N/A,FALSE,"Inform."}</definedName>
    <definedName name="mmmmmmm" localSheetId="2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MNBXFKGS" localSheetId="2">{#N/A,#N/A,FALSE,"Plan1";#N/A,#N/A,FALSE,"Plan2"}</definedName>
    <definedName name="mncvbgcvmc" localSheetId="2">{#N/A,#N/A,FALSE,"Plan1";#N/A,#N/A,FALSE,"Plan2"}</definedName>
    <definedName name="MNDKZSFNCEA" localSheetId="2">{#N/A,#N/A,FALSE,"Plan1";#N/A,#N/A,FALSE,"Plan2"}</definedName>
    <definedName name="mnhdshfgfhd" localSheetId="2">{#N/A,#N/A,FALSE,"Plan1";#N/A,#N/A,FALSE,"Plan2"}</definedName>
    <definedName name="mo" localSheetId="2">#REF!</definedName>
    <definedName name="mobra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2">{#N/A,#N/A,FALSE,"cdi";#N/A,#N/A,FALSE,"debent";#N/A,#N/A,FALSE,"fdos";#N/A,#N/A,FALSE,"resumo"}</definedName>
    <definedName name="Modelo1a" localSheetId="2">{#N/A,#N/A,FALSE,"cdi";#N/A,#N/A,FALSE,"debent";#N/A,#N/A,FALSE,"fdos";#N/A,#N/A,FALSE,"resumo"}</definedName>
    <definedName name="Modelo2" localSheetId="2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2">{#N/A,#N/A,FALSE,"CCTV"}</definedName>
    <definedName name="MSDRFSWER" localSheetId="2">{"Econ Consolidado",#N/A,FALSE,"Econ Consol";"Fluxo de Caixa",#N/A,FALSE,"Fluxo Caixa";"Investimentos",#N/A,FALSE,"Investimentos"}</definedName>
    <definedName name="mzshdjshjs" localSheetId="2">{#N/A,#N/A,FALSE,"Plan1";#N/A,#N/A,FALSE,"Plan2"}</definedName>
    <definedName name="na" localSheetId="2">{#N/A,#N/A,FALSE,"$170M Cash";#N/A,#N/A,FALSE,"$250M Cash";#N/A,#N/A,FALSE,"$325M Cash"}</definedName>
    <definedName name="ncdgrdhrtg" localSheetId="2">{#N/A,#N/A,FALSE,"Plan1";#N/A,#N/A,FALSE,"Plan2"}</definedName>
    <definedName name="nchngdfhgdh" localSheetId="2">{#N/A,#N/A,FALSE,"Plan1";#N/A,#N/A,FALSE,"Plan2"}</definedName>
    <definedName name="NCJFKNGJHF" localSheetId="2">{#N/A,#N/A,FALSE,"Plan1";#N/A,#N/A,FALSE,"Plan2"}</definedName>
    <definedName name="ndcxhgdhf" localSheetId="2">{#N/A,#N/A,FALSE,"Plan1";#N/A,#N/A,FALSE,"Plan2"}</definedName>
    <definedName name="ndfjnjkrhdgt" localSheetId="2">{#N/A,#N/A,FALSE,"Plan1";#N/A,#N/A,FALSE,"Plan2"}</definedName>
    <definedName name="ndfkghkjthfyst" localSheetId="2">{#N/A,#N/A,FALSE,"Plan1";#N/A,#N/A,FALSE,"Plan2"}</definedName>
    <definedName name="NDJGKFKGHUFG" localSheetId="2">{#N/A,#N/A,FALSE,"Plan1";#N/A,#N/A,FALSE,"Plan2"}</definedName>
    <definedName name="ndrjkt" localSheetId="2">{#N/A,#N/A,FALSE,"Plan1";#N/A,#N/A,FALSE,"Plan2"}</definedName>
    <definedName name="new" localSheetId="2">{#N/A,#N/A,FALSE,"Global by BU";#N/A,#N/A,FALSE,"U.S. by BU";#N/A,#N/A,FALSE,"Canada by BU";#N/A,#N/A,FALSE,"Europe by BU";#N/A,#N/A,FALSE,"Asia by BU";#N/A,#N/A,FALSE,"Cala by BU"}</definedName>
    <definedName name="NEWNAME" localSheetId="2">{#N/A,#N/A,FALSE,"CCTV"}</definedName>
    <definedName name="nfgjkhvhfghn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2">{#N/A,#N/A,FALSE,"Plan1";#N/A,#N/A,FALSE,"Plan2"}</definedName>
    <definedName name="nh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2">{#N/A,#N/A,FALSE,"Plan1";#N/A,#N/A,FALSE,"Plan2"}</definedName>
    <definedName name="NJSDFHERTG" localSheetId="2">{#N/A,#N/A,FALSE,"Plan1";#N/A,#N/A,FALSE,"Plan2"}</definedName>
    <definedName name="nkfnsskdn" localSheetId="2">{#N/A,#N/A,FALSE,"Plan1";#N/A,#N/A,FALSE,"Plan2"}</definedName>
    <definedName name="NKJL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2">{#N/A,#N/A,FALSE,"Plan1";#N/A,#N/A,FALSE,"Plan2"}</definedName>
    <definedName name="nljsdfljfdsfr" localSheetId="2">{#N/A,#N/A,FALSE,"Plan1";#N/A,#N/A,FALSE,"Plan2"}</definedName>
    <definedName name="nmjdfhxj" localSheetId="2">{#N/A,#N/A,FALSE,"Plan1";#N/A,#N/A,FALSE,"Plan2"}</definedName>
    <definedName name="nnmn" localSheetId="2">{#N/A,#N/A,FALSE,"Plan1";#N/A,#N/A,FALSE,"Plan2"}</definedName>
    <definedName name="nnn" localSheetId="2">{#N/A,#N/A,FALSE,"$170M Cash";#N/A,#N/A,FALSE,"$250M Cash";#N/A,#N/A,FALSE,"$325M Cash"}</definedName>
    <definedName name="nnnnnnnnnnn" localSheetId="2">{"HW",#N/A,FALSE,"1998"}</definedName>
    <definedName name="NNNNNNNNNNNNNNN" localSheetId="2">{#N/A,#N/A,FALSE,"Plan1";#N/A,#N/A,FALSE,"Plan2"}</definedName>
    <definedName name="nnnnnnnnnnnnnnnnnnnn" localSheetId="2">{#N/A,#N/A,FALSE,"Plan1";#N/A,#N/A,FALSE,"Plan2"}</definedName>
    <definedName name="NNXFT" localSheetId="2">{#N/A,#N/A,FALSE,"Plan1";#N/A,#N/A,FALSE,"Plan2"}</definedName>
    <definedName name="nsdkfndgfdnatf" localSheetId="2">{#N/A,#N/A,FALSE,"Plan1";#N/A,#N/A,FALSE,"Plan2"}</definedName>
    <definedName name="nsfljdiljrf" localSheetId="2">{#N/A,#N/A,FALSE,"Plan1";#N/A,#N/A,FALSE,"Plan2"}</definedName>
    <definedName name="nzxcnnjkd" localSheetId="2">{#N/A,#N/A,FALSE,"Plan1";#N/A,#N/A,FALSE,"Plan2"}</definedName>
    <definedName name="OAE" localSheetId="2">#REF!</definedName>
    <definedName name="odfuudor" localSheetId="2">{#N/A,#N/A,FALSE,"Plan1";#N/A,#N/A,FALSE,"Plan2"}</definedName>
    <definedName name="oiditrot" localSheetId="2">{#N/A,#N/A,FALSE,"Plan1";#N/A,#N/A,FALSE,"Plan2"}</definedName>
    <definedName name="oio" localSheetId="2">{#N/A,#N/A,FALSE,"Plan1";#N/A,#N/A,FALSE,"Plan2"}</definedName>
    <definedName name="OJÇLJ" localSheetId="2">{#N/A,#N/A,FALSE,"Plan1";#N/A,#N/A,FALSE,"Plan2"}</definedName>
    <definedName name="ojkdfit" localSheetId="2">{#N/A,#N/A,FALSE,"Plan1";#N/A,#N/A,FALSE,"Plan2"}</definedName>
    <definedName name="ooo" localSheetId="2">{#N/A,#N/A,FALSE,"Plan1";#N/A,#N/A,FALSE,"Plan2"}</definedName>
    <definedName name="OPASEDWED" localSheetId="2">{"Econ Consolidado",#N/A,FALSE,"Econ Consol";"Fluxo de Caixa",#N/A,FALSE,"Fluxo Caixa";"Investimentos",#N/A,FALSE,"Investimentos"}</definedName>
    <definedName name="opiwre" localSheetId="2">{#N/A,#N/A,FALSE,"Plan1";#N/A,#N/A,FALSE,"Plan2"}</definedName>
    <definedName name="os" localSheetId="2">{#N/A,#N/A,FALSE,"TABLE"}</definedName>
    <definedName name="otodgkrjglsrd" localSheetId="2">{#N/A,#N/A,FALSE,"Plan1";#N/A,#N/A,FALSE,"Plan2"}</definedName>
    <definedName name="OUERWRSR" localSheetId="2">{#N/A,#N/A,FALSE,"Plan1";#N/A,#N/A,FALSE,"Plan2"}</definedName>
    <definedName name="overhaul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2">ROW()-Linha_Cabeçalho</definedName>
    <definedName name="ParamValues1" localSheetId="2">#REF!</definedName>
    <definedName name="PAV" localSheetId="2">#REF!</definedName>
    <definedName name="Pendencias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CAS" localSheetId="2">{#N/A,#N/A,TRUE,"Quinzena 01 à 15-04-98 "}</definedName>
    <definedName name="Placas_Areas" localSheetId="2">{#N/A,#N/A,TRUE,"Quinzena 01 à 15-04-98 "}</definedName>
    <definedName name="plan2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2">{#N/A,#N/A,FALSE,"Plan1";#N/A,#N/A,FALSE,"Plan2"}</definedName>
    <definedName name="plaslrswe" localSheetId="2">{#N/A,#N/A,FALSE,"Plan1";#N/A,#N/A,FALSE,"Plan2"}</definedName>
    <definedName name="plsearpef" localSheetId="2">{#N/A,#N/A,FALSE,"Plan1";#N/A,#N/A,FALSE,"Plan2"}</definedName>
    <definedName name="plss" localSheetId="2">{#N/A,#N/A,FALSE,"Plan1";#N/A,#N/A,FALSE,"Plan2"}</definedName>
    <definedName name="PN2건축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" localSheetId="2">#REF!</definedName>
    <definedName name="PRE" localSheetId="2">#REF!</definedName>
    <definedName name="print" localSheetId="2">{#N/A,#N/A,FALSE,"$170M Cash";#N/A,#N/A,FALSE,"$250M Cash";#N/A,#N/A,FALSE,"$325M Cash"}</definedName>
    <definedName name="Print_Area_MI" localSheetId="2">#REF!</definedName>
    <definedName name="ptirigyiotut" localSheetId="2">{#N/A,#N/A,FALSE,"Plan1";#N/A,#N/A,FALSE,"Plan2"}</definedName>
    <definedName name="PWER3" localSheetId="2">{#N/A,#N/A,FALSE,"Plan1";#N/A,#N/A,FALSE,"Plan2"}</definedName>
    <definedName name="qe" localSheetId="2">#REF!</definedName>
    <definedName name="qee" localSheetId="2">#REF!</definedName>
    <definedName name="qkqh1" localSheetId="2">{#N/A,#N/A,FALSE,"명세표"}</definedName>
    <definedName name="QQ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2">{#N/A,#N/A,FALSE,"Plan1";#N/A,#N/A,FALSE,"Plan2"}</definedName>
    <definedName name="qwdqw" localSheetId="2">{#N/A,#N/A,FALSE,"Plan1";#N/A,#N/A,FALSE,"Plan2"}</definedName>
    <definedName name="qweqwe" localSheetId="2">{#N/A,#N/A,FALSE,"Plan1";#N/A,#N/A,FALSE,"Plan2"}</definedName>
    <definedName name="qweqwe4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2">{"HW",#N/A,FALSE,"1998"}</definedName>
    <definedName name="RE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forsu" localSheetId="2">#REF!</definedName>
    <definedName name="ren" localSheetId="2">#REF!</definedName>
    <definedName name="resum" localSheetId="2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2">{#N/A,#N/A,TRUE,"Quinzena 01 à 15-04-98 "}</definedName>
    <definedName name="REV" localSheetId="2">#REF!</definedName>
    <definedName name="RF" localSheetId="2">{#N/A,#N/A,FALSE,"CCTV"}</definedName>
    <definedName name="rgedrfrgfdg" localSheetId="2">{#N/A,#N/A,FALSE,"Plan1";#N/A,#N/A,FALSE,"Plan2"}</definedName>
    <definedName name="rhdrmq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2">{"'장비'!$A$3:$M$12"}</definedName>
    <definedName name="rrrrrrrr" localSheetId="2">{"'장비'!$A$3:$M$12"}</definedName>
    <definedName name="rrrrrrrrrrr" localSheetId="2">{#N/A,#N/A,TRUE,"Quinzena 01 à 15-04-98 "}</definedName>
    <definedName name="RTYE" localSheetId="2">{"'장비'!$A$3:$M$12"}</definedName>
    <definedName name="sa" localSheetId="2">#REF!</definedName>
    <definedName name="saa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2">{#N/A,#N/A,FALSE,"Plan1";#N/A,#N/A,FALSE,"Plan2"}</definedName>
    <definedName name="sadke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2">{#N/A,#N/A,FALSE,"Plan1";#N/A,#N/A,FALSE,"Plan2"}</definedName>
    <definedName name="SADSRTR" localSheetId="2">{#N/A,#N/A,FALSE,"Plan1";#N/A,#N/A,FALSE,"Plan2"}</definedName>
    <definedName name="sadwde" localSheetId="2">{#N/A,#N/A,FALSE,"Plan1";#N/A,#N/A,FALSE,"Plan2"}</definedName>
    <definedName name="sanjay" localSheetId="2">{#N/A,#N/A,FALSE,"TABLE"}</definedName>
    <definedName name="SAS" localSheetId="2">{#N/A,#N/A,FALSE,"Plan1";#N/A,#N/A,FALSE,"Plan2"}</definedName>
    <definedName name="sasads" localSheetId="2">{#N/A,#N/A,FALSE,"Plan1";#N/A,#N/A,FALSE,"Plan2"}</definedName>
    <definedName name="sdae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2">{#N/A,#N/A,FALSE,"Plan1";#N/A,#N/A,FALSE,"Plan2"}</definedName>
    <definedName name="sdckd" localSheetId="2">{#N/A,#N/A,FALSE,"Plan1";#N/A,#N/A,FALSE,"Plan2"}</definedName>
    <definedName name="SDDFKSEDE" localSheetId="2">{#N/A,#N/A,FALSE,"Plan1";#N/A,#N/A,FALSE,"Plan2"}</definedName>
    <definedName name="sddkslker" localSheetId="2">{#N/A,#N/A,FALSE,"Plan1";#N/A,#N/A,FALSE,"Plan2"}</definedName>
    <definedName name="sdefr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2">{#N/A,#N/A,FALSE,"Plan1";#N/A,#N/A,FALSE,"Plan2"}</definedName>
    <definedName name="sdfdfc" localSheetId="2">{#N/A,#N/A,FALSE,"Plan1";#N/A,#N/A,FALSE,"Plan2"}</definedName>
    <definedName name="sdfdf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2">{#N/A,#N/A,FALSE,"Plan1";#N/A,#N/A,FALSE,"Plan2"}</definedName>
    <definedName name="sdfdsf" localSheetId="2">{#N/A,#N/A,FALSE,"Plan1";#N/A,#N/A,FALSE,"Plan2"}</definedName>
    <definedName name="sdfdsf\da" localSheetId="2" hidden="1">{#N/A,#N/A,FALSE,"Plan1";#N/A,#N/A,FALSE,"Plan2"}</definedName>
    <definedName name="SDFEDRT" localSheetId="2">{#N/A,#N/A,FALSE,"Plan1";#N/A,#N/A,FALSE,"Plan2"}</definedName>
    <definedName name="sdfer" localSheetId="2">{#N/A,#N/A,FALSE,"Plan1";#N/A,#N/A,FALSE,"Plan2"}</definedName>
    <definedName name="sdferr" localSheetId="2">{#N/A,#N/A,FALSE,"Plan1";#N/A,#N/A,FALSE,"Plan2"}</definedName>
    <definedName name="sdfe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2">{#N/A,#N/A,FALSE,"Plan1";#N/A,#N/A,FALSE,"Plan2"}</definedName>
    <definedName name="sdfgtr" localSheetId="2">{#N/A,#N/A,FALSE,"Plan1";#N/A,#N/A,FALSE,"Plan2"}</definedName>
    <definedName name="sdfjdetrt" localSheetId="2">{#N/A,#N/A,FALSE,"Plan1";#N/A,#N/A,FALSE,"Plan2"}</definedName>
    <definedName name="SDFJDRTJEIDR" localSheetId="2">{#N/A,#N/A,FALSE,"Plan1";#N/A,#N/A,FALSE,"Plan2"}</definedName>
    <definedName name="sdfjergtij" localSheetId="2">{#N/A,#N/A,FALSE,"Plan1";#N/A,#N/A,FALSE,"Plan2"}</definedName>
    <definedName name="SDFOPJKWE" localSheetId="2">{#N/A,#N/A,FALSE,"Plan1";#N/A,#N/A,FALSE,"Plan2"}</definedName>
    <definedName name="sdfrdt5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2">{#N/A,#N/A,FALSE,"Plan1";#N/A,#N/A,FALSE,"Plan2"}</definedName>
    <definedName name="SDFRTKK" localSheetId="2">{#N/A,#N/A,FALSE,"Plan1";#N/A,#N/A,FALSE,"Plan2"}</definedName>
    <definedName name="SDFRTR" localSheetId="2">{#N/A,#N/A,FALSE,"Plan1";#N/A,#N/A,FALSE,"Plan2"}</definedName>
    <definedName name="sdfry6" localSheetId="2">{#N/A,#N/A,FALSE,"Plan1";#N/A,#N/A,FALSE,"Plan2"}</definedName>
    <definedName name="sdfsaf" localSheetId="2">{#N/A,#N/A,FALSE,"Plan1";#N/A,#N/A,FALSE,"Plan2"}</definedName>
    <definedName name="sdfsd" localSheetId="2">{"'Estimativa de Lançamento-JAN'!$A$1:$AI$85"}</definedName>
    <definedName name="sdfsdfg" localSheetId="2">{#N/A,#N/A,FALSE,"Plan1";#N/A,#N/A,FALSE,"Plan2"}</definedName>
    <definedName name="SDFSDFK" localSheetId="2">{#N/A,#N/A,FALSE,"Plan1";#N/A,#N/A,FALSE,"Plan2"}</definedName>
    <definedName name="sdfsdgftret" localSheetId="2">{#N/A,#N/A,FALSE,"Plan1";#N/A,#N/A,FALSE,"Plan2"}</definedName>
    <definedName name="SDFSF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DFSFRT" localSheetId="2">{"Econ Consolidado",#N/A,FALSE,"Econ Consol";"Fluxo de Caixa",#N/A,FALSE,"Fluxo Caixa";"Investimentos",#N/A,FALSE,"Investimentos"}</definedName>
    <definedName name="sdfsr" localSheetId="2">{#N/A,#N/A,FALSE,"Plan1";#N/A,#N/A,FALSE,"Plan2"}</definedName>
    <definedName name="sdfty" localSheetId="2">{#N/A,#N/A,FALSE,"Plan1";#N/A,#N/A,FALSE,"Plan2"}</definedName>
    <definedName name="sdgdf" localSheetId="2">{#N/A,#N/A,FALSE,"Plan1";#N/A,#N/A,FALSE,"Plan2"}</definedName>
    <definedName name="sdgfrt" localSheetId="2">{#N/A,#N/A,FALSE,"Plan1";#N/A,#N/A,FALSE,"Plan2"}</definedName>
    <definedName name="sdgft" localSheetId="2">{#N/A,#N/A,FALSE,"Plan1";#N/A,#N/A,FALSE,"Plan2"}</definedName>
    <definedName name="sdgt" localSheetId="2">{#N/A,#N/A,FALSE,"Plan1";#N/A,#N/A,FALSE,"Plan2"}</definedName>
    <definedName name="sdhfghdsfg" localSheetId="2">{#N/A,#N/A,FALSE,"Plan1";#N/A,#N/A,FALSE,"Plan2"}</definedName>
    <definedName name="SDHFJKHDFJRE" localSheetId="2">{#N/A,#N/A,FALSE,"Plan1";#N/A,#N/A,FALSE,"Plan2"}</definedName>
    <definedName name="SDHKFDRKGTR" localSheetId="2">{#N/A,#N/A,FALSE,"Plan1";#N/A,#N/A,FALSE,"Plan2"}</definedName>
    <definedName name="sdjdswger" localSheetId="2">{#N/A,#N/A,FALSE,"Plan1";#N/A,#N/A,FALSE,"Plan2"}</definedName>
    <definedName name="sdjfdf" localSheetId="2">{#N/A,#N/A,FALSE,"Plan1";#N/A,#N/A,FALSE,"Plan2"}</definedName>
    <definedName name="sdjfhdjk" localSheetId="2">{#N/A,#N/A,FALSE,"Plan1";#N/A,#N/A,FALSE,"Plan2"}</definedName>
    <definedName name="SDJFJDER" localSheetId="2">{#N/A,#N/A,FALSE,"Plan1";#N/A,#N/A,FALSE,"Plan2"}</definedName>
    <definedName name="sdjflsdjfl" localSheetId="2">{#N/A,#N/A,FALSE,"Plan1";#N/A,#N/A,FALSE,"Plan2"}</definedName>
    <definedName name="SDJHF" localSheetId="2">{#N/A,#N/A,FALSE,"Plan1";#N/A,#N/A,FALSE,"Plan2"}</definedName>
    <definedName name="sdjrderertrr" localSheetId="2">{#N/A,#N/A,FALSE,"Plan1";#N/A,#N/A,FALSE,"Plan2"}</definedName>
    <definedName name="sdkdjk" localSheetId="2">{#N/A,#N/A,FALSE,"Plan1";#N/A,#N/A,FALSE,"Plan2"}</definedName>
    <definedName name="sdkfjhkdgfhk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2">{#N/A,#N/A,FALSE,"Plan1";#N/A,#N/A,FALSE,"Plan2"}</definedName>
    <definedName name="sdkk" localSheetId="2">{#N/A,#N/A,FALSE,"Plan1";#N/A,#N/A,FALSE,"Plan2"}</definedName>
    <definedName name="sdlfsdflj" localSheetId="2">{#N/A,#N/A,FALSE,"Plan1";#N/A,#N/A,FALSE,"Plan2"}</definedName>
    <definedName name="sdmfmdfsgfd" localSheetId="2">{#N/A,#N/A,FALSE,"Plan1";#N/A,#N/A,FALSE,"Plan2"}</definedName>
    <definedName name="sdr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2">{#N/A,#N/A,FALSE,"Plan1";#N/A,#N/A,FALSE,"Plan2"}</definedName>
    <definedName name="sdsd" localSheetId="2">{#N/A,#N/A,FALSE,"Plan1";#N/A,#N/A,FALSE,"Plan2"}</definedName>
    <definedName name="sdser" localSheetId="2">{#N/A,#N/A,FALSE,"Plan1";#N/A,#N/A,FALSE,"Plan2"}</definedName>
    <definedName name="sdsre" localSheetId="2">{#N/A,#N/A,FALSE,"Plan1";#N/A,#N/A,FALSE,"Plan2"}</definedName>
    <definedName name="sdss" localSheetId="2">{#N/A,#N/A,FALSE,"Plan1";#N/A,#N/A,FALSE,"Plan2"}</definedName>
    <definedName name="sdusi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2">{"Econ Consolidado",#N/A,FALSE,"Econ Consol";"Fluxo de Caixa",#N/A,FALSE,"Fluxo Caixa";"Investimentos",#N/A,FALSE,"Investimentos"}</definedName>
    <definedName name="sdxfrt" localSheetId="2">{#N/A,#N/A,FALSE,"Plan1";#N/A,#N/A,FALSE,"Plan2"}</definedName>
    <definedName name="SDZFERF" localSheetId="2">{#N/A,#N/A,FALSE,"Plan1";#N/A,#N/A,FALSE,"Plan2"}</definedName>
    <definedName name="sefret4r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" localSheetId="2">#REF!</definedName>
    <definedName name="segftru" localSheetId="2">{#N/A,#N/A,FALSE,"Plan1";#N/A,#N/A,FALSE,"Plan2"}</definedName>
    <definedName name="sencount" localSheetId="2">1</definedName>
    <definedName name="SEREWRSWE" localSheetId="2">{"tabela",#N/A,FALSE,"Tabela";"decoração",#N/A,FALSE,"Decor.";"Informações",#N/A,FALSE,"Inform."}</definedName>
    <definedName name="sf" localSheetId="2">{#N/A,#N/A,FALSE,"Plan1";#N/A,#N/A,FALSE,"Plan2"}</definedName>
    <definedName name="sfcrer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2">{#N/A,#N/A,FALSE,"Plan1";#N/A,#N/A,FALSE,"Plan2"}</definedName>
    <definedName name="sfds" localSheetId="2">{#N/A,#N/A,FALSE,"Plan1";#N/A,#N/A,FALSE,"Plan2"}</definedName>
    <definedName name="sfdsd" localSheetId="2">{#N/A,#N/A,FALSE,"Plan1";#N/A,#N/A,FALSE,"Plan2"}</definedName>
    <definedName name="sfrsdrgt" localSheetId="2">{#N/A,#N/A,FALSE,"Plan1";#N/A,#N/A,FALSE,"Plan2"}</definedName>
    <definedName name="SFRT" localSheetId="2">{#N/A,#N/A,FALSE,"Plan1";#N/A,#N/A,FALSE,"Plan2"}</definedName>
    <definedName name="sfsdferf" localSheetId="2">{#N/A,#N/A,FALSE,"Plan1";#N/A,#N/A,FALSE,"Plan2"}</definedName>
    <definedName name="SFSDS" localSheetId="2">{#N/A,#N/A,FALSE,"Plan1";#N/A,#N/A,FALSE,"Plan2"}</definedName>
    <definedName name="sgtghty" localSheetId="2">{#N/A,#N/A,FALSE,"Plan1";#N/A,#N/A,FALSE,"Plan2"}</definedName>
    <definedName name="SH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HARED_FORMULA_0" localSheetId="2">#REF!</definedName>
    <definedName name="SHARED_FORMULA_1" localSheetId="2">#REF!</definedName>
    <definedName name="SHARED_FORMULA_10" localSheetId="2">#REF!</definedName>
    <definedName name="SHARED_FORMULA_11" localSheetId="2">#REF!</definedName>
    <definedName name="SHARED_FORMULA_12" localSheetId="2">#REF!</definedName>
    <definedName name="SHARED_FORMULA_13" localSheetId="2">#REF!</definedName>
    <definedName name="SHARED_FORMULA_14" localSheetId="2">#REF!</definedName>
    <definedName name="SHARED_FORMULA_15" localSheetId="2">#REF!</definedName>
    <definedName name="SHARED_FORMULA_16" localSheetId="2">#REF!</definedName>
    <definedName name="SHARED_FORMULA_17" localSheetId="2">#REF!</definedName>
    <definedName name="SHARED_FORMULA_18" localSheetId="2">#REF!</definedName>
    <definedName name="SHARED_FORMULA_19" localSheetId="2">#REF!</definedName>
    <definedName name="SHARED_FORMULA_2" localSheetId="2">#REF!</definedName>
    <definedName name="SHARED_FORMULA_20" localSheetId="2">#REF!</definedName>
    <definedName name="SHARED_FORMULA_21" localSheetId="2">#REF!</definedName>
    <definedName name="SHARED_FORMULA_22" localSheetId="2">#REF!</definedName>
    <definedName name="SHARED_FORMULA_23" localSheetId="2">#REF!</definedName>
    <definedName name="SHARED_FORMULA_24" localSheetId="2">#REF!</definedName>
    <definedName name="SHARED_FORMULA_25" localSheetId="2">#REF!</definedName>
    <definedName name="SHARED_FORMULA_26" localSheetId="2">#REF!</definedName>
    <definedName name="SHARED_FORMULA_27" localSheetId="2">#REF!</definedName>
    <definedName name="SHARED_FORMULA_28" localSheetId="2">#REF!</definedName>
    <definedName name="SHARED_FORMULA_29" localSheetId="2">#REF!</definedName>
    <definedName name="SHARED_FORMULA_3" localSheetId="2">#REF!</definedName>
    <definedName name="SHARED_FORMULA_30" localSheetId="2">#REF!</definedName>
    <definedName name="SHARED_FORMULA_31" localSheetId="2">#REF!</definedName>
    <definedName name="SHARED_FORMULA_32" localSheetId="2">#REF!</definedName>
    <definedName name="SHARED_FORMULA_33" localSheetId="2">#REF!</definedName>
    <definedName name="SHARED_FORMULA_34" localSheetId="2">#REF!</definedName>
    <definedName name="SHARED_FORMULA_35" localSheetId="2">#REF!</definedName>
    <definedName name="SHARED_FORMULA_36" localSheetId="2">#REF!</definedName>
    <definedName name="SHARED_FORMULA_37" localSheetId="2">#REF!</definedName>
    <definedName name="SHARED_FORMULA_38" localSheetId="2">#REF!</definedName>
    <definedName name="SHARED_FORMULA_39" localSheetId="2">#REF!</definedName>
    <definedName name="SHARED_FORMULA_4" localSheetId="2">#REF!</definedName>
    <definedName name="SHARED_FORMULA_40" localSheetId="2">#REF!</definedName>
    <definedName name="SHARED_FORMULA_41" localSheetId="2">#REF!</definedName>
    <definedName name="SHARED_FORMULA_42" localSheetId="2">#REF!</definedName>
    <definedName name="SHARED_FORMULA_43" localSheetId="2">#REF!</definedName>
    <definedName name="SHARED_FORMULA_44" localSheetId="2">#REF!</definedName>
    <definedName name="SHARED_FORMULA_45" localSheetId="2">#REF!</definedName>
    <definedName name="SHARED_FORMULA_46" localSheetId="2">#REF!</definedName>
    <definedName name="SHARED_FORMULA_47" localSheetId="2">#REF!</definedName>
    <definedName name="SHARED_FORMULA_48" localSheetId="2">#REF!</definedName>
    <definedName name="SHARED_FORMULA_49" localSheetId="2">#REF!</definedName>
    <definedName name="SHARED_FORMULA_5" localSheetId="2">#REF!</definedName>
    <definedName name="SHARED_FORMULA_50" localSheetId="2">#REF!</definedName>
    <definedName name="SHARED_FORMULA_51" localSheetId="2">#REF!</definedName>
    <definedName name="SHARED_FORMULA_52" localSheetId="2">#REF!</definedName>
    <definedName name="SHARED_FORMULA_53" localSheetId="2">#REF!</definedName>
    <definedName name="SHARED_FORMULA_54" localSheetId="2">#REF!</definedName>
    <definedName name="SHARED_FORMULA_55" localSheetId="2">#REF!</definedName>
    <definedName name="SHARED_FORMULA_56" localSheetId="2">#REF!</definedName>
    <definedName name="SHARED_FORMULA_57" localSheetId="2">#REF!</definedName>
    <definedName name="SHARED_FORMULA_58" localSheetId="2">#REF!</definedName>
    <definedName name="SHARED_FORMULA_59" localSheetId="2">#REF!</definedName>
    <definedName name="SHARED_FORMULA_6" localSheetId="2">#REF!</definedName>
    <definedName name="SHARED_FORMULA_60" localSheetId="2">#REF!</definedName>
    <definedName name="SHARED_FORMULA_61" localSheetId="2">#REF!</definedName>
    <definedName name="SHARED_FORMULA_62" localSheetId="2">#REF!</definedName>
    <definedName name="SHARED_FORMULA_7" localSheetId="2">#REF!</definedName>
    <definedName name="SHARED_FORMULA_8" localSheetId="2">#REF!</definedName>
    <definedName name="SHARED_FORMULA_9" localSheetId="2">#REF!</definedName>
    <definedName name="SIH" localSheetId="2">#REF!</definedName>
    <definedName name="SIV" localSheetId="2">#REF!</definedName>
    <definedName name="sjawe" localSheetId="2">{#N/A,#N/A,FALSE,"Plan1";#N/A,#N/A,FALSE,"Plan2"}</definedName>
    <definedName name="sjdffd" localSheetId="2">{#N/A,#N/A,FALSE,"Plan1";#N/A,#N/A,FALSE,"Plan2"}</definedName>
    <definedName name="SJDFHDJSF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2">{#N/A,#N/A,FALSE,"Plan1";#N/A,#N/A,FALSE,"Plan2"}</definedName>
    <definedName name="SJDKJDE" localSheetId="2">{"Econ Consolidado",#N/A,FALSE,"Econ Consol";"Fluxo de Caixa",#N/A,FALSE,"Fluxo Caixa";"Investimentos",#N/A,FALSE,"Investimentos"}</definedName>
    <definedName name="sjekwjri" localSheetId="2">{#N/A,#N/A,FALSE,"Plan1";#N/A,#N/A,FALSE,"Plan2"}</definedName>
    <definedName name="sjfkdhsfds" localSheetId="2">{#N/A,#N/A,FALSE,"Plan1";#N/A,#N/A,FALSE,"Plan2"}</definedName>
    <definedName name="sjkdljslkrje" localSheetId="2">{#N/A,#N/A,FALSE,"Plan1";#N/A,#N/A,FALSE,"Plan2"}</definedName>
    <definedName name="skadadaszs" localSheetId="2">{#N/A,#N/A,FALSE,"Plan1";#N/A,#N/A,FALSE,"Plan2"}</definedName>
    <definedName name="SKASH" localSheetId="2">{#N/A,#N/A,FALSE,"Plan1";#N/A,#N/A,FALSE,"Plan2"}</definedName>
    <definedName name="skldfrde" localSheetId="2">{#N/A,#N/A,FALSE,"Plan1";#N/A,#N/A,FALSE,"Plan2"}</definedName>
    <definedName name="skosroer" localSheetId="2">{#N/A,#N/A,FALSE,"Plan1";#N/A,#N/A,FALSE,"Plan2"}</definedName>
    <definedName name="sp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2">{#N/A,#N/A,FALSE,"Plan1";#N/A,#N/A,FALSE,"Plan2"}</definedName>
    <definedName name="SRH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s" localSheetId="2">#REF!</definedName>
    <definedName name="susref" localSheetId="2">#REF!</definedName>
    <definedName name="tab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nia" localSheetId="2">#REF!</definedName>
    <definedName name="tc" localSheetId="2">#REF!</definedName>
    <definedName name="Test" localSheetId="2">{"'Edit'!$A$1:$V$2277"}</definedName>
    <definedName name="TESTANDO" localSheetId="2">{#N/A,#N/A,TRUE,"Quinzena 01 à 15-04-98 "}</definedName>
    <definedName name="teste1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2">{#N/A,#N/A,FALSE,"Plan1";#N/A,#N/A,FALSE,"Plan2"}</definedName>
    <definedName name="THYJ" localSheetId="2">{#N/A,#N/A,FALSE,"Plan1";#N/A,#N/A,FALSE,"Plan2"}</definedName>
    <definedName name="tihjgih" localSheetId="2">{#N/A,#N/A,FALSE,"Plan1";#N/A,#N/A,FALSE,"Plan2"}</definedName>
    <definedName name="TOT" localSheetId="2">#REF!</definedName>
    <definedName name="Total" localSheetId="2">#REF!</definedName>
    <definedName name="trjyidih" localSheetId="2">{#N/A,#N/A,FALSE,"Plan1";#N/A,#N/A,FALSE,"Plan2"}</definedName>
    <definedName name="TRP" localSheetId="2">#REF!</definedName>
    <definedName name="tuyedjsksj" localSheetId="2">{#N/A,#N/A,FALSE,"Plan1";#N/A,#N/A,FALSE,"Plan2"}</definedName>
    <definedName name="TYHGFHFHG" localSheetId="2">{#N/A,#N/A,FALSE,"Plan1";#N/A,#N/A,FALSE,"Plan2"}</definedName>
    <definedName name="u" localSheetId="2">{#N/A,#N/A,FALSE,"ET-CAPA";#N/A,#N/A,FALSE,"ET-PAG1";#N/A,#N/A,FALSE,"ET-PAG2";#N/A,#N/A,FALSE,"ET-PAG3";#N/A,#N/A,FALSE,"ET-PAG4";#N/A,#N/A,FALSE,"ET-PAG5"}</definedName>
    <definedName name="udhgfhfg" localSheetId="2">{#N/A,#N/A,FALSE,"Plan1";#N/A,#N/A,FALSE,"Plan2"}</definedName>
    <definedName name="ueiutriuef" localSheetId="2">{#N/A,#N/A,FALSE,"Plan1";#N/A,#N/A,FALSE,"Plan2"}</definedName>
    <definedName name="UHGSDUS" localSheetId="2">{#N/A,#N/A,FALSE,"Plan1";#N/A,#N/A,FALSE,"Plan2"}</definedName>
    <definedName name="UIHWER45R" localSheetId="2">{#N/A,#N/A,FALSE,"Plan1";#N/A,#N/A,FALSE,"Plan2"}</definedName>
    <definedName name="uiosderuiu" localSheetId="2">{#N/A,#N/A,FALSE,"Plan1";#N/A,#N/A,FALSE,"Plan2"}</definedName>
    <definedName name="UIOURET" localSheetId="2">{#N/A,#N/A,FALSE,"Plan1";#N/A,#N/A,FALSE,"Plan2"}</definedName>
    <definedName name="uiwuer" localSheetId="2">{#N/A,#N/A,FALSE,"Plan1";#N/A,#N/A,FALSE,"Plan2"}</definedName>
    <definedName name="UKHDFDSGUDFKD" localSheetId="2">{#N/A,#N/A,FALSE,"Plan1";#N/A,#N/A,FALSE,"Plan2"}</definedName>
    <definedName name="um" localSheetId="2">0</definedName>
    <definedName name="unit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2">{#N/A,#N/A,FALSE,"Plan1";#N/A,#N/A,FALSE,"Plan2"}</definedName>
    <definedName name="valve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2">{#N/A,#N/A,FALSE,"Plan1";#N/A,#N/A,FALSE,"Plan2"}</definedName>
    <definedName name="VERIFICAR" localSheetId="2">{#N/A,#N/A,TRUE,"Quinzena 01 à 15-04-98 "}</definedName>
    <definedName name="vfnijfd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2">{#N/A,#N/A,FALSE,"Plan1";#N/A,#N/A,FALSE,"Plan2"}</definedName>
    <definedName name="vld_classificacao" localSheetId="2">IF(#REF!="Ativa",OFFSET(INDEX(rng_list_classificacao,MATCH(#REF!,rng_list_classificacao,0)),1,0,COUNTA(rng_list_classificacao)-1),#REF!)</definedName>
    <definedName name="vld_regional" localSheetId="2">OFFSET(INDEX(rng_list_regional,MATCH(#REF!,rng_list_regional,0)),1,0,COUNTA(rng_list_regional)-1)</definedName>
    <definedName name="vld_segmento" localSheetId="2">IF(#REF!="Ativa",OFFSET(INDEX(rng_list_segmento,MATCH(#REF!,rng_list_segmento,0)),1,0,COUNTA(rng_list_segmento)-1),#REF!)</definedName>
    <definedName name="vld_sociedade" localSheetId="2">OFFSET(INDEX(rng_list_sociedade,MATCH(#REF!,rng_list_sociedade,0)),1,0,COUNTA(rng_list_sociedade)-1)</definedName>
    <definedName name="vld_status_empresa" localSheetId="2">OFFSET(INDEX(rng_list_status_empresa,MATCH(#REF!,rng_list_status_empresa,0)),1,0,COUNTA(rng_list_status_empresa)-1)</definedName>
    <definedName name="vld_status_lancamento" localSheetId="2">IF(#REF!="Ativa",OFFSET(INDEX(rng_list_status_lancamento,MATCH(#REF!,rng_list_status_lancamento,0)),1,0,COUNTA(rng_list_status_lancamento)-1),#REF!)</definedName>
    <definedName name="vld_status_projeto" localSheetId="2">IF(#REF!="Ativa",OFFSET(INDEX(rng_list_status_projeto,MATCH(#REF!,rng_list_status_projeto,0)),1,0,COUNTA(rng_list_status_projeto)-1),#REF!)</definedName>
    <definedName name="vld_status_viabilidade" localSheetId="2">OFFSET(INDEX(rng_list_status_viabilidade,MATCH(#REF!,rng_list_status_viabilidade,0)),1,0,COUNTA(rng_list_status_viabilidade)-1)</definedName>
    <definedName name="VSDHFGDFGR" localSheetId="2">{#N/A,#N/A,FALSE,"Plan1";#N/A,#N/A,FALSE,"Plan2"}</definedName>
    <definedName name="vvbb" localSheetId="2">{"tabela",#N/A,FALSE,"Tabela";"decoração",#N/A,FALSE,"Decor.";"Informações",#N/A,FALSE,"Inform."}</definedName>
    <definedName name="vvcbnb" localSheetId="2">{#N/A,#N/A,FALSE,"Plan1";#N/A,#N/A,FALSE,"Plan2"}</definedName>
    <definedName name="vvvvv" localSheetId="2">{"Econ Consolidado",#N/A,FALSE,"Econ Consol";"Fluxo de Caixa",#N/A,FALSE,"Fluxo Caixa";"Investimentos",#N/A,FALSE,"Investimentos"}</definedName>
    <definedName name="vvvvvv" localSheetId="2">{#N/A,#N/A,FALSE,"Plan1";#N/A,#N/A,FALSE,"Plan2"}</definedName>
    <definedName name="vvvvvvvvvvvvvvvvv" localSheetId="2">{"HW",#N/A,FALSE,"1998"}</definedName>
    <definedName name="w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dalrdjlaev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2">{#N/A,#N/A,FALSE,"Plan1";#N/A,#N/A,FALSE,"Plan2"}</definedName>
    <definedName name="wetoedjtkdr" localSheetId="2">{#N/A,#N/A,FALSE,"Plan1";#N/A,#N/A,FALSE,"Plan2"}</definedName>
    <definedName name="WHATS" localSheetId="2">{"'Edit'!$A$1:$V$2277"}</definedName>
    <definedName name="win.VESSEL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2">{#N/A,#N/A,FALSE,"Plan1";#N/A,#N/A,FALSE,"Plan2"}</definedName>
    <definedName name="WLQ" localSheetId="2">{#N/A,#N/A,FALSE,"명세표"}</definedName>
    <definedName name="WRITE" localSheetId="2">{#N/A,#N/A,FALSE,"CCTV"}</definedName>
    <definedName name="wrn.BM." localSheetId="2">{#N/A,#N/A,FALSE,"CCTV"}</definedName>
    <definedName name="wrn.Brita98.xls." localSheetId="2">{#N/A,#N/A,TRUE,"Quinzena 01 à 15-04-98 "}</definedName>
    <definedName name="wrn.Completo." localSheetId="2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2">{"EconCons",#N/A,TRUE,"Econômico - Consolidado";"CaixaCons",#N/A,TRUE,"Caixa - Consolidado";"InvestCons",#N/A,TRUE,"Invest Consolidado"}</definedName>
    <definedName name="wrn.Consolidado." localSheetId="2">{"Econ Consolidado",#N/A,FALSE,"Econ Consol";"Fluxo de Caixa",#N/A,FALSE,"Fluxo Caixa";"Investimentos",#N/A,FALSE,"Investimentos"}</definedName>
    <definedName name="wrn.GERAL." localSheetId="2">{#N/A,#N/A,FALSE,"ET-CAPA";#N/A,#N/A,FALSE,"ET-PAG1";#N/A,#N/A,FALSE,"ET-PAG2";#N/A,#N/A,FALSE,"ET-PAG3";#N/A,#N/A,FALSE,"ET-PAG4";#N/A,#N/A,FALSE,"ET-PAG5"}</definedName>
    <definedName name="wrn.HAGE." localSheetId="2">{#N/A,#N/A,FALSE,"cdi";#N/A,#N/A,FALSE,"debent";#N/A,#N/A,FALSE,"fdos";#N/A,#N/A,FALSE,"resumo"}</definedName>
    <definedName name="wrn.HAGE01" localSheetId="2">{#N/A,#N/A,FALSE,"cdi";#N/A,#N/A,FALSE,"debent";#N/A,#N/A,FALSE,"fdos";#N/A,#N/A,FALSE,"resumo"}</definedName>
    <definedName name="wrn.HW." localSheetId="2">{"HW",#N/A,FALSE,"1998"}</definedName>
    <definedName name="wrn.imp_flx." localSheetId="2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2">{#N/A,#N/A,FALSE,"Plan1";#N/A,#N/A,FALSE,"Plan2"}</definedName>
    <definedName name="wrn.Imprimir." localSheetId="2">{"tabela",#N/A,FALSE,"Tabela";"decoração",#N/A,FALSE,"Decor.";"Informações",#N/A,FALSE,"Inform."}</definedName>
    <definedName name="wrn.LPU._.MG." localSheetId="2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2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2" hidden="1">{#N/A,#N/A,FALSE,"ALVENARIA";#N/A,#N/A,FALSE,"BLOCOS";#N/A,#N/A,FALSE,"CINTAS";#N/A,#N/A,FALSE,"CORTINA";#N/A,#N/A,FALSE,"LAJES";#N/A,#N/A,FALSE,"PILARES";#N/A,#N/A,FALSE,"VIGAS"}</definedName>
    <definedName name="wrn.Month._.Report._.Package." localSheetId="2">{#N/A,#N/A,FALSE,"Global Wls Trend";#N/A,#N/A,FALSE,"Region Trend";#N/A,#N/A,FALSE,"PBU Trend"}</definedName>
    <definedName name="wrn.Monthly._.Report._.Package." localSheetId="2">{#N/A,#N/A,FALSE,"Global by BU";#N/A,#N/A,FALSE,"U.S. by BU";#N/A,#N/A,FALSE,"Canada by BU";#N/A,#N/A,FALSE,"Europe by BU";#N/A,#N/A,FALSE,"Asia by BU";#N/A,#N/A,FALSE,"Cala by BU"}</definedName>
    <definedName name="wrn.PENDENCIAS.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2">{#N/A,#N/A,FALSE,"F-01"}</definedName>
    <definedName name="wrn.Planiha._.de._.Medição._.F._.01._1" localSheetId="2">{#N/A,#N/A,FALSE,"F-01"}</definedName>
    <definedName name="wrn.Planilha_de_Medição_F_02" localSheetId="2">{#N/A,#N/A,FALSE,"F-01"}</definedName>
    <definedName name="wrn.print._.all." localSheetId="2">{#N/A,#N/A,FALSE,"$170M Cash";#N/A,#N/A,FALSE,"$250M Cash";#N/A,#N/A,FALSE,"$325M Cash"}</definedName>
    <definedName name="wrn.PrintAll." localSheetId="2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2">{#N/A,#N/A,FALSE,"Sheet1";#N/A,#N/A,FALSE,"Sheet2";#N/A,#N/A,FALSE,"Sheet3"}</definedName>
    <definedName name="wrn.PrintPrev1." localSheetId="2">{#N/A,#N/A,FALSE,"Sheet4";#N/A,#N/A,FALSE,"Sheet5";#N/A,#N/A,FALSE,"Sheet6"}</definedName>
    <definedName name="wrn.PrintPrev2." localSheetId="2">{#N/A,#N/A,FALSE,"Sheet7";#N/A,#N/A,FALSE,"Sheet8";#N/A,#N/A,FALSE,"Sheet9"}</definedName>
    <definedName name="wrn.Quadros._.relatório." localSheetId="2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2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2">{#N/A,#N/A,FALSE,"TABLE"}</definedName>
    <definedName name="wrn.TERCEIRO." localSheetId="2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2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2">{#N/A,#N/A,FALSE,"명세표"}</definedName>
    <definedName name="wrn.Unidades." localSheetId="2">{"Rio Branco",#N/A,FALSE,"Rio Branco";"Itajaí",#N/A,FALSE,"Itajaí";"Pinheiro Machado",#N/A,FALSE,"PMachado";"Esteio",#N/A,FALSE,"Esteio"}</definedName>
    <definedName name="wrn.VESSEL및N2._.구입사양서.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2">{#N/A,#N/A,FALSE,"Sheet1";#N/A,#N/A,FALSE,"Sheet2";#N/A,#N/A,FALSE,"TAB96-1"}</definedName>
    <definedName name="wrn.보호계전기." localSheetId="2">{#N/A,#N/A,FALSE,"ENG'G(보호계전기)"}</definedName>
    <definedName name="wrn.현장._.NCR._.분석." localSheetId="2">{#N/A,#N/A,FALSE,"현장 NCR 분석";#N/A,#N/A,FALSE,"현장품질감사";#N/A,#N/A,FALSE,"현장품질감사"}</definedName>
    <definedName name="wrn1.Cons." localSheetId="2">{"EconCons",#N/A,TRUE,"Econômico - Consolidado";"CaixaCons",#N/A,TRUE,"Caixa - Consolidado";"InvestCons",#N/A,TRUE,"Invest Consolidado"}</definedName>
    <definedName name="wrn1.print._.all." localSheetId="2">{#N/A,#N/A,FALSE,"$170M Cash";#N/A,#N/A,FALSE,"$250M Cash";#N/A,#N/A,FALSE,"$325M Cash"}</definedName>
    <definedName name="WRS" localSheetId="2">{"'장비'!$A$3:$M$12"}</definedName>
    <definedName name="wrt" localSheetId="2">{#N/A,#N/A,FALSE,"$170M Cash";#N/A,#N/A,FALSE,"$250M Cash";#N/A,#N/A,FALSE,"$325M Cash"}</definedName>
    <definedName name="wvu.PLANILHA2.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2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2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2">{#N/A,#N/A,FALSE,"Plan1";#N/A,#N/A,FALSE,"Plan2"}</definedName>
    <definedName name="xcgjkfghf" localSheetId="2">{#N/A,#N/A,FALSE,"Plan1";#N/A,#N/A,FALSE,"Plan2"}</definedName>
    <definedName name="XCGJKVHFDG" localSheetId="2">{#N/A,#N/A,FALSE,"Plan1";#N/A,#N/A,FALSE,"Plan2"}</definedName>
    <definedName name="xcgtrty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2">{#N/A,#N/A,FALSE,"Plan1";#N/A,#N/A,FALSE,"Plan2"}</definedName>
    <definedName name="xcndj" localSheetId="2">{#N/A,#N/A,FALSE,"Plan1";#N/A,#N/A,FALSE,"Plan2"}</definedName>
    <definedName name="XCVGGT" localSheetId="2">{#N/A,#N/A,FALSE,"Plan1";#N/A,#N/A,FALSE,"Plan2"}</definedName>
    <definedName name="xcvrg" localSheetId="2">{#N/A,#N/A,FALSE,"Plan1";#N/A,#N/A,FALSE,"Plan2"}</definedName>
    <definedName name="xdfef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2">{#N/A,#N/A,FALSE,"Plan1";#N/A,#N/A,FALSE,"Plan2"}</definedName>
    <definedName name="xfdlfj" localSheetId="2">{#N/A,#N/A,FALSE,"Plan1";#N/A,#N/A,FALSE,"Plan2"}</definedName>
    <definedName name="xfdxfdf" localSheetId="2">{#N/A,#N/A,FALSE,"Plan1";#N/A,#N/A,FALSE,"Plan2"}</definedName>
    <definedName name="XFJKLDJKLGJ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2">{#N/A,#N/A,FALSE,"Plan1";#N/A,#N/A,FALSE,"Plan2"}</definedName>
    <definedName name="XFT" localSheetId="2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2">{"Econ Consolidado",#N/A,FALSE,"Econ Consol";"Fluxo de Caixa",#N/A,FALSE,"Fluxo Caixa";"Investimentos",#N/A,FALSE,"Investimentos"}</definedName>
    <definedName name="xfvgcfgt" localSheetId="2">{#N/A,#N/A,FALSE,"Plan1";#N/A,#N/A,FALSE,"Plan2"}</definedName>
    <definedName name="xgrg" localSheetId="2">{#N/A,#N/A,FALSE,"Plan1";#N/A,#N/A,FALSE,"Plan2"}</definedName>
    <definedName name="xmght" localSheetId="2">{#N/A,#N/A,FALSE,"Plan1";#N/A,#N/A,FALSE,"Plan2"}</definedName>
    <definedName name="xo" localSheetId="2">{#N/A,#N/A,FALSE,"Global by BU";#N/A,#N/A,FALSE,"U.S. by BU";#N/A,#N/A,FALSE,"Canada by BU";#N/A,#N/A,FALSE,"Europe by BU";#N/A,#N/A,FALSE,"Asia by BU";#N/A,#N/A,FALSE,"Cala by BU"}</definedName>
    <definedName name="xxx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" localSheetId="2">#REF!</definedName>
    <definedName name="XXXXX" localSheetId="2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2">{"'Edit'!$A$1:$V$2277"}</definedName>
    <definedName name="xxxxxxxxxxxxxx" localSheetId="2">{#N/A,#N/A,FALSE,"Plan1";#N/A,#N/A,FALSE,"Plan2"}</definedName>
    <definedName name="xzfrt" localSheetId="2">{#N/A,#N/A,FALSE,"Plan1";#N/A,#N/A,FALSE,"Plan2"}</definedName>
    <definedName name="yeitrtged" localSheetId="2">{#N/A,#N/A,FALSE,"Plan1";#N/A,#N/A,FALSE,"Plan2"}</definedName>
    <definedName name="yhdfiuygrui" localSheetId="2">{#N/A,#N/A,FALSE,"Plan1";#N/A,#N/A,FALSE,"Plan2"}</definedName>
    <definedName name="YRGUYDRIY" localSheetId="2">{"Econ Consolidado",#N/A,FALSE,"Econ Consol";"Fluxo de Caixa",#N/A,FALSE,"Fluxo Caixa";"Investimentos",#N/A,FALSE,"Investimentos"}</definedName>
    <definedName name="yuegursdmksf" localSheetId="2">{#N/A,#N/A,FALSE,"Plan1";#N/A,#N/A,FALSE,"Plan2"}</definedName>
    <definedName name="yuekl4fr" localSheetId="2">{#N/A,#N/A,FALSE,"Plan1";#N/A,#N/A,FALSE,"Plan2"}</definedName>
    <definedName name="yureytuyrea" localSheetId="2">{#N/A,#N/A,FALSE,"Plan1";#N/A,#N/A,FALSE,"Plan2"}</definedName>
    <definedName name="z" localSheetId="2">{"'Estimativa de Lançamento-JAN'!$A$1:$AI$85"}</definedName>
    <definedName name="z\djs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cdçskld" localSheetId="2" hidden="1">{#N/A,#N/A,FALSE,"Plan1";#N/A,#N/A,FALSE,"Plan2"}</definedName>
    <definedName name="zcsdrfrt" localSheetId="2" hidden="1">{#N/A,#N/A,FALSE,"Plan1";#N/A,#N/A,FALSE,"Plan2"}</definedName>
    <definedName name="ZDRE" localSheetId="2" hidden="1">{#N/A,#N/A,FALSE,"Plan1";#N/A,#N/A,FALSE,"Plan2"}</definedName>
    <definedName name="ZSADF" localSheetId="2" hidden="1">{#N/A,#N/A,FALSE,"Plan1";#N/A,#N/A,FALSE,"Plan2"}</definedName>
    <definedName name="zsads" localSheetId="2" hidden="1">{#N/A,#N/A,FALSE,"Plan1";#N/A,#N/A,FALSE,"Plan2"}</definedName>
    <definedName name="zsdsf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2" hidden="1">{#N/A,#N/A,FALSE,"Plan1";#N/A,#N/A,FALSE,"Plan2"}</definedName>
    <definedName name="zxcfdstrrt" localSheetId="2" hidden="1">{#N/A,#N/A,FALSE,"Plan1";#N/A,#N/A,FALSE,"Plan2"}</definedName>
    <definedName name="zxcx" localSheetId="2" hidden="1">{#N/A,#N/A,FALSE,"Plan1";#N/A,#N/A,FALSE,"Plan2"}</definedName>
    <definedName name="ZXFCRF" localSheetId="2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2" hidden="1">{#N/A,#N/A,FALSE,"Plan1";#N/A,#N/A,FALSE,"Plan2"}</definedName>
    <definedName name="zzdftr" localSheetId="2" hidden="1">{#N/A,#N/A,FALSE,"Plan1";#N/A,#N/A,FALSE,"Plan2"}</definedName>
    <definedName name="ㄱ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2" hidden="1">{"'장비'!$A$3:$M$12"}</definedName>
    <definedName name="검증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2" hidden="1">{#N/A,#N/A,FALSE,"현장 NCR 분석";#N/A,#N/A,FALSE,"현장품질감사";#N/A,#N/A,FALSE,"현장품질감사"}</definedName>
    <definedName name="고문2" localSheetId="2" hidden="1">{#N/A,#N/A,FALSE,"현장 NCR 분석";#N/A,#N/A,FALSE,"현장품질감사";#N/A,#N/A,FALSE,"현장품질감사"}</definedName>
    <definedName name="공공공표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2" hidden="1">{#N/A,#N/A,FALSE,"ENG'G(보호계전기)"}</definedName>
    <definedName name="공급표표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2" hidden="1">{#N/A,#N/A,FALSE,"CCTV"}</definedName>
    <definedName name="ㄷㄳ" localSheetId="2" hidden="1">{"'장비'!$A$3:$M$12"}</definedName>
    <definedName name="ㄷㄷㄷㄷ" localSheetId="2" hidden="1">{"'장비'!$A$3:$M$12"}</definedName>
    <definedName name="ㄷㅈㅂㄷ" localSheetId="2" hidden="1">{"'장비'!$A$3:$M$12"}</definedName>
    <definedName name="ㄹㄹ" localSheetId="2" hidden="1">{"'장비'!$A$3:$M$12"}</definedName>
    <definedName name="랄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2" hidden="1">{#N/A,#N/A,FALSE,"현장 NCR 분석";#N/A,#N/A,FALSE,"현장품질감사";#N/A,#N/A,FALSE,"현장품질감사"}</definedName>
    <definedName name="ㅁ" localSheetId="2" hidden="1">{#N/A,#N/A,FALSE,"명세표"}</definedName>
    <definedName name="ㅁ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2" hidden="1">{#N/A,#N/A,FALSE,"명세표"}</definedName>
    <definedName name="ㅁㅁㅁㅁㅁㅁㅁㅁㅁㅁㅁㅁ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2" hidden="1">{#N/A,#N/A,FALSE,"명세표"}</definedName>
    <definedName name="ㅂㅂㅂㅂ" localSheetId="2" hidden="1">{#N/A,#N/A,FALSE,"명세표"}</definedName>
    <definedName name="ㅂㅂㅂㅂㅂㅂㅂ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2" hidden="1">{"'장비'!$A$3:$M$12"}</definedName>
    <definedName name="ㅂㅈㄷ" localSheetId="2" hidden="1">{"'장비'!$A$3:$M$12"}</definedName>
    <definedName name="ㅂㅈㄷㄷㅂㅈㅈㅂ" localSheetId="2" hidden="1">{"'장비'!$A$3:$M$12"}</definedName>
    <definedName name="ㅂㅈㄷㅂㅈ" localSheetId="2" hidden="1">{"'장비'!$A$3:$M$12"}</definedName>
    <definedName name="ㅂㅈㄷㅂㅈㅈㅂㄷ" localSheetId="2" hidden="1">{"'장비'!$A$3:$M$12"}</definedName>
    <definedName name="ㅂㅈㄷㅈㅂㄷ" localSheetId="2" hidden="1">{"'장비'!$A$3:$M$12"}</definedName>
    <definedName name="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2" hidden="1">{#N/A,#N/A,FALSE,"ENG'G(보호계전기)"}</definedName>
    <definedName name="본공사공정표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2" hidden="1">{#N/A,#N/A,FALSE,"현장 NCR 분석";#N/A,#N/A,FALSE,"현장품질감사";#N/A,#N/A,FALSE,"현장품질감사"}</definedName>
    <definedName name="분야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2" hidden="1">{"'장비'!$A$3:$M$12"}</definedName>
    <definedName name="ㅅㅅㅅㅅㅅ" localSheetId="2" hidden="1">{"'장비'!$A$3:$M$12"}</definedName>
    <definedName name="사업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2" hidden="1">{#N/A,#N/A,FALSE,"TABLE"}</definedName>
    <definedName name="석항" localSheetId="2" hidden="1">{#N/A,#N/A,FALSE,"명세표"}</definedName>
    <definedName name="설계현황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2" hidden="1">{"'장비'!$A$3:$M$12"}</definedName>
    <definedName name="신설" localSheetId="2" hidden="1">{#N/A,#N/A,FALSE,"명세표"}</definedName>
    <definedName name="ㅇㅇ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2" hidden="1">{#N/A,#N/A,FALSE,"명세표"}</definedName>
    <definedName name="ㅈㅈㅈㅈ" localSheetId="2" hidden="1">{#N/A,#N/A,FALSE,"명세표"}</definedName>
    <definedName name="자미" localSheetId="2" hidden="1">{#N/A,#N/A,FALSE,"명세표"}</definedName>
    <definedName name="자재3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2" hidden="1">{#N/A,#N/A,FALSE,"ENG'G(보호계전기)"}</definedName>
    <definedName name="집계" localSheetId="2" hidden="1">{#N/A,#N/A,FALSE,"명세표"}</definedName>
    <definedName name="철골공정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2" hidden="1">{#N/A,#N/A,FALSE,"명세표"}</definedName>
    <definedName name="ㅋㅋㅋ" localSheetId="2" hidden="1">{#N/A,#N/A,FALSE,"명세표"}</definedName>
    <definedName name="ㅌㅌ" localSheetId="2" hidden="1">{#N/A,#N/A,FALSE,"명세표"}</definedName>
    <definedName name="토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2" hidden="1">{"'장비'!$A$3:$M$12"}</definedName>
    <definedName name="하하하" localSheetId="2" hidden="1">{#N/A,#N/A,FALSE,"명세표"}</definedName>
    <definedName name="한국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2" hidden="1">{#N/A,#N/A,FALSE,"명세표"}</definedName>
    <definedName name="ㅏㅏㅏ" localSheetId="2" hidden="1">{#N/A,#N/A,FALSE,"명세표"}</definedName>
    <definedName name="ㅔㅔ" localSheetId="2" hidden="1">{#N/A,#N/A,FALSE,"명세표"}</definedName>
    <definedName name="ㅔㅔㅔㅔㅔ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2" hidden="1">{"'장비'!$A$3:$M$12"}</definedName>
    <definedName name="ㅗㅗ" localSheetId="2" hidden="1">{#N/A,#N/A,FALSE,"명세표"}</definedName>
    <definedName name="ㅗㅗㅗㅗㅗ" localSheetId="2" hidden="1">{"'장비'!$A$3:$M$12"}</definedName>
    <definedName name="ㅛ" localSheetId="2" hidden="1">{"'장비'!$A$3:$M$12"}</definedName>
    <definedName name="ㅛㅕㅛㅕㅛ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2" hidden="1">{"'장비'!$A$3:$M$12"}</definedName>
    <definedName name="ㅜ" localSheetId="2" hidden="1">{#N/A,#N/A,FALSE,"명세표"}</definedName>
    <definedName name="ㅠㅠ" localSheetId="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2" hidden="1">{#N/A,#N/A,FALSE,"명세표"}</definedName>
    <definedName name="_______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ACR10" localSheetId="3">#REF!</definedName>
    <definedName name="______ACR15" localSheetId="3">#REF!</definedName>
    <definedName name="______acr20" localSheetId="3">#REF!</definedName>
    <definedName name="______acr5" localSheetId="3">#REF!</definedName>
    <definedName name="______ARQ1" localSheetId="3">#REF!</definedName>
    <definedName name="______QT100" localSheetId="3">#REF!</definedName>
    <definedName name="______QT2" localSheetId="3">#REF!</definedName>
    <definedName name="______QT3" localSheetId="3">#REF!</definedName>
    <definedName name="______QT4" localSheetId="3">#REF!</definedName>
    <definedName name="______QT50" localSheetId="3">#REF!</definedName>
    <definedName name="______QT75" localSheetId="3">#REF!</definedName>
    <definedName name="_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ACR10" localSheetId="3">#REF!</definedName>
    <definedName name="_____ACR15" localSheetId="3">#REF!</definedName>
    <definedName name="_____acr20" localSheetId="3">#REF!</definedName>
    <definedName name="_____acr5" localSheetId="3">#REF!</definedName>
    <definedName name="_____ARQ1" localSheetId="3">#REF!</definedName>
    <definedName name="_____QT100" localSheetId="3">#REF!</definedName>
    <definedName name="_____QT2" localSheetId="3">#REF!</definedName>
    <definedName name="_____QT3" localSheetId="3">#REF!</definedName>
    <definedName name="_____QT4" localSheetId="3">#REF!</definedName>
    <definedName name="_____QT50" localSheetId="3">#REF!</definedName>
    <definedName name="_____QT75" localSheetId="3">#REF!</definedName>
    <definedName name="_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key2" localSheetId="3">#REF!</definedName>
    <definedName name="____PK2" localSheetId="3">{"'장비'!$A$3:$M$12"}</definedName>
    <definedName name="____PKG3" localSheetId="3">{"'장비'!$A$3:$M$12"}</definedName>
    <definedName name="____qqq222" localSheetId="3">{"'장비'!$A$3:$M$12"}</definedName>
    <definedName name="_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ACR10" localSheetId="3">#REF!</definedName>
    <definedName name="___ACR15" localSheetId="3">#REF!</definedName>
    <definedName name="___acr20" localSheetId="3">#REF!</definedName>
    <definedName name="___acr5" localSheetId="3">#REF!</definedName>
    <definedName name="___ARQ1" localSheetId="3">#REF!</definedName>
    <definedName name="___CO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key2" localSheetId="3">#REF!</definedName>
    <definedName name="___PK2" localSheetId="3">{"'장비'!$A$3:$M$12"}</definedName>
    <definedName name="___PKG3" localSheetId="3">{"'장비'!$A$3:$M$12"}</definedName>
    <definedName name="___qqq222" localSheetId="3">{"'장비'!$A$3:$M$12"}</definedName>
    <definedName name="___QT100" localSheetId="3">#REF!</definedName>
    <definedName name="___QT2" localSheetId="3">#REF!</definedName>
    <definedName name="___QT3" localSheetId="3">#REF!</definedName>
    <definedName name="___QT4" localSheetId="3">#REF!</definedName>
    <definedName name="___QT50" localSheetId="3">#REF!</definedName>
    <definedName name="___QT75" localSheetId="3">#REF!</definedName>
    <definedName name="_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123Graph_AChart1" localSheetId="3">#REF!</definedName>
    <definedName name="__123Graph_AGRA1" localSheetId="3">#REF!</definedName>
    <definedName name="__123Graph_ARES" localSheetId="3">#REF!</definedName>
    <definedName name="__123Graph_B" localSheetId="3">#REF!</definedName>
    <definedName name="__123Graph_BChart1" localSheetId="3">#REF!</definedName>
    <definedName name="__123Graph_C" localSheetId="3">#REF!</definedName>
    <definedName name="__123Graph_D" localSheetId="3">#REF!</definedName>
    <definedName name="__123Graph_X" localSheetId="3">#REF!</definedName>
    <definedName name="__123Graph_XChart1" localSheetId="3">#REF!</definedName>
    <definedName name="__123Graph_XGRA1" localSheetId="3">#REF!</definedName>
    <definedName name="__123Graph_XRES" localSheetId="3">#REF!</definedName>
    <definedName name="__ACR10" localSheetId="3">#REF!</definedName>
    <definedName name="__ACR15" localSheetId="3">#REF!</definedName>
    <definedName name="__acr20" localSheetId="3">#REF!</definedName>
    <definedName name="__acr5" localSheetId="3">#REF!</definedName>
    <definedName name="__ARQ1" localSheetId="3">#REF!</definedName>
    <definedName name="__Axe3" localSheetId="3">#REF!</definedName>
    <definedName name="__Axe4" localSheetId="3">#REF!</definedName>
    <definedName name="__CO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htm2" localSheetId="3">#REF!</definedName>
    <definedName name="__htn2" localSheetId="3">#REF!</definedName>
    <definedName name="__iss2" localSheetId="3">#REF!</definedName>
    <definedName name="__PK2" localSheetId="3">{"'장비'!$A$3:$M$12"}</definedName>
    <definedName name="__PKG3" localSheetId="3">{"'장비'!$A$3:$M$12"}</definedName>
    <definedName name="__qqq222" localSheetId="3">{"'장비'!$A$3:$M$12"}</definedName>
    <definedName name="__QT100" localSheetId="3">#REF!</definedName>
    <definedName name="__QT2" localSheetId="3">#REF!</definedName>
    <definedName name="__QT3" localSheetId="3">#REF!</definedName>
    <definedName name="__QT4" localSheetId="3">#REF!</definedName>
    <definedName name="__QT50" localSheetId="3">#REF!</definedName>
    <definedName name="__QT75" localSheetId="3">#REF!</definedName>
    <definedName name="_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0.CURVA_OBRA" localSheetId="3">#REF!</definedName>
    <definedName name="_00.VAR._GASTO" localSheetId="3">#REF!</definedName>
    <definedName name="_000.CURVA_FINA" localSheetId="3">#REF!</definedName>
    <definedName name="_1" localSheetId="3">#REF!</definedName>
    <definedName name="_1__123Graph_ACHART_1" localSheetId="3">#REF!</definedName>
    <definedName name="_10__123Graph_CCHART_1" localSheetId="3">#REF!</definedName>
    <definedName name="_11.SERV.TECNIC" localSheetId="3">#REF!</definedName>
    <definedName name="_11__123Graph_DCHART_1" localSheetId="3">#REF!</definedName>
    <definedName name="_12.GAST_GERAIS" localSheetId="3">#REF!</definedName>
    <definedName name="_13.P._PERMAN." localSheetId="3">#REF!</definedName>
    <definedName name="_15.IMPL._CANT" localSheetId="3">#REF!</definedName>
    <definedName name="_16.EQUIPAM." localSheetId="3">#REF!</definedName>
    <definedName name="_17.OPER._CANT." localSheetId="3">#REF!</definedName>
    <definedName name="_19.TRANC_LIMP." localSheetId="3">#REF!</definedName>
    <definedName name="_2" localSheetId="3">#REF!</definedName>
    <definedName name="_2__123Graph_BCHART_1" localSheetId="3">#REF!</definedName>
    <definedName name="_25.PREP.TERREN" localSheetId="3">#REF!</definedName>
    <definedName name="_27.FUND._ESCOR" localSheetId="3">#REF!</definedName>
    <definedName name="_3__123Graph_XCHART_1" localSheetId="3">#REF!</definedName>
    <definedName name="_31_32_33.C_A" localSheetId="3">#REF!</definedName>
    <definedName name="_41.ALVENARIA" localSheetId="3">#REF!</definedName>
    <definedName name="_47.IMP._ISOLA." localSheetId="3">#REF!</definedName>
    <definedName name="_5__123Graph_ACHART_1" localSheetId="3">#REF!</definedName>
    <definedName name="_51.REV.ARGAMAS" localSheetId="3">#REF!</definedName>
    <definedName name="_52.REV.CERAM.I" localSheetId="3">#REF!</definedName>
    <definedName name="_53.REV.CERAM.E" localSheetId="3">#REF!</definedName>
    <definedName name="_54.TACOS_E_ASS" localSheetId="3">#REF!</definedName>
    <definedName name="_55.MARM._E_GRA" localSheetId="3">#REF!</definedName>
    <definedName name="_56.MARMORITE" localSheetId="3">#REF!</definedName>
    <definedName name="_59.OUTRS_REVES" localSheetId="3">#REF!</definedName>
    <definedName name="_61.ESQUAD._MAD" localSheetId="3">#REF!</definedName>
    <definedName name="_63.ESQUAD._ALU" localSheetId="3">#REF!</definedName>
    <definedName name="_65.ESQUAD._FER" localSheetId="3">#REF!</definedName>
    <definedName name="_67.VIDROS" localSheetId="3">#REF!</definedName>
    <definedName name="_7__123Graph_ACHART_2" localSheetId="3">#REF!</definedName>
    <definedName name="_71_73.I.ELET_H" localSheetId="3">#REF!</definedName>
    <definedName name="_77.OUTRAS_INST." localSheetId="3">#REF!</definedName>
    <definedName name="_78.ELEVADORES" localSheetId="3">#REF!</definedName>
    <definedName name="_81.APAR._SANIT" localSheetId="3">#REF!</definedName>
    <definedName name="_83_85.PINT_LIM" localSheetId="3">#REF!</definedName>
    <definedName name="_9__123Graph_BCHART_2" localSheetId="3">#REF!</definedName>
    <definedName name="_ACR10" localSheetId="3">#REF!</definedName>
    <definedName name="_ACR15" localSheetId="3">#REF!</definedName>
    <definedName name="_acr20" localSheetId="3">#REF!</definedName>
    <definedName name="_acr5" localSheetId="3">#REF!</definedName>
    <definedName name="_akhnsdkjsdb" localSheetId="3">#REF!</definedName>
    <definedName name="_ARQ1" localSheetId="3">#REF!</definedName>
    <definedName name="_Axe3" localSheetId="3">#REF!</definedName>
    <definedName name="_Axe4" localSheetId="3">#REF!</definedName>
    <definedName name="_Builtin13" localSheetId="3">#REF!</definedName>
    <definedName name="_CAB1" localSheetId="3">#REF!</definedName>
    <definedName name="_CAB2" localSheetId="3">#REF!</definedName>
    <definedName name="_CO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Dist_Bin" localSheetId="3">#REF!</definedName>
    <definedName name="_Dist_Values" localSheetId="3">#REF!</definedName>
    <definedName name="_ECS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htm2" localSheetId="3">#REF!</definedName>
    <definedName name="_htn2" localSheetId="3">#REF!</definedName>
    <definedName name="_IA0542" localSheetId="3">{#N/A,#N/A,FALSE,"Plan1";#N/A,#N/A,FALSE,"Plan2"}</definedName>
    <definedName name="_iss2" localSheetId="3">#REF!</definedName>
    <definedName name="_IV65617" localSheetId="3">#REF!</definedName>
    <definedName name="_IV65999" localSheetId="3">#REF!</definedName>
    <definedName name="_IV66000" localSheetId="3">#REF!</definedName>
    <definedName name="_IV67021" localSheetId="3">#REF!</definedName>
    <definedName name="_IV67022" localSheetId="3">#REF!</definedName>
    <definedName name="_Key1" localSheetId="3">#REF!</definedName>
    <definedName name="_l" localSheetId="3">#REF!</definedName>
    <definedName name="_la29" localSheetId="3">#REF!</definedName>
    <definedName name="_la3" localSheetId="3">#REF!</definedName>
    <definedName name="_MatMult_A" localSheetId="3">#REF!</definedName>
    <definedName name="_new11" localSheetId="3">{#N/A,#N/A,FALSE,"Global by BU";#N/A,#N/A,FALSE,"U.S. by BU";#N/A,#N/A,FALSE,"Canada by BU";#N/A,#N/A,FALSE,"Europe by BU";#N/A,#N/A,FALSE,"Asia by BU";#N/A,#N/A,FALSE,"Cala by BU"}</definedName>
    <definedName name="_Order2" localSheetId="3">255</definedName>
    <definedName name="_PAV01" localSheetId="3">#REF!</definedName>
    <definedName name="_PAV02" localSheetId="3">#REF!</definedName>
    <definedName name="_PAV03" localSheetId="3">#REF!</definedName>
    <definedName name="_PAV04" localSheetId="3">#REF!</definedName>
    <definedName name="_PAV05" localSheetId="3">#REF!</definedName>
    <definedName name="_PAV06" localSheetId="3">#REF!</definedName>
    <definedName name="_PAV07" localSheetId="3">#REF!</definedName>
    <definedName name="_PAV08" localSheetId="3">#REF!</definedName>
    <definedName name="_PAV09" localSheetId="3">#REF!</definedName>
    <definedName name="_PAV10" localSheetId="3">#REF!</definedName>
    <definedName name="_PAV11" localSheetId="3">#REF!</definedName>
    <definedName name="_PK2" localSheetId="3">{"'장비'!$A$3:$M$12"}</definedName>
    <definedName name="_PKG3" localSheetId="3">{"'장비'!$A$3:$M$12"}</definedName>
    <definedName name="_qqq222" localSheetId="3">{"'장비'!$A$3:$M$12"}</definedName>
    <definedName name="_QT100" localSheetId="3">#REF!</definedName>
    <definedName name="_QT2" localSheetId="3">#REF!</definedName>
    <definedName name="_QT3" localSheetId="3">#REF!</definedName>
    <definedName name="_QT4" localSheetId="3">#REF!</definedName>
    <definedName name="_QT50" localSheetId="3">#REF!</definedName>
    <definedName name="_QT75" localSheetId="3">#REF!</definedName>
    <definedName name="_r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egression_Out" localSheetId="3">#REF!</definedName>
    <definedName name="_sfe5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Sort" localSheetId="3">#REF!</definedName>
    <definedName name="_T" localSheetId="3">#REF!</definedName>
    <definedName name="_wer3" localSheetId="3">{#N/A,#N/A,FALSE,"Plan1";#N/A,#N/A,FALSE,"Plan2"}</definedName>
    <definedName name="_wrn.pendencias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x10" localSheetId="3">#REF!</definedName>
    <definedName name="_x11" localSheetId="3">#REF!</definedName>
    <definedName name="_x12" localSheetId="3">#REF!</definedName>
    <definedName name="_xlcn.WorksheetConnection_2018_03ResumoRGOObrasRJ.xlsbTabela1" localSheetId="3">#REF!</definedName>
    <definedName name="_xlcn.WorksheetConnection_ProjetocontrolefisicoefinanceiroRJ.xlsxTabela31" localSheetId="3">#REF!</definedName>
    <definedName name="a" localSheetId="3">#REF!</definedName>
    <definedName name="aa" localSheetId="3">#REF!</definedName>
    <definedName name="aaa" localSheetId="3">#REF!</definedName>
    <definedName name="AAAA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dc" localSheetId="3">#REF!</definedName>
    <definedName name="aaacccc" localSheetId="3">{#N/A,#N/A,FALSE,"Plan1";#N/A,#N/A,FALSE,"Plan2"}</definedName>
    <definedName name="aaas" localSheetId="3">#REF!</definedName>
    <definedName name="AB" localSheetId="3">#REF!</definedName>
    <definedName name="Abat_ISS" localSheetId="3">#REF!</definedName>
    <definedName name="abc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ebqt" localSheetId="3">#REF!</definedName>
    <definedName name="abr17RJ" localSheetId="3">#REF!</definedName>
    <definedName name="ABRIL" localSheetId="3">#REF!</definedName>
    <definedName name="ABRIL2001" localSheetId="3">#REF!</definedName>
    <definedName name="Acabam." localSheetId="3">#REF!</definedName>
    <definedName name="ACADUC" localSheetId="3">#REF!</definedName>
    <definedName name="ACBEB" localSheetId="3">#REF!</definedName>
    <definedName name="ACBOMB" localSheetId="3">#REF!</definedName>
    <definedName name="ACCHAF" localSheetId="3">#REF!</definedName>
    <definedName name="acdb" localSheetId="3">#REF!</definedName>
    <definedName name="ACDER" localSheetId="3">#REF!</definedName>
    <definedName name="ACDIV" localSheetId="3">#REF!</definedName>
    <definedName name="ACEQP" localSheetId="3">#REF!</definedName>
    <definedName name="ACHAFQT" localSheetId="3">#REF!</definedName>
    <definedName name="ACMUR" localSheetId="3">#REF!</definedName>
    <definedName name="açoeeer" localSheetId="3">{#N/A,#N/A,FALSE,"Plan1";#N/A,#N/A,FALSE,"Plan2"}</definedName>
    <definedName name="ACOMP" localSheetId="3">#REF!</definedName>
    <definedName name="ACONT2" localSheetId="3">#REF!</definedName>
    <definedName name="ACPIPA" localSheetId="3">#REF!</definedName>
    <definedName name="ACTRANSP" localSheetId="3">#REF!</definedName>
    <definedName name="ACwvu.PLANILHA2." localSheetId="3">#REF!</definedName>
    <definedName name="ad" localSheetId="3">{#N/A,#N/A,FALSE,"Plan1";#N/A,#N/A,FALSE,"Plan2"}</definedName>
    <definedName name="adads" localSheetId="3">{#N/A,#N/A,FALSE,"Plan1";#N/A,#N/A,FALSE,"Plan2"}</definedName>
    <definedName name="adads2" localSheetId="3">{#N/A,#N/A,FALSE,"Plan1";#N/A,#N/A,FALSE,"Plan2"}</definedName>
    <definedName name="adced" localSheetId="3">{#N/A,#N/A,FALSE,"Plan1";#N/A,#N/A,FALSE,"Plan2"}</definedName>
    <definedName name="adced2" localSheetId="3">{#N/A,#N/A,FALSE,"Plan1";#N/A,#N/A,FALSE,"Plan2"}</definedName>
    <definedName name="ader" localSheetId="3">{#N/A,#N/A,FALSE,"Plan1";#N/A,#N/A,FALSE,"Plan2"}</definedName>
    <definedName name="ader2" localSheetId="3">{#N/A,#N/A,FALSE,"Plan1";#N/A,#N/A,FALSE,"Plan2"}</definedName>
    <definedName name="adesr" localSheetId="3">{#N/A,#N/A,FALSE,"Plan1";#N/A,#N/A,FALSE,"Plan2"}</definedName>
    <definedName name="adewr" localSheetId="3">{#N/A,#N/A,FALSE,"Plan1";#N/A,#N/A,FALSE,"Plan2"}</definedName>
    <definedName name="adf" localSheetId="3">{#N/A,#N/A,FALSE,"Plan1";#N/A,#N/A,FALSE,"Plan2"}</definedName>
    <definedName name="ADITIVO_BRUTO" localSheetId="3">#REF!</definedName>
    <definedName name="ADITIVO_LIQUIDO" localSheetId="3">#REF!</definedName>
    <definedName name="ADM.EXTERNA" localSheetId="3">#REF!</definedName>
    <definedName name="adsfr" localSheetId="3">{#N/A,#N/A,FALSE,"Plan1";#N/A,#N/A,FALSE,"Plan2"}</definedName>
    <definedName name="adssrgtg" localSheetId="3">{#N/A,#N/A,FALSE,"Plan1";#N/A,#N/A,FALSE,"Plan2"}</definedName>
    <definedName name="adtsetrr6t" localSheetId="3">{#N/A,#N/A,FALSE,"Plan1";#N/A,#N/A,FALSE,"Plan2"}</definedName>
    <definedName name="ADUCQT" localSheetId="3">#REF!</definedName>
    <definedName name="adwr" localSheetId="3">{#N/A,#N/A,FALSE,"Plan1";#N/A,#N/A,FALSE,"Plan2"}</definedName>
    <definedName name="aeiresft" localSheetId="3">{#N/A,#N/A,FALSE,"Plan1";#N/A,#N/A,FALSE,"Plan2"}</definedName>
    <definedName name="aEL3QE" localSheetId="3">{#N/A,#N/A,FALSE,"Plan1";#N/A,#N/A,FALSE,"Plan2"}</definedName>
    <definedName name="afeasfre" localSheetId="3">{#N/A,#N/A,FALSE,"Plan1";#N/A,#N/A,FALSE,"Plan2"}</definedName>
    <definedName name="agdsf" localSheetId="3">#REF!</definedName>
    <definedName name="ago17RJ" localSheetId="3">#REF!</definedName>
    <definedName name="AGOSTO" localSheetId="3">#REF!</definedName>
    <definedName name="agua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3">{#N/A,#N/A,FALSE,"CCTV"}</definedName>
    <definedName name="AITEM" localSheetId="3">#REF!</definedName>
    <definedName name="Ajudante_Geral" localSheetId="3">#REF!</definedName>
    <definedName name="ajudante_mes" localSheetId="3">#REF!</definedName>
    <definedName name="AL" localSheetId="3">#REF!</definedName>
    <definedName name="ALTADUC" localSheetId="3">#REF!</definedName>
    <definedName name="ALTBOMB" localSheetId="3">#REF!</definedName>
    <definedName name="ALTCAP" localSheetId="3">#REF!</definedName>
    <definedName name="ALTDER" localSheetId="3">#REF!</definedName>
    <definedName name="ALTEQUIP" localSheetId="3">#REF!</definedName>
    <definedName name="ALTIEQP" localSheetId="3">#REF!</definedName>
    <definedName name="ALTMUR" localSheetId="3">#REF!</definedName>
    <definedName name="ALTRES10" localSheetId="3">#REF!</definedName>
    <definedName name="ALTRES15" localSheetId="3">#REF!</definedName>
    <definedName name="ALTRES20" localSheetId="3">#REF!</definedName>
    <definedName name="ALTTRANS" localSheetId="3">#REF!</definedName>
    <definedName name="ALUMÍNIO_2" localSheetId="3">#REF!</definedName>
    <definedName name="angelo" localSheetId="3">#REF!</definedName>
    <definedName name="anscount" localSheetId="3">3</definedName>
    <definedName name="AQE" localSheetId="3">{"'장비'!$A$3:$M$12"}</definedName>
    <definedName name="AQTEMP1" localSheetId="3">#REF!</definedName>
    <definedName name="AQTEMP2" localSheetId="3">#REF!</definedName>
    <definedName name="ArComprimido" localSheetId="3">{"'Estimativa de Lançamento-JAN'!$A$1:$AI$85"}</definedName>
    <definedName name="area" localSheetId="3">{#N/A,#N/A,FALSE,"Plan1";#N/A,#N/A,FALSE,"Plan2"}</definedName>
    <definedName name="área" localSheetId="3">#REF!</definedName>
    <definedName name="Área_Construída" localSheetId="3">#REF!</definedName>
    <definedName name="Área_impressão_IM" localSheetId="3">#REF!</definedName>
    <definedName name="Área_Privativa" localSheetId="3">#REF!</definedName>
    <definedName name="Área_Terreno" localSheetId="3">#REF!</definedName>
    <definedName name="area1" localSheetId="3">#REF!</definedName>
    <definedName name="Areaimpresso" localSheetId="3">#REF!</definedName>
    <definedName name="ARM" localSheetId="3">#REF!</definedName>
    <definedName name="ARMABLOCOS" localSheetId="3">#REF!</definedName>
    <definedName name="ARMAÇÃO" localSheetId="3">#REF!</definedName>
    <definedName name="ARQ" localSheetId="3">#REF!</definedName>
    <definedName name="ARQERR" localSheetId="3">#REF!</definedName>
    <definedName name="ARQPLAN" localSheetId="3">#REF!</definedName>
    <definedName name="ARQT" localSheetId="3">#REF!</definedName>
    <definedName name="ARQTEMP" localSheetId="3">#REF!</definedName>
    <definedName name="ARQTXT" localSheetId="3">#REF!</definedName>
    <definedName name="ARTEMP" localSheetId="3">#REF!</definedName>
    <definedName name="AS" localSheetId="3">#REF!</definedName>
    <definedName name="asawe3" localSheetId="3">{#N/A,#N/A,FALSE,"Plan1";#N/A,#N/A,FALSE,"Plan2"}</definedName>
    <definedName name="ASD" localSheetId="3">17</definedName>
    <definedName name="ASDA" localSheetId="3">{#N/A,#N/A,FALSE,"Plan1";#N/A,#N/A,FALSE,"Plan2"}</definedName>
    <definedName name="asdade" localSheetId="3">{#N/A,#N/A,FALSE,"Plan1";#N/A,#N/A,FALSE,"Plan2"}</definedName>
    <definedName name="asdas" localSheetId="3">{#N/A,#N/A,FALSE,"Plan1";#N/A,#N/A,FALSE,"Plan2"}</definedName>
    <definedName name="asdawed" localSheetId="3">{#N/A,#N/A,FALSE,"Plan1";#N/A,#N/A,FALSE,"Plan2"}</definedName>
    <definedName name="ASDER" localSheetId="3">{#N/A,#N/A,FALSE,"Plan1";#N/A,#N/A,FALSE,"Plan2"}</definedName>
    <definedName name="asderr" localSheetId="3">{#N/A,#N/A,FALSE,"Plan1";#N/A,#N/A,FALSE,"Plan2"}</definedName>
    <definedName name="asdesre" localSheetId="3">{#N/A,#N/A,FALSE,"Plan1";#N/A,#N/A,FALSE,"Plan2"}</definedName>
    <definedName name="asdewr" localSheetId="3">{#N/A,#N/A,FALSE,"Plan1";#N/A,#N/A,FALSE,"Plan2"}</definedName>
    <definedName name="ASDFASDFA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3">{#N/A,#N/A,FALSE,"Plan1";#N/A,#N/A,FALSE,"Plan2"}</definedName>
    <definedName name="asdg" localSheetId="3">{#N/A,#N/A,FALSE,"Plan1";#N/A,#N/A,FALSE,"Plan2"}</definedName>
    <definedName name="asdjksej" localSheetId="3">#REF!</definedName>
    <definedName name="asdke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3">{#N/A,#N/A,FALSE,"Plan1";#N/A,#N/A,FALSE,"Plan2"}</definedName>
    <definedName name="asdqwe" localSheetId="3">{#N/A,#N/A,FALSE,"Plan1";#N/A,#N/A,FALSE,"Plan2"}</definedName>
    <definedName name="asdsa" localSheetId="3">{#N/A,#N/A,FALSE,"Plan1";#N/A,#N/A,FALSE,"Plan2"}</definedName>
    <definedName name="asdser" localSheetId="3">{#N/A,#N/A,FALSE,"Plan1";#N/A,#N/A,FALSE,"Plan2"}</definedName>
    <definedName name="asdwef" localSheetId="3">{#N/A,#N/A,FALSE,"Plan1";#N/A,#N/A,FALSE,"Plan2"}</definedName>
    <definedName name="aseiuw" localSheetId="3">#REF!</definedName>
    <definedName name="ASET" localSheetId="3">{#N/A,#N/A,FALSE,"Plan1";#N/A,#N/A,FALSE,"Plan2"}</definedName>
    <definedName name="asfDSF" localSheetId="3">{#N/A,#N/A,FALSE,"Plan1";#N/A,#N/A,FALSE,"Plan2"}</definedName>
    <definedName name="ASFERTE" localSheetId="3">{#N/A,#N/A,FALSE,"Plan1";#N/A,#N/A,FALSE,"Plan2"}</definedName>
    <definedName name="asfl" localSheetId="3">{#N/A,#N/A,FALSE,"Plan1";#N/A,#N/A,FALSE,"Plan2"}</definedName>
    <definedName name="asfsz" localSheetId="3">{#N/A,#N/A,FALSE,"Plan1";#N/A,#N/A,FALSE,"Plan2"}</definedName>
    <definedName name="askserf" localSheetId="3">{#N/A,#N/A,FALSE,"Plan1";#N/A,#N/A,FALSE,"Plan2"}</definedName>
    <definedName name="ASSFSDF" localSheetId="3">{#N/A,#N/A,FALSE,"Plan1";#N/A,#N/A,FALSE,"Plan2"}</definedName>
    <definedName name="asw" localSheetId="3">{#N/A,#N/A,FALSE,"Plan1";#N/A,#N/A,FALSE,"Plan2"}</definedName>
    <definedName name="Até_Chaves" localSheetId="3">#REF!</definedName>
    <definedName name="ATIVOS" localSheetId="3">{#N/A,#N/A,FALSE,"F-01"}</definedName>
    <definedName name="Ato" localSheetId="3">#REF!</definedName>
    <definedName name="ATUAL" localSheetId="3">#REF!</definedName>
    <definedName name="aux" localSheetId="3">#REF!</definedName>
    <definedName name="AUXILIO" localSheetId="3">#REF!</definedName>
    <definedName name="avulsos" localSheetId="3">#REF!</definedName>
    <definedName name="awdjw" localSheetId="3">{#N/A,#N/A,FALSE,"Plan1";#N/A,#N/A,FALSE,"Plan2"}</definedName>
    <definedName name="aweqw4" localSheetId="3">{#N/A,#N/A,FALSE,"Plan1";#N/A,#N/A,FALSE,"Plan2"}</definedName>
    <definedName name="awssdwaer" localSheetId="3">{#N/A,#N/A,FALSE,"Plan1";#N/A,#N/A,FALSE,"Plan2"}</definedName>
    <definedName name="AZ" localSheetId="3">#REF!</definedName>
    <definedName name="B" localSheetId="3">#REF!</definedName>
    <definedName name="BA" localSheetId="3">#REF!</definedName>
    <definedName name="BANCO" localSheetId="3">#REF!</definedName>
    <definedName name="Banco_dados_IM" localSheetId="3">#REF!</definedName>
    <definedName name="BANCO1" localSheetId="3">#REF!</definedName>
    <definedName name="BANCO2" localSheetId="3">#REF!</definedName>
    <definedName name="BANCO3" localSheetId="3">#REF!</definedName>
    <definedName name="BANCO4" localSheetId="3">#REF!</definedName>
    <definedName name="BASE" localSheetId="3">OFFSET(#REF!,0,0,COUNTA(#REF!)+1,5)</definedName>
    <definedName name="BASE_DE_DADOS_FLUXO_DE_CAIXA" localSheetId="3">OFFSET(#REF!,0,0,COUNTA(#REF!),COUNTA(#REF!))</definedName>
    <definedName name="BASE_FL_CX_3S" localSheetId="3">OFFSET(#REF!,0,0,COUNTA(#REF!),COUNTA(#REF!))</definedName>
    <definedName name="BASE_FLUXO_CAIXA_2017" localSheetId="3">OFFSET(#REF!,0,0,COUNTA(#REF!),COUNTA(#REF!))</definedName>
    <definedName name="bb" localSheetId="3">#REF!</definedName>
    <definedName name="bbb" localSheetId="3">#REF!</definedName>
    <definedName name="bbbbbbbbbbbbbbb" localSheetId="3">{"'Edit'!$A$1:$V$2277"}</definedName>
    <definedName name="BD" localSheetId="3">#REF!</definedName>
    <definedName name="BDA" localSheetId="3">#REF!</definedName>
    <definedName name="bdfjghf" localSheetId="3">{#N/A,#N/A,FALSE,"Plan1";#N/A,#N/A,FALSE,"Plan2"}</definedName>
    <definedName name="BDI" localSheetId="3">#REF!</definedName>
    <definedName name="bdzbfbdr" localSheetId="3">{#N/A,#N/A,FALSE,"Plan1";#N/A,#N/A,FALSE,"Plan2"}</definedName>
    <definedName name="be" localSheetId="3">#REF!</definedName>
    <definedName name="bebqt" localSheetId="3">#REF!</definedName>
    <definedName name="bela_cdi" localSheetId="3">#REF!</definedName>
    <definedName name="bela_hist" localSheetId="3">#REF!</definedName>
    <definedName name="bela_uss" localSheetId="3">#REF!</definedName>
    <definedName name="BGG" localSheetId="3">{#N/A,#N/A,FALSE,"Plan1";#N/A,#N/A,FALSE,"Plan2"}</definedName>
    <definedName name="bhjgfhfh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3">{#N/A,#N/A,FALSE,"Plan1";#N/A,#N/A,FALSE,"Plan2"}</definedName>
    <definedName name="bloco" localSheetId="3">#REF!</definedName>
    <definedName name="BLPH1" localSheetId="3">#REF!</definedName>
    <definedName name="BLPH100" localSheetId="3">#REF!</definedName>
    <definedName name="BLPH101" localSheetId="3">#REF!</definedName>
    <definedName name="BLPH102" localSheetId="3">#REF!</definedName>
    <definedName name="BLPH103" localSheetId="3">#REF!</definedName>
    <definedName name="BLPH104" localSheetId="3">#REF!</definedName>
    <definedName name="BLPH96" localSheetId="3">#REF!</definedName>
    <definedName name="BLPH97" localSheetId="3">#REF!</definedName>
    <definedName name="BLPH98" localSheetId="3">#REF!</definedName>
    <definedName name="BLPH99" localSheetId="3">#REF!</definedName>
    <definedName name="bmdgghrtfde" localSheetId="3">{#N/A,#N/A,FALSE,"Plan1";#N/A,#N/A,FALSE,"Plan2"}</definedName>
    <definedName name="bnkjhjhdfxgt" localSheetId="3">{#N/A,#N/A,FALSE,"Plan1";#N/A,#N/A,FALSE,"Plan2"}</definedName>
    <definedName name="BORBA2" localSheetId="3">#REF!</definedName>
    <definedName name="BuiltIn_Print_Area" localSheetId="3">#REF!</definedName>
    <definedName name="BuiltIn_Print_Area___0" localSheetId="3">#REF!</definedName>
    <definedName name="BuiltIn_Print_Titles" localSheetId="3">#REF!</definedName>
    <definedName name="BuiltIn_Print_Titles___0" localSheetId="3">#REF!</definedName>
    <definedName name="bxnzfmkzxbhdf" localSheetId="3">{#N/A,#N/A,FALSE,"Plan1";#N/A,#N/A,FALSE,"Plan2"}</definedName>
    <definedName name="ca" localSheetId="3">#REF!</definedName>
    <definedName name="CAGR" localSheetId="3">#REF!</definedName>
    <definedName name="caixa" localSheetId="3">#REF!</definedName>
    <definedName name="caixas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ambio" localSheetId="3">#REF!</definedName>
    <definedName name="CAMP" localSheetId="3">#REF!</definedName>
    <definedName name="CAMPOS" localSheetId="3">#REF!</definedName>
    <definedName name="Capa" localSheetId="3">#REF!</definedName>
    <definedName name="CAPA2" localSheetId="3">#REF!</definedName>
    <definedName name="CAPA55" localSheetId="3">#REF!</definedName>
    <definedName name="CAPA55A" localSheetId="3">#REF!</definedName>
    <definedName name="CAPELA" localSheetId="3">#REF!</definedName>
    <definedName name="CARLOS1" localSheetId="3">#REF!</definedName>
    <definedName name="CARTÃO4" localSheetId="3">#REF!</definedName>
    <definedName name="CAT6_IP" localSheetId="3">{#N/A,#N/A,FALSE,"F-01"}</definedName>
    <definedName name="categori45" localSheetId="3">#REF!</definedName>
    <definedName name="CATEGORIA1" localSheetId="3">#REF!</definedName>
    <definedName name="CATEGORIA10" localSheetId="3">#REF!</definedName>
    <definedName name="CATEGORIA11" localSheetId="3">#REF!</definedName>
    <definedName name="CATEGORIA12" localSheetId="3">#REF!</definedName>
    <definedName name="CATEGORIA13" localSheetId="3">#REF!</definedName>
    <definedName name="CATEGORIA14" localSheetId="3">#REF!</definedName>
    <definedName name="CATEGORIA15" localSheetId="3">#REF!</definedName>
    <definedName name="CATEGORIA16" localSheetId="3">#REF!</definedName>
    <definedName name="CATEGORIA17" localSheetId="3">#REF!</definedName>
    <definedName name="CATEGORIA18" localSheetId="3">#REF!</definedName>
    <definedName name="CATEGORIA19" localSheetId="3">#REF!</definedName>
    <definedName name="CATEGORIA2" localSheetId="3">#REF!</definedName>
    <definedName name="CATEGORIA20" localSheetId="3">#REF!</definedName>
    <definedName name="CATEGORIA21" localSheetId="3">#REF!</definedName>
    <definedName name="CATEGORIA22" localSheetId="3">#REF!</definedName>
    <definedName name="CATEGORIA3" localSheetId="3">#REF!</definedName>
    <definedName name="CATEGORIA4" localSheetId="3">#REF!</definedName>
    <definedName name="CATEGORIA5" localSheetId="3">#REF!</definedName>
    <definedName name="CATEGORIA6" localSheetId="3">#REF!</definedName>
    <definedName name="CATEGORIA7" localSheetId="3">#REF!</definedName>
    <definedName name="CATEGORIA8" localSheetId="3">#REF!</definedName>
    <definedName name="CATEGORIA9" localSheetId="3">#REF!</definedName>
    <definedName name="CATORZE" localSheetId="3">#REF!</definedName>
    <definedName name="CAUX2" localSheetId="3">OFFSET(#REF!,0,0,COUNTA(#REF!)+1,1)</definedName>
    <definedName name="CAUX3" localSheetId="3">OFFSET(#REF!,0,0,COUNTA(#REF!)+1,1)</definedName>
    <definedName name="CCC" localSheetId="3">#REF!</definedName>
    <definedName name="ççç" localSheetId="3">{#N/A,#N/A,FALSE,"Plan1";#N/A,#N/A,FALSE,"Plan2"}</definedName>
    <definedName name="cccc" localSheetId="3">{#N/A,#N/A,FALSE,"Plan1";#N/A,#N/A,FALSE,"Plan2"}</definedName>
    <definedName name="ççççççç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3">{"HW",#N/A,FALSE,"1998"}</definedName>
    <definedName name="cchart1" localSheetId="3">#REF!</definedName>
    <definedName name="cchart10" localSheetId="3">#REF!</definedName>
    <definedName name="cchart11" localSheetId="3">#REF!</definedName>
    <definedName name="çcklfjk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D" localSheetId="3">#REF!</definedName>
    <definedName name="çdfmerf" localSheetId="3">{#N/A,#N/A,FALSE,"Plan1";#N/A,#N/A,FALSE,"Plan2"}</definedName>
    <definedName name="CDSGHE" localSheetId="3">{#N/A,#N/A,FALSE,"Plan1";#N/A,#N/A,FALSE,"Plan2"}</definedName>
    <definedName name="cdvthd" localSheetId="3">#REF!</definedName>
    <definedName name="Cel_Constr" localSheetId="3">#REF!</definedName>
    <definedName name="CestaExcel" localSheetId="3">#REF!</definedName>
    <definedName name="CevaG" localSheetId="3">#REF!</definedName>
    <definedName name="CevaGS" localSheetId="3">#REF!</definedName>
    <definedName name="çfhjglkjhkljyh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3">{#N/A,#N/A,FALSE,"Plan1";#N/A,#N/A,FALSE,"Plan2"}</definedName>
    <definedName name="CHAFQT" localSheetId="3">#REF!</definedName>
    <definedName name="Chaves" localSheetId="3">#REF!</definedName>
    <definedName name="chfch" localSheetId="3">{#N/A,#N/A,FALSE,"Plan1";#N/A,#N/A,FALSE,"Plan2"}</definedName>
    <definedName name="CI" localSheetId="3">#REF!</definedName>
    <definedName name="cidades" localSheetId="3">#REF!</definedName>
    <definedName name="CIFIXA" localSheetId="3">#REF!</definedName>
    <definedName name="CINCO" localSheetId="3">#REF!</definedName>
    <definedName name="CITOTAL" localSheetId="3">#REF!</definedName>
    <definedName name="CIVAR" localSheetId="3">#REF!</definedName>
    <definedName name="ÇJKRÇLFS" localSheetId="3">{"Econ Consolidado",#N/A,FALSE,"Econ Consol";"Fluxo de Caixa",#N/A,FALSE,"Fluxo Caixa";"Investimentos",#N/A,FALSE,"Investimentos"}</definedName>
    <definedName name="ÇJsrejtçe" localSheetId="3">{#N/A,#N/A,FALSE,"Plan1";#N/A,#N/A,FALSE,"Plan2"}</definedName>
    <definedName name="çkaçekow" localSheetId="3">{#N/A,#N/A,FALSE,"Plan1";#N/A,#N/A,FALSE,"Plan2"}</definedName>
    <definedName name="ÇKSDOEKR" localSheetId="3">{#N/A,#N/A,FALSE,"Plan1";#N/A,#N/A,FALSE,"Plan2"}</definedName>
    <definedName name="çl" localSheetId="3">{#N/A,#N/A,FALSE,"Plan1";#N/A,#N/A,FALSE,"Plan2"}</definedName>
    <definedName name="çlassde" localSheetId="3">{#N/A,#N/A,FALSE,"Plan1";#N/A,#N/A,FALSE,"Plan2"}</definedName>
    <definedName name="Classificação" localSheetId="3">#REF!</definedName>
    <definedName name="çlçlç" localSheetId="3">{#N/A,#N/A,FALSE,"Plan1";#N/A,#N/A,FALSE,"Plan2"}</definedName>
    <definedName name="çld" localSheetId="3">{#N/A,#N/A,FALSE,"Plan1";#N/A,#N/A,FALSE,"Plan2"}</definedName>
    <definedName name="çlererr" localSheetId="3">{#N/A,#N/A,FALSE,"Plan1";#N/A,#N/A,FALSE,"Plan2"}</definedName>
    <definedName name="çlertert" localSheetId="3">{#N/A,#N/A,FALSE,"Plan1";#N/A,#N/A,FALSE,"Plan2"}</definedName>
    <definedName name="çlkdflçkrlr" localSheetId="3">#REF!</definedName>
    <definedName name="çll" localSheetId="3">{#N/A,#N/A,FALSE,"Plan1";#N/A,#N/A,FALSE,"Plan2"}</definedName>
    <definedName name="CMC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BRANÇA" localSheetId="3">#REF!</definedName>
    <definedName name="Cod_Esquadrias" localSheetId="3">#REF!</definedName>
    <definedName name="CÓDG" localSheetId="3">OFFSET(#REF!,0,0,COUNTA(#REF!),1)</definedName>
    <definedName name="codigo2" localSheetId="3">#REF!</definedName>
    <definedName name="codigo3" localSheetId="3">#REF!</definedName>
    <definedName name="CÓDT" localSheetId="3">OFFSET(#REF!,0,0,COUNTA(#REF!)+1,1)</definedName>
    <definedName name="COFINS" localSheetId="3">#REF!</definedName>
    <definedName name="cofins2" localSheetId="3">#REF!</definedName>
    <definedName name="COGS" localSheetId="3">#REF!</definedName>
    <definedName name="COLSUB" localSheetId="3">#REF!</definedName>
    <definedName name="COMISSOES" localSheetId="3">#REF!</definedName>
    <definedName name="COMPOSICAO" localSheetId="3">#REF!</definedName>
    <definedName name="composição" localSheetId="3">#REF!</definedName>
    <definedName name="COMPR" localSheetId="3">#REF!</definedName>
    <definedName name="COMPRIMENTO" localSheetId="3">#REF!</definedName>
    <definedName name="COMPROMETIDO" localSheetId="3">#REF!</definedName>
    <definedName name="CONFIRMAR" localSheetId="3">{#N/A,#N/A,TRUE,"Quinzena 01 à 15-04-98 "}</definedName>
    <definedName name="cont" localSheetId="3">{#N/A,#N/A,FALSE,"Plan1";#N/A,#N/A,FALSE,"Plan2"}</definedName>
    <definedName name="CONT1" localSheetId="3">#REF!</definedName>
    <definedName name="CONT2" localSheetId="3">#REF!</definedName>
    <definedName name="CONT3" localSheetId="3">#REF!</definedName>
    <definedName name="CONTAIT" localSheetId="3">#REF!</definedName>
    <definedName name="CONTREC" localSheetId="3">#REF!</definedName>
    <definedName name="CONTRES" localSheetId="3">#REF!</definedName>
    <definedName name="CONTROLE" localSheetId="3">#REF!</definedName>
    <definedName name="CONVERSÃO" localSheetId="3">#REF!</definedName>
    <definedName name="cpmf" localSheetId="3">#REF!</definedName>
    <definedName name="Credor_Rel_Sienge" localSheetId="3">#REF!</definedName>
    <definedName name="CRONG" localSheetId="3">#REF!</definedName>
    <definedName name="cronograma" localSheetId="3">#REF!</definedName>
    <definedName name="CRONOGRAMA_FÍSICO_FINANCEIRO" localSheetId="3">#REF!</definedName>
    <definedName name="CS" localSheetId="3">#REF!</definedName>
    <definedName name="cs_diferida" localSheetId="3">#REF!</definedName>
    <definedName name="ÇSAÇDFW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dkfçdrkt" localSheetId="3">#REF!</definedName>
    <definedName name="CS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3">{#N/A,#N/A,FALSE,"Plan1";#N/A,#N/A,FALSE,"Plan2"}</definedName>
    <definedName name="CTH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UST_DIR_IND" localSheetId="3">#REF!</definedName>
    <definedName name="CUSTINDIRETO" localSheetId="3">#REF!</definedName>
    <definedName name="CUSTO_DIR_IND" localSheetId="3">#REF!</definedName>
    <definedName name="Custo_Direto_de_Obras_Civis_e_Instalações_..........................................." localSheetId="3">#REF!</definedName>
    <definedName name="Custo_Direto_em_geral" localSheetId="3">#REF!</definedName>
    <definedName name="custo_financing" localSheetId="3">#REF!</definedName>
    <definedName name="CUSTO_OUTROS" localSheetId="3">#REF!</definedName>
    <definedName name="Custo_Outros1" localSheetId="3">#REF!</definedName>
    <definedName name="CUSTODIRETO" localSheetId="3">#REF!</definedName>
    <definedName name="CUSTODIRETO_R" localSheetId="3">#REF!</definedName>
    <definedName name="CUSTODIRETO_U" localSheetId="3">#REF!</definedName>
    <definedName name="CUSTODIRETO1" localSheetId="3">#REF!</definedName>
    <definedName name="CUSTOFIN" localSheetId="3">#REF!</definedName>
    <definedName name="D" localSheetId="3">#REF!</definedName>
    <definedName name="da" localSheetId="3">#REF!</definedName>
    <definedName name="dalmo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3">{#N/A,#N/A,FALSE,"Plan1";#N/A,#N/A,FALSE,"Plan2"}</definedName>
    <definedName name="DATA" localSheetId="3">#REF!</definedName>
    <definedName name="Data_base" localSheetId="3">#REF!</definedName>
    <definedName name="data_base_VL" localSheetId="3">#REF!</definedName>
    <definedName name="DATA_COTAÇÃO" localSheetId="3">#REF!</definedName>
    <definedName name="DATA_ENTREGA" localSheetId="3">#REF!</definedName>
    <definedName name="DATA_FECHA" localSheetId="3">#REF!</definedName>
    <definedName name="Data_Inicio" localSheetId="3">#REF!</definedName>
    <definedName name="Data_Lançado_Sienge" localSheetId="3">#REF!</definedName>
    <definedName name="Data_Pagamento_Sienge" localSheetId="3">#REF!</definedName>
    <definedName name="Data_Previsão_Medição_Fin_Medição" localSheetId="3">#REF!</definedName>
    <definedName name="Data_Tendência_Recebimento_Fin_Medições" localSheetId="3">#REF!</definedName>
    <definedName name="DATA1" localSheetId="3">#REF!</definedName>
    <definedName name="DATA3" localSheetId="3">#REF!</definedName>
    <definedName name="DATA4" localSheetId="3">#REF!</definedName>
    <definedName name="DATA6" localSheetId="3">#REF!</definedName>
    <definedName name="DataChaves_MAP" localSheetId="3">#REF!</definedName>
    <definedName name="DatasOut13AteDez20" localSheetId="3">#REF!</definedName>
    <definedName name="DÇDL" localSheetId="3">{#N/A,#N/A,FALSE,"Plan1";#N/A,#N/A,FALSE,"Plan2"}</definedName>
    <definedName name="dchart26" localSheetId="3">#REF!</definedName>
    <definedName name="dchart31" localSheetId="3">#REF!</definedName>
    <definedName name="dcnsfgdjkgb" localSheetId="3">{#N/A,#N/A,FALSE,"Plan1";#N/A,#N/A,FALSE,"Plan2"}</definedName>
    <definedName name="DÇWK" localSheetId="3">{#N/A,#N/A,FALSE,"Plan1";#N/A,#N/A,FALSE,"Plan2"}</definedName>
    <definedName name="DD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3">#REF!</definedName>
    <definedName name="ddddd" localSheetId="3">{#N/A,#N/A,FALSE,"Plan1";#N/A,#N/A,FALSE,"Plan2"}</definedName>
    <definedName name="ddddddddddd" localSheetId="3">#REF!</definedName>
    <definedName name="dddddddddddddddddddddddddd" localSheetId="3">#REF!</definedName>
    <definedName name="dddddddddddddppppppppp" localSheetId="3">#REF!</definedName>
    <definedName name="dde" localSheetId="3">{#N/A,#N/A,FALSE,"Plan1";#N/A,#N/A,FALSE,"Plan2"}</definedName>
    <definedName name="ddfs" localSheetId="3">#REF!</definedName>
    <definedName name="ddgfdvgd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3">{#N/A,#N/A,FALSE,"Plan1";#N/A,#N/A,FALSE,"Plan2"}</definedName>
    <definedName name="dede" localSheetId="3">{#N/A,#N/A,FALSE,"Plan1";#N/A,#N/A,FALSE,"Plan2"}</definedName>
    <definedName name="defasagem" localSheetId="3">OFFSET(INDEX(#REF!,MATCH(#REF!,#REF!,0)),1,0,COUNTA(#REF!)-1)</definedName>
    <definedName name="depara" localSheetId="3">#REF!</definedName>
    <definedName name="DERIVQT" localSheetId="3">#REF!</definedName>
    <definedName name="des" localSheetId="3">{#N/A,#N/A,FALSE,"Plan1";#N/A,#N/A,FALSE,"Plan2"}</definedName>
    <definedName name="desc" localSheetId="3">{#N/A,#N/A,FALSE,"Plan1";#N/A,#N/A,FALSE,"Plan2"}</definedName>
    <definedName name="DESCONTO" localSheetId="3">#REF!</definedName>
    <definedName name="DESCRIÇÃO_OBRA" localSheetId="3">#REF!</definedName>
    <definedName name="DespFatur" localSheetId="3">#REF!</definedName>
    <definedName name="DEZ" localSheetId="3">#REF!</definedName>
    <definedName name="dez17RJ" localSheetId="3">#REF!</definedName>
    <definedName name="DEZEMBRO" localSheetId="3">#REF!</definedName>
    <definedName name="DEZENOVE" localSheetId="3">#REF!</definedName>
    <definedName name="DEZESSEIS" localSheetId="3">#REF!</definedName>
    <definedName name="DEZESSETE" localSheetId="3">#REF!</definedName>
    <definedName name="DEZOITO" localSheetId="3">#REF!</definedName>
    <definedName name="d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3">{#N/A,#N/A,FALSE,"명세표"}</definedName>
    <definedName name="dfdfty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3">{#N/A,#N/A,FALSE,"Plan1";#N/A,#N/A,FALSE,"Plan2"}</definedName>
    <definedName name="dfdrtrr" localSheetId="3">{#N/A,#N/A,FALSE,"Plan1";#N/A,#N/A,FALSE,"Plan2"}</definedName>
    <definedName name="DFDSG" localSheetId="3">{#N/A,#N/A,FALSE,"Plan1";#N/A,#N/A,FALSE,"Plan2"}</definedName>
    <definedName name="dfer" localSheetId="3">{#N/A,#N/A,FALSE,"Plan1";#N/A,#N/A,FALSE,"Plan2"}</definedName>
    <definedName name="dffbty" localSheetId="3">{#N/A,#N/A,FALSE,"Plan1";#N/A,#N/A,FALSE,"Plan2"}</definedName>
    <definedName name="dffgk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3">{#N/A,#N/A,FALSE,"Plan1";#N/A,#N/A,FALSE,"Plan2"}</definedName>
    <definedName name="dfg" localSheetId="3">{#N/A,#N/A,FALSE,"Plan1";#N/A,#N/A,FALSE,"Plan2"}</definedName>
    <definedName name="dfgdf" localSheetId="3">{#N/A,#N/A,FALSE,"Plan1";#N/A,#N/A,FALSE,"Plan2"}</definedName>
    <definedName name="dfgdytygr" localSheetId="3">{#N/A,#N/A,FALSE,"Plan1";#N/A,#N/A,FALSE,"Plan2"}</definedName>
    <definedName name="dfgftrrdt5" localSheetId="3">{#N/A,#N/A,FALSE,"Plan1";#N/A,#N/A,FALSE,"Plan2"}</definedName>
    <definedName name="dfgh" localSheetId="3">#REF!</definedName>
    <definedName name="dfghjfhsg" localSheetId="3">{#N/A,#N/A,FALSE,"Plan1";#N/A,#N/A,FALSE,"Plan2"}</definedName>
    <definedName name="dfgj" localSheetId="3">{#N/A,#N/A,FALSE,"Plan1";#N/A,#N/A,FALSE,"Plan2"}</definedName>
    <definedName name="dfgjfttyd" localSheetId="3">{#N/A,#N/A,FALSE,"Plan1";#N/A,#N/A,FALSE,"Plan2"}</definedName>
    <definedName name="dfgjjtdrtg" localSheetId="3">{#N/A,#N/A,FALSE,"Plan1";#N/A,#N/A,FALSE,"Plan2"}</definedName>
    <definedName name="dfgt" localSheetId="3">{#N/A,#N/A,FALSE,"Plan1";#N/A,#N/A,FALSE,"Plan2"}</definedName>
    <definedName name="dfgtrkjhk" localSheetId="3">{#N/A,#N/A,FALSE,"Plan1";#N/A,#N/A,FALSE,"Plan2"}</definedName>
    <definedName name="dfgty" localSheetId="3">{#N/A,#N/A,FALSE,"Plan1";#N/A,#N/A,FALSE,"Plan2"}</definedName>
    <definedName name="dfhdgfdgf" localSheetId="3">{#N/A,#N/A,FALSE,"Plan1";#N/A,#N/A,FALSE,"Plan2"}</definedName>
    <definedName name="DFHDJGJFHJGF" localSheetId="3">{#N/A,#N/A,FALSE,"Plan1";#N/A,#N/A,FALSE,"Plan2"}</definedName>
    <definedName name="dfhdyg" localSheetId="3">{#N/A,#N/A,FALSE,"Plan1";#N/A,#N/A,FALSE,"Plan2"}</definedName>
    <definedName name="DFHGDHUR" localSheetId="3">{#N/A,#N/A,FALSE,"Plan1";#N/A,#N/A,FALSE,"Plan2"}</definedName>
    <definedName name="dfhgjfgdhfjdrf" localSheetId="3">{#N/A,#N/A,FALSE,"Plan1";#N/A,#N/A,FALSE,"Plan2"}</definedName>
    <definedName name="dfhgkhfut" localSheetId="3">{#N/A,#N/A,FALSE,"Plan1";#N/A,#N/A,FALSE,"Plan2"}</definedName>
    <definedName name="dfhgkjdhkjghjd" localSheetId="3">#REF!</definedName>
    <definedName name="dfhguitrhfg" localSheetId="3">{#N/A,#N/A,FALSE,"Plan1";#N/A,#N/A,FALSE,"Plan2"}</definedName>
    <definedName name="DFHKHDGKJHDKS" localSheetId="3">{#N/A,#N/A,FALSE,"Plan1";#N/A,#N/A,FALSE,"Plan2"}</definedName>
    <definedName name="dfijvnqienvvnjv" localSheetId="3">#REF!</definedName>
    <definedName name="dfjgjfhykj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3">{#N/A,#N/A,FALSE,"Plan1";#N/A,#N/A,FALSE,"Plan2"}</definedName>
    <definedName name="dfkhgfg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3">{#N/A,#N/A,FALSE,"Plan1";#N/A,#N/A,FALSE,"Plan2"}</definedName>
    <definedName name="dfnert" localSheetId="3">{#N/A,#N/A,FALSE,"Plan1";#N/A,#N/A,FALSE,"Plan2"}</definedName>
    <definedName name="dfrt" localSheetId="3">{#N/A,#N/A,FALSE,"Plan1";#N/A,#N/A,FALSE,"Plan2"}</definedName>
    <definedName name="dfsdr5tt" localSheetId="3">{#N/A,#N/A,FALSE,"Plan1";#N/A,#N/A,FALSE,"Plan2"}</definedName>
    <definedName name="dfsds" localSheetId="3">#REF!</definedName>
    <definedName name="dfsd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3">{#N/A,#N/A,FALSE,"Plan1";#N/A,#N/A,FALSE,"Plan2"}</definedName>
    <definedName name="dfsf" localSheetId="3">{#N/A,#N/A,FALSE,"Plan1";#N/A,#N/A,FALSE,"Plan2"}</definedName>
    <definedName name="DFT" localSheetId="3">{#N/A,#N/A,FALSE,"Plan1";#N/A,#N/A,FALSE,"Plan2"}</definedName>
    <definedName name="DFTRTTY" localSheetId="3">{#N/A,#N/A,FALSE,"Plan1";#N/A,#N/A,FALSE,"Plan2"}</definedName>
    <definedName name="dfurghifdjyhits" localSheetId="3">{#N/A,#N/A,FALSE,"Plan1";#N/A,#N/A,FALSE,"Plan2"}</definedName>
    <definedName name="dfxgdrged" localSheetId="3">{#N/A,#N/A,FALSE,"Plan1";#N/A,#N/A,FALSE,"Plan2"}</definedName>
    <definedName name="dgfrtyt" localSheetId="3">{#N/A,#N/A,FALSE,"Plan1";#N/A,#N/A,FALSE,"Plan2"}</definedName>
    <definedName name="dggfdg" localSheetId="3">{#N/A,#N/A,FALSE,"Plan1";#N/A,#N/A,FALSE,"Plan2"}</definedName>
    <definedName name="dgldfhgkljslh" localSheetId="3">{#N/A,#N/A,FALSE,"Plan1";#N/A,#N/A,FALSE,"Plan2"}</definedName>
    <definedName name="dhfgdhrehrwe" localSheetId="3">{#N/A,#N/A,FALSE,"Plan1";#N/A,#N/A,FALSE,"Plan2"}</definedName>
    <definedName name="dhgfdgrfgdfgd" localSheetId="3">{#N/A,#N/A,FALSE,"Plan1";#N/A,#N/A,FALSE,"Plan2"}</definedName>
    <definedName name="dhkjfhdhfjdh" localSheetId="3">{#N/A,#N/A,FALSE,"Plan1";#N/A,#N/A,FALSE,"Plan2"}</definedName>
    <definedName name="DHTJRT" localSheetId="3">{#N/A,#N/A,FALSE,"Plan1";#N/A,#N/A,FALSE,"Plan2"}</definedName>
    <definedName name="DI" localSheetId="3">#REF!</definedName>
    <definedName name="dia3estac" localSheetId="3">#REF!</definedName>
    <definedName name="diaestaca" localSheetId="3">#REF!</definedName>
    <definedName name="diambase" localSheetId="3">#REF!</definedName>
    <definedName name="DIFQT" localSheetId="3">#REF!</definedName>
    <definedName name="dijghdhks" localSheetId="3">{#N/A,#N/A,FALSE,"Plan1";#N/A,#N/A,FALSE,"Plan2"}</definedName>
    <definedName name="DIMENSÕES" localSheetId="3">#REF!</definedName>
    <definedName name="DIR_OPER" localSheetId="3">#REF!</definedName>
    <definedName name="DIR_TECNICO" localSheetId="3">#REF!</definedName>
    <definedName name="direto" localSheetId="3">#REF!</definedName>
    <definedName name="DIRETORIA" localSheetId="3">#REF!</definedName>
    <definedName name="diretorias" localSheetId="3">#REF!</definedName>
    <definedName name="Discrim" localSheetId="3">#REF!</definedName>
    <definedName name="DISCRIMINAÇÃO" localSheetId="3">#REF!</definedName>
    <definedName name="Discriminação_Controladoria" localSheetId="3">#REF!</definedName>
    <definedName name="DistCidade" localSheetId="3">#REF!</definedName>
    <definedName name="distratos" localSheetId="3">#REF!</definedName>
    <definedName name="div" localSheetId="3">#REF!</definedName>
    <definedName name="djasdrjas" localSheetId="3">{#N/A,#N/A,FALSE,"Plan1";#N/A,#N/A,FALSE,"Plan2"}</definedName>
    <definedName name="dj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3">{#N/A,#N/A,FALSE,"Plan1";#N/A,#N/A,FALSE,"Plan2"}</definedName>
    <definedName name="djfkhsdkjhf" localSheetId="3">{#N/A,#N/A,FALSE,"Plan1";#N/A,#N/A,FALSE,"Plan2"}</definedName>
    <definedName name="djfldjsgljslkjtg" localSheetId="3">{#N/A,#N/A,FALSE,"Plan1";#N/A,#N/A,FALSE,"Plan2"}</definedName>
    <definedName name="djflkdjgdth" localSheetId="3">{#N/A,#N/A,FALSE,"Plan1";#N/A,#N/A,FALSE,"Plan2"}</definedName>
    <definedName name="DJFLKDJGKTJYJT" localSheetId="3">{#N/A,#N/A,FALSE,"Plan1";#N/A,#N/A,FALSE,"Plan2"}</definedName>
    <definedName name="djgkfjgtiyty" localSheetId="3">{#N/A,#N/A,FALSE,"Plan1";#N/A,#N/A,FALSE,"Plan2"}</definedName>
    <definedName name="djrkehrjfhng" localSheetId="3">{#N/A,#N/A,FALSE,"Plan1";#N/A,#N/A,FALSE,"Plan2"}</definedName>
    <definedName name="djswfr" localSheetId="3">#REF!</definedName>
    <definedName name="djtkjldfr" localSheetId="3">{#N/A,#N/A,FALSE,"Plan1";#N/A,#N/A,FALSE,"Plan2"}</definedName>
    <definedName name="DJXDLFGDFG" localSheetId="3">{#N/A,#N/A,FALSE,"Plan1";#N/A,#N/A,FALSE,"Plan2"}</definedName>
    <definedName name="dkdkdkdkd" localSheetId="3">{#N/A,#N/A,FALSE,"명세표"}</definedName>
    <definedName name="dkfhskgf" localSheetId="3">{#N/A,#N/A,FALSE,"Plan1";#N/A,#N/A,FALSE,"Plan2"}</definedName>
    <definedName name="dkjfk" localSheetId="3">{#N/A,#N/A,FALSE,"Plan1";#N/A,#N/A,FALSE,"Plan2"}</definedName>
    <definedName name="DKLD" localSheetId="3">{#N/A,#N/A,FALSE,"Plan1";#N/A,#N/A,FALSE,"Plan2"}</definedName>
    <definedName name="DKLFJDKFD" localSheetId="3">{#N/A,#N/A,FALSE,"Plan1";#N/A,#N/A,FALSE,"Plan2"}</definedName>
    <definedName name="dklfjgirtgid" localSheetId="3">{#N/A,#N/A,FALSE,"Plan1";#N/A,#N/A,FALSE,"Plan2"}</definedName>
    <definedName name="dklfm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3">{#N/A,#N/A,FALSE,"Plan1";#N/A,#N/A,FALSE,"Plan2"}</definedName>
    <definedName name="DNFJKDHTKRE" localSheetId="3">{#N/A,#N/A,FALSE,"Plan1";#N/A,#N/A,FALSE,"Plan2"}</definedName>
    <definedName name="dng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OCUMENT" localSheetId="3">#REF!</definedName>
    <definedName name="DOIS" localSheetId="3">#REF!</definedName>
    <definedName name="dolar" localSheetId="3">#REF!</definedName>
    <definedName name="dolar_dez" localSheetId="3">#REF!</definedName>
    <definedName name="dolar_nov" localSheetId="3">#REF!</definedName>
    <definedName name="dolar_out" localSheetId="3">#REF!</definedName>
    <definedName name="dolar2" localSheetId="3">#REF!</definedName>
    <definedName name="dolarabr" localSheetId="3">#REF!</definedName>
    <definedName name="dolarabr02" localSheetId="3">#REF!</definedName>
    <definedName name="DolarAgo" localSheetId="3">#REF!</definedName>
    <definedName name="dolarago02" localSheetId="3">#REF!</definedName>
    <definedName name="dolardez" localSheetId="3">#REF!</definedName>
    <definedName name="dolarfev" localSheetId="3">#REF!</definedName>
    <definedName name="dolarfev02" localSheetId="3">#REF!</definedName>
    <definedName name="dolarfimdez" localSheetId="3">#REF!</definedName>
    <definedName name="dolarFimJun" localSheetId="3">#REF!</definedName>
    <definedName name="dolarfindez" localSheetId="3">#REF!</definedName>
    <definedName name="dolarfinmar" localSheetId="3">#REF!</definedName>
    <definedName name="DolarFinSet" localSheetId="3">#REF!</definedName>
    <definedName name="dolarjan" localSheetId="3">#REF!</definedName>
    <definedName name="dolarjan02" localSheetId="3">#REF!</definedName>
    <definedName name="DolarJul" localSheetId="3">#REF!</definedName>
    <definedName name="dolarjul02" localSheetId="3">#REF!</definedName>
    <definedName name="dolarjun" localSheetId="3">#REF!</definedName>
    <definedName name="dolarjun02" localSheetId="3">#REF!</definedName>
    <definedName name="dolarmai" localSheetId="3">#REF!</definedName>
    <definedName name="dolarmai02" localSheetId="3">#REF!</definedName>
    <definedName name="dolarmar" localSheetId="3">#REF!</definedName>
    <definedName name="dolarmar02" localSheetId="3">#REF!</definedName>
    <definedName name="dolarnov" localSheetId="3">#REF!</definedName>
    <definedName name="dolarout" localSheetId="3">#REF!</definedName>
    <definedName name="DolarSet" localSheetId="3">#REF!</definedName>
    <definedName name="dolarset02" localSheetId="3">#REF!</definedName>
    <definedName name="DOZE" localSheetId="3">#REF!</definedName>
    <definedName name="DRE" localSheetId="3">#REF!</definedName>
    <definedName name="drewr" localSheetId="3">{#N/A,#N/A,FALSE,"Plan1";#N/A,#N/A,FALSE,"Plan2"}</definedName>
    <definedName name="DRRJR" localSheetId="3">{#N/A,#N/A,FALSE,"Plan1";#N/A,#N/A,FALSE,"Plan2"}</definedName>
    <definedName name="drtrt" localSheetId="3">{"'Estimativa de Lançamento-JAN'!$A$1:$AI$85"}</definedName>
    <definedName name="dsdrf" localSheetId="3">{#N/A,#N/A,FALSE,"Plan1";#N/A,#N/A,FALSE,"Plan2"}</definedName>
    <definedName name="dsfdf" localSheetId="3">{#N/A,#N/A,FALSE,"Plan1";#N/A,#N/A,FALSE,"Plan2"}</definedName>
    <definedName name="dsfg" localSheetId="3">{#N/A,#N/A,FALSE,"Plan1";#N/A,#N/A,FALSE,"Plan2"}</definedName>
    <definedName name="DSFKDSKH" localSheetId="3">{#N/A,#N/A,FALSE,"Plan1";#N/A,#N/A,FALSE,"Plan2"}</definedName>
    <definedName name="DSFR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3">{#N/A,#N/A,FALSE,"Plan1";#N/A,#N/A,FALSE,"Plan2"}</definedName>
    <definedName name="DSFSAD" localSheetId="3">{#N/A,#N/A,FALSE,"Plan1";#N/A,#N/A,FALSE,"Plan2"}</definedName>
    <definedName name="dsfsdf" localSheetId="3">{#N/A,#N/A,FALSE,"Plan1";#N/A,#N/A,FALSE,"Plan2"}</definedName>
    <definedName name="dsfsdgfb" localSheetId="3">{#N/A,#N/A,FALSE,"Plan1";#N/A,#N/A,FALSE,"Plan2"}</definedName>
    <definedName name="dsgfr" localSheetId="3">{#N/A,#N/A,FALSE,"Plan1";#N/A,#N/A,FALSE,"Plan2"}</definedName>
    <definedName name="dshfkhkrhesru" localSheetId="3">{#N/A,#N/A,FALSE,"Plan1";#N/A,#N/A,FALSE,"Plan2"}</definedName>
    <definedName name="dsjkthkr" localSheetId="3">{#N/A,#N/A,FALSE,"Plan1";#N/A,#N/A,FALSE,"Plan2"}</definedName>
    <definedName name="DSLFJSLFJ" localSheetId="3">{#N/A,#N/A,FALSE,"Plan1";#N/A,#N/A,FALSE,"Plan2"}</definedName>
    <definedName name="dsrff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3">{#N/A,#N/A,FALSE,"Plan1";#N/A,#N/A,FALSE,"Plan2"}</definedName>
    <definedName name="dtgsrytt" localSheetId="3">{#N/A,#N/A,FALSE,"Plan1";#N/A,#N/A,FALSE,"Plan2"}</definedName>
    <definedName name="dtrjkhtrgkfh" localSheetId="3">{#N/A,#N/A,FALSE,"Plan1";#N/A,#N/A,FALSE,"Plan2"}</definedName>
    <definedName name="dttjuk" localSheetId="3">{#N/A,#N/A,FALSE,"Plan1";#N/A,#N/A,FALSE,"Plan2"}</definedName>
    <definedName name="dvtry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3">{#N/A,#N/A,FALSE,"Plan1";#N/A,#N/A,FALSE,"Plan2"}</definedName>
    <definedName name="dwqhdjwqgdwq" localSheetId="3">#REF!</definedName>
    <definedName name="DY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3">{#N/A,#N/A,FALSE,"Plan1";#N/A,#N/A,FALSE,"Plan2"}</definedName>
    <definedName name="dzdfr" localSheetId="3">{#N/A,#N/A,FALSE,"Plan1";#N/A,#N/A,FALSE,"Plan2"}</definedName>
    <definedName name="e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a" localSheetId="3">#REF!</definedName>
    <definedName name="EC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3">{#N/A,#N/A,FALSE,"F-01"}</definedName>
    <definedName name="ECEW_1" localSheetId="3">{#N/A,#N/A,FALSE,"F-01"}</definedName>
    <definedName name="echart31" localSheetId="3">#REF!</definedName>
    <definedName name="EcoPark" localSheetId="3">#REF!</definedName>
    <definedName name="ECS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3">{#N/A,#N/A,FALSE,"Plan1";#N/A,#N/A,FALSE,"Plan2"}</definedName>
    <definedName name="ee" localSheetId="3">#REF!</definedName>
    <definedName name="eee" localSheetId="3">{#N/A,#N/A,FALSE,"ET-CAPA";#N/A,#N/A,FALSE,"ET-PAG1";#N/A,#N/A,FALSE,"ET-PAG2";#N/A,#N/A,FALSE,"ET-PAG3";#N/A,#N/A,FALSE,"ET-PAG4";#N/A,#N/A,FALSE,"ET-PAG5"}</definedName>
    <definedName name="EF" localSheetId="3">#REF!</definedName>
    <definedName name="efestfr" localSheetId="3">{#N/A,#N/A,FALSE,"Plan1";#N/A,#N/A,FALSE,"Plan2"}</definedName>
    <definedName name="EFICIÊNCIA" localSheetId="3">#REF!</definedName>
    <definedName name="Eficiência1" localSheetId="3">#REF!</definedName>
    <definedName name="efrdrt" localSheetId="3">{#N/A,#N/A,FALSE,"Plan1";#N/A,#N/A,FALSE,"Plan2"}</definedName>
    <definedName name="efrg" localSheetId="3">{#N/A,#N/A,FALSE,"Plan1";#N/A,#N/A,FALSE,"Plan2"}</definedName>
    <definedName name="efsgfr" localSheetId="3">{#N/A,#N/A,FALSE,"Plan1";#N/A,#N/A,FALSE,"Plan2"}</definedName>
    <definedName name="eixo_x_fluxo_graf1" localSheetId="3">IFERROR(OFFSET(INDEX(#REF!,MATCH((INDEX(#REF!,MATCH(1,#REF!,0))),#REF!,0)),0,0,1,COUNTIF(#REF!,"&gt;=0")+COUNTIF(#REF!,"&lt;0")),0)</definedName>
    <definedName name="eixo_x_graf2" localSheetId="3">IFERROR(OFFSET(INDEX(#REF!,MATCH((INDEX(#REF!,MATCH(1,#REF!,0))),#REF!,0)),0,0,1,COUNTIF(#REF!,"&gt;=0")+COUNTIF(#REF!,"&lt;0")),0)</definedName>
    <definedName name="eixo_x_graf3_distratos" localSheetId="3">#REF!</definedName>
    <definedName name="eixo_x_graf3_vendas" localSheetId="3">#REF!</definedName>
    <definedName name="eixo_y_cury_graf2" localSheetId="3">IFERROR(OFFSET(INDEX(#REF!,MATCH((INDEX(#REF!,MATCH(1,#REF!,0))),#REF!,0)),0,0,1,COUNTIF(#REF!,"&gt;=0")+COUNTIF(#REF!,"&lt;0")),0)</definedName>
    <definedName name="eixo_y_fluxo_graf1" localSheetId="3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forecast_graf1" localSheetId="3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real" localSheetId="3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VL" localSheetId="3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3" localSheetId="3">#REF!</definedName>
    <definedName name="eixo_y_socio_graf2" localSheetId="3">IFERROR(OFFSET(INDEX(#REF!,MATCH((INDEX(#REF!,MATCH(1,#REF!,0))),#REF!,0)),0,0,1,COUNTIF(#REF!,"&gt;=0")+COUNTIF(#REF!,"&lt;0")),0)</definedName>
    <definedName name="eixo_y_viab_graf1" localSheetId="3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M" localSheetId="3">#REF!</definedName>
    <definedName name="Empreend" localSheetId="3">#REF!</definedName>
    <definedName name="Empreendimentos" localSheetId="3">#REF!</definedName>
    <definedName name="empresas" localSheetId="3">#REF!</definedName>
    <definedName name="encanador" localSheetId="3">#REF!</definedName>
    <definedName name="EPI" localSheetId="3">#REF!</definedName>
    <definedName name="EQUIP" localSheetId="3">#REF!</definedName>
    <definedName name="equipamento" localSheetId="3">#REF!</definedName>
    <definedName name="ER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3">{#N/A,#N/A,FALSE,"Plan1";#N/A,#N/A,FALSE,"Plan2"}</definedName>
    <definedName name="erne_cdi" localSheetId="3">#REF!</definedName>
    <definedName name="erne_hist" localSheetId="3">#REF!</definedName>
    <definedName name="erne_uss" localSheetId="3">#REF!</definedName>
    <definedName name="ESGFDSFD" localSheetId="3">{#N/A,#N/A,FALSE,"Plan1";#N/A,#N/A,FALSE,"Plan2"}</definedName>
    <definedName name="esp" localSheetId="3">#REF!</definedName>
    <definedName name="ESPESSURA" localSheetId="3">#REF!</definedName>
    <definedName name="estaca" localSheetId="3">#REF!</definedName>
    <definedName name="estaca3" localSheetId="3">#REF!</definedName>
    <definedName name="ESTADO" localSheetId="3">#REF!</definedName>
    <definedName name="estados" localSheetId="3">#REF!</definedName>
    <definedName name="estagiário" localSheetId="3">#REF!</definedName>
    <definedName name="ESTOQUE" localSheetId="3">#REF!</definedName>
    <definedName name="Etq_final" localSheetId="3">#REF!</definedName>
    <definedName name="EU" localSheetId="3">{#N/A,#N/A,FALSE,"Plan1";#N/A,#N/A,FALSE,"Plan2"}</definedName>
    <definedName name="EVL" localSheetId="3">{"Econ Consolidado",#N/A,FALSE,"Econ Consol";"Fluxo de Caixa",#N/A,FALSE,"Fluxo Caixa";"Investimentos",#N/A,FALSE,"Investimentos"}</definedName>
    <definedName name="Evol." localSheetId="3">{"Econ Consolidado",#N/A,FALSE,"Econ Consol";"Fluxo de Caixa",#N/A,FALSE,"Fluxo Caixa";"Investimentos",#N/A,FALSE,"Investimentos"}</definedName>
    <definedName name="ewfr" localSheetId="3">{#N/A,#N/A,FALSE,"Plan1";#N/A,#N/A,FALSE,"Plan2"}</definedName>
    <definedName name="exce_cdi" localSheetId="3">#REF!</definedName>
    <definedName name="exce_hist" localSheetId="3">#REF!</definedName>
    <definedName name="exce_uss" localSheetId="3">#REF!</definedName>
    <definedName name="Excel_BuiltIn__FilterDatabase_1" localSheetId="3">#REF!</definedName>
    <definedName name="Excel_BuiltIn__FilterDatabase_1_1" localSheetId="3">#REF!</definedName>
    <definedName name="Excel_BuiltIn__FilterDatabase_6" localSheetId="3">#REF!</definedName>
    <definedName name="Excel_BuiltIn_Print_Area_0" localSheetId="3">#REF!</definedName>
    <definedName name="Excel_BuiltIn_Print_Area_1_1" localSheetId="3">#REF!</definedName>
    <definedName name="Excel_BuiltIn_Print_Titles_1_1_1" localSheetId="3">#REF!</definedName>
    <definedName name="Excel_BuiltIn_Print_Titles_1_1_4" localSheetId="3">#REF!</definedName>
    <definedName name="Excel_BuiltIn_Print_Titles_1_1_5" localSheetId="3">#REF!</definedName>
    <definedName name="Exrate" localSheetId="3">#REF!</definedName>
    <definedName name="eyruieyteta" localSheetId="3">{#N/A,#N/A,FALSE,"Plan1";#N/A,#N/A,FALSE,"Plan2"}</definedName>
    <definedName name="f" localSheetId="3">#REF!</definedName>
    <definedName name="FACULDADE" localSheetId="3">#REF!</definedName>
    <definedName name="FAL" localSheetId="3">#REF!</definedName>
    <definedName name="farialima" localSheetId="3">#REF!</definedName>
    <definedName name="FAS" localSheetId="3">{"'Total'!$A$1","'Total'!$A$3"}</definedName>
    <definedName name="fasfasf" localSheetId="3">{#N/A,#N/A,TRUE,"Quinzena 01 à 15-04-98 "}</definedName>
    <definedName name="FATOR_K" localSheetId="3">#REF!</definedName>
    <definedName name="FATORK" localSheetId="3">#REF!</definedName>
    <definedName name="FBancaria" localSheetId="3">#REF!</definedName>
    <definedName name="fddhght" localSheetId="3">{#N/A,#N/A,FALSE,"Plan1";#N/A,#N/A,FALSE,"Plan2"}</definedName>
    <definedName name="fdfgd" localSheetId="3">{#N/A,#N/A,FALSE,"Plan1";#N/A,#N/A,FALSE,"Plan2"}</definedName>
    <definedName name="fdfng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3">{#N/A,#N/A,FALSE,"Plan1";#N/A,#N/A,FALSE,"Plan2"}</definedName>
    <definedName name="fdgdf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3">{#N/A,#N/A,FALSE,"Plan1";#N/A,#N/A,FALSE,"Plan2"}</definedName>
    <definedName name="fdgfyhygfuj" localSheetId="3">{#N/A,#N/A,FALSE,"Plan1";#N/A,#N/A,FALSE,"Plan2"}</definedName>
    <definedName name="fdhgfdf" localSheetId="3">{#N/A,#N/A,FALSE,"Plan1";#N/A,#N/A,FALSE,"Plan2"}</definedName>
    <definedName name="fdjfgdfjg" localSheetId="3">{#N/A,#N/A,FALSE,"Plan1";#N/A,#N/A,FALSE,"Plan2"}</definedName>
    <definedName name="fdjghkshtygt" localSheetId="3">{#N/A,#N/A,FALSE,"Plan1";#N/A,#N/A,FALSE,"Plan2"}</definedName>
    <definedName name="fdnhgf" localSheetId="3">{"'Estimativa de Lançamento-JAN'!$A$1:$AI$85"}</definedName>
    <definedName name="fdsf" localSheetId="3">{#N/A,#N/A,FALSE,"Plan1";#N/A,#N/A,FALSE,"Plan2"}</definedName>
    <definedName name="FE" localSheetId="3">#REF!</definedName>
    <definedName name="fefefefe" localSheetId="3">#REF!</definedName>
    <definedName name="fev17RJ" localSheetId="3">#REF!</definedName>
    <definedName name="FEVEREIRO2001" localSheetId="3">#REF!</definedName>
    <definedName name="ff" localSheetId="3">#REF!</definedName>
    <definedName name="fffefes" localSheetId="3">#REF!</definedName>
    <definedName name="fffff" localSheetId="3">{#N/A,#N/A,FALSE,"Plan1";#N/A,#N/A,FALSE,"Plan2"}</definedName>
    <definedName name="FFFFFFF" localSheetId="3">#REF!</definedName>
    <definedName name="FFTY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3">{#N/A,#N/A,FALSE,"Plan1";#N/A,#N/A,FALSE,"Plan2"}</definedName>
    <definedName name="fgg" localSheetId="3">{"'장비'!$A$3:$M$12"}</definedName>
    <definedName name="fghfh" localSheetId="3">{"'Estimativa de Lançamento-JAN'!$A$1:$AI$85"}</definedName>
    <definedName name="fghgfh" localSheetId="3">{#N/A,#N/A,FALSE,"Plan1";#N/A,#N/A,FALSE,"Plan2"}</definedName>
    <definedName name="FGJHFGK" localSheetId="3">{#N/A,#N/A,FALSE,"Plan1";#N/A,#N/A,FALSE,"Plan2"}</definedName>
    <definedName name="fgktyhdf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3">{#N/A,#N/A,FALSE,"Plan1";#N/A,#N/A,FALSE,"Plan2"}</definedName>
    <definedName name="fgty" localSheetId="3">#REF!</definedName>
    <definedName name="fhgjfgyt" localSheetId="3">{#N/A,#N/A,FALSE,"Plan1";#N/A,#N/A,FALSE,"Plan2"}</definedName>
    <definedName name="fhgjkhtrfg" localSheetId="3">{#N/A,#N/A,FALSE,"Plan1";#N/A,#N/A,FALSE,"Plan2"}</definedName>
    <definedName name="FHGTGSRSG" localSheetId="3">{#N/A,#N/A,FALSE,"Plan1";#N/A,#N/A,FALSE,"Plan2"}</definedName>
    <definedName name="FIELD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3">{#N/A,#N/A,TRUE,"Quinzena 01 à 15-04-98 "}</definedName>
    <definedName name="Filtro_Rel_Sienge" localSheetId="3">#REF!</definedName>
    <definedName name="Firs_hist" localSheetId="3">#REF!</definedName>
    <definedName name="First_cdi" localSheetId="3">#REF!</definedName>
    <definedName name="First_uss" localSheetId="3">#REF!</definedName>
    <definedName name="fjdhfgjdhtgu" localSheetId="3">{#N/A,#N/A,FALSE,"Plan1";#N/A,#N/A,FALSE,"Plan2"}</definedName>
    <definedName name="fjfjg" localSheetId="3">{#N/A,#N/A,FALSE,"명세표"}</definedName>
    <definedName name="FJGH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3">{#N/A,#N/A,FALSE,"Plan1";#N/A,#N/A,FALSE,"Plan2"}</definedName>
    <definedName name="fjtgfh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3">{#N/A,#N/A,FALSE,"Plan1";#N/A,#N/A,FALSE,"Plan2"}</definedName>
    <definedName name="fl" localSheetId="3">#REF!</definedName>
    <definedName name="FL_1" localSheetId="3">#REF!</definedName>
    <definedName name="FL_2" localSheetId="3">#REF!</definedName>
    <definedName name="FL_3" localSheetId="3">#REF!</definedName>
    <definedName name="Fluxo_captação" localSheetId="3">#REF!</definedName>
    <definedName name="FOLHA2" localSheetId="3">#REF!</definedName>
    <definedName name="Format" localSheetId="3">#REF!</definedName>
    <definedName name="Formato_da_Loja" localSheetId="3">#REF!</definedName>
    <definedName name="FORMULA" localSheetId="3">#REF!</definedName>
    <definedName name="FORNECEDOR" localSheetId="3">OFFSET(#REF!,6,0,COUNTA(#REF!))</definedName>
    <definedName name="FORNECEDOR_2" localSheetId="3">OFFSET(#REF!,6,0,COUNTA(#REF!))</definedName>
    <definedName name="FORNECEDOR_3" localSheetId="3">OFFSET(#REF!,6,0,COUNTA(#REF!))</definedName>
    <definedName name="FORNECEDOR_4" localSheetId="3">OFFSET(#REF!,6,0,COUNTA(#REF!))</definedName>
    <definedName name="FORNECEDOR_5" localSheetId="3">OFFSET(#REF!,6,0,COUNTA(#REF!))</definedName>
    <definedName name="FORNECEDOR_7" localSheetId="3">OFFSET(#REF!,6,0,COUNTA(#REF!))</definedName>
    <definedName name="FORNECEDOR_8" localSheetId="3">OFFSET(#REF!,6,0,COUNTA(#REF!))</definedName>
    <definedName name="frçt4r" localSheetId="3">{#N/A,#N/A,FALSE,"Plan1";#N/A,#N/A,FALSE,"Plan2"}</definedName>
    <definedName name="frdtty" localSheetId="3">{#N/A,#N/A,FALSE,"Plan1";#N/A,#N/A,FALSE,"Plan2"}</definedName>
    <definedName name="fsdfsf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3">{#N/A,#N/A,FALSE,"Plan1";#N/A,#N/A,FALSE,"Plan2"}</definedName>
    <definedName name="fuste" localSheetId="3">#REF!</definedName>
    <definedName name="fxjghkfg" localSheetId="3">{#N/A,#N/A,FALSE,"Plan1";#N/A,#N/A,FALSE,"Plan2"}</definedName>
    <definedName name="g_10" localSheetId="3">#REF!</definedName>
    <definedName name="g_11" localSheetId="3">#REF!</definedName>
    <definedName name="g_12" localSheetId="3">#REF!</definedName>
    <definedName name="g_13" localSheetId="3">#REF!</definedName>
    <definedName name="g_15" localSheetId="3">#REF!</definedName>
    <definedName name="g_16" localSheetId="3">#REF!</definedName>
    <definedName name="g_17" localSheetId="3">#REF!</definedName>
    <definedName name="g_19" localSheetId="3">#REF!</definedName>
    <definedName name="g_21" localSheetId="3">#REF!</definedName>
    <definedName name="g_25" localSheetId="3">#REF!</definedName>
    <definedName name="g_27" localSheetId="3">#REF!</definedName>
    <definedName name="g_31" localSheetId="3">#REF!</definedName>
    <definedName name="g_32" localSheetId="3">#REF!</definedName>
    <definedName name="g_33" localSheetId="3">#REF!</definedName>
    <definedName name="g_34" localSheetId="3">#REF!</definedName>
    <definedName name="G_35" localSheetId="3">#REF!</definedName>
    <definedName name="g_37" localSheetId="3">#REF!</definedName>
    <definedName name="g_41" localSheetId="3">#REF!</definedName>
    <definedName name="g_42" localSheetId="3">#REF!</definedName>
    <definedName name="g_45" localSheetId="3">#REF!</definedName>
    <definedName name="g_47" localSheetId="3">#REF!</definedName>
    <definedName name="g_51" localSheetId="3">#REF!</definedName>
    <definedName name="g_52" localSheetId="3">#REF!</definedName>
    <definedName name="g_53" localSheetId="3">#REF!</definedName>
    <definedName name="G_54" localSheetId="3">#REF!</definedName>
    <definedName name="G_55" localSheetId="3">#REF!</definedName>
    <definedName name="G_56" localSheetId="3">#REF!</definedName>
    <definedName name="G_57" localSheetId="3">#REF!</definedName>
    <definedName name="G_58" localSheetId="3">#REF!</definedName>
    <definedName name="G_59" localSheetId="3">#REF!</definedName>
    <definedName name="G_61" localSheetId="3">#REF!</definedName>
    <definedName name="G_63" localSheetId="3">#REF!</definedName>
    <definedName name="G_65" localSheetId="3">#REF!</definedName>
    <definedName name="G_67" localSheetId="3">#REF!</definedName>
    <definedName name="g_68" localSheetId="3">#REF!</definedName>
    <definedName name="g_69" localSheetId="3">#REF!</definedName>
    <definedName name="G_71" localSheetId="3">#REF!</definedName>
    <definedName name="G_73" localSheetId="3">#REF!</definedName>
    <definedName name="G_75" localSheetId="3">#REF!</definedName>
    <definedName name="G_77" localSheetId="3">#REF!</definedName>
    <definedName name="G_78" localSheetId="3">#REF!</definedName>
    <definedName name="G_81" localSheetId="3">#REF!</definedName>
    <definedName name="G_83" localSheetId="3">#REF!</definedName>
    <definedName name="G_85" localSheetId="3">#REF!</definedName>
    <definedName name="G_87" localSheetId="3">#REF!</definedName>
    <definedName name="G_90" localSheetId="3">#REF!</definedName>
    <definedName name="G_91" localSheetId="3">#REF!</definedName>
    <definedName name="G_92" localSheetId="3">#REF!</definedName>
    <definedName name="G_94" localSheetId="3">#REF!</definedName>
    <definedName name="G_95" localSheetId="3">#REF!</definedName>
    <definedName name="G_96" localSheetId="3">#REF!</definedName>
    <definedName name="galo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ARAGEM" localSheetId="3">#REF!</definedName>
    <definedName name="garcia" localSheetId="3">#REF!</definedName>
    <definedName name="GASTOS_JULHO" localSheetId="3">#REF!</definedName>
    <definedName name="gbdjkvhgd" localSheetId="3">{#N/A,#N/A,FALSE,"Plan1";#N/A,#N/A,FALSE,"Plan2"}</definedName>
    <definedName name="gbdsjgsjfdgj" localSheetId="3">{#N/A,#N/A,FALSE,"Plan1";#N/A,#N/A,FALSE,"Plan2"}</definedName>
    <definedName name="gdfdhgfjgj" localSheetId="3">{#N/A,#N/A,FALSE,"Plan1";#N/A,#N/A,FALSE,"Plan2"}</definedName>
    <definedName name="gdfgdstggt" localSheetId="3">{#N/A,#N/A,FALSE,"Plan1";#N/A,#N/A,FALSE,"Plan2"}</definedName>
    <definedName name="GDFHGRJGFJDRF" localSheetId="3">{"Econ Consolidado",#N/A,FALSE,"Econ Consol";"Fluxo de Caixa",#N/A,FALSE,"Fluxo Caixa";"Investimentos",#N/A,FALSE,"Investimentos"}</definedName>
    <definedName name="gdfigfhuyuy" localSheetId="3">{#N/A,#N/A,FALSE,"Plan1";#N/A,#N/A,FALSE,"Plan2"}</definedName>
    <definedName name="gdfsgfew" localSheetId="3">{#N/A,#N/A,FALSE,"Plan1";#N/A,#N/A,FALSE,"Plan2"}</definedName>
    <definedName name="gdhfgdhfgf" localSheetId="3">{#N/A,#N/A,FALSE,"Plan1";#N/A,#N/A,FALSE,"Plan2"}</definedName>
    <definedName name="gdsfhefrwrw" localSheetId="3">{#N/A,#N/A,FALSE,"Plan1";#N/A,#N/A,FALSE,"Plan2"}</definedName>
    <definedName name="GER_TECNICO" localSheetId="3">#REF!</definedName>
    <definedName name="Gerentes" localSheetId="3">#REF!</definedName>
    <definedName name="geshrjhed" localSheetId="3">{#N/A,#N/A,FALSE,"Plan1";#N/A,#N/A,FALSE,"Plan2"}</definedName>
    <definedName name="gestao" localSheetId="3">OFFSET(INDEX(#REF!,MATCH(#REF!,#REF!,0)),1,0,COUNTA(#REF!)-1)</definedName>
    <definedName name="gfdcgnkf" localSheetId="3">{#N/A,#N/A,FALSE,"Plan1";#N/A,#N/A,FALSE,"Plan2"}</definedName>
    <definedName name="gfdjtgur" localSheetId="3">{#N/A,#N/A,FALSE,"Plan1";#N/A,#N/A,FALSE,"Plan2"}</definedName>
    <definedName name="gfdrtg" localSheetId="3">#REF!</definedName>
    <definedName name="gfgdhxgfdhf" localSheetId="3">{#N/A,#N/A,FALSE,"Plan1";#N/A,#N/A,FALSE,"Plan2"}</definedName>
    <definedName name="gfhfdtgjb" localSheetId="3">{#N/A,#N/A,FALSE,"Plan1";#N/A,#N/A,FALSE,"Plan2"}</definedName>
    <definedName name="gfjdshrtjhtged" localSheetId="3">{#N/A,#N/A,FALSE,"Plan1";#N/A,#N/A,FALSE,"Plan2"}</definedName>
    <definedName name="gfjgkddgfd" localSheetId="3">{#N/A,#N/A,FALSE,"Plan1";#N/A,#N/A,FALSE,"Plan2"}</definedName>
    <definedName name="gfsghjdgygr" localSheetId="3">{#N/A,#N/A,FALSE,"Plan1";#N/A,#N/A,FALSE,"Plan2"}</definedName>
    <definedName name="gftfy" localSheetId="3">{#N/A,#N/A,FALSE,"Plan1";#N/A,#N/A,FALSE,"Plan2"}</definedName>
    <definedName name="gfty" localSheetId="3">{#N/A,#N/A,FALSE,"Plan1";#N/A,#N/A,FALSE,"Plan2"}</definedName>
    <definedName name="GFUJU9" localSheetId="3">{#N/A,#N/A,FALSE,"Plan1";#N/A,#N/A,FALSE,"Plan2"}</definedName>
    <definedName name="ggg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3">{#N/A,#N/A,FALSE,"Plan1";#N/A,#N/A,FALSE,"Plan2"}</definedName>
    <definedName name="ggggggggg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3">{"'장비'!$A$3:$M$12"}</definedName>
    <definedName name="ghfgdfrtert" localSheetId="3">{#N/A,#N/A,FALSE,"Plan1";#N/A,#N/A,FALSE,"Plan2"}</definedName>
    <definedName name="ghfhghft" localSheetId="3">{#N/A,#N/A,FALSE,"Plan1";#N/A,#N/A,FALSE,"Plan2"}</definedName>
    <definedName name="ghjg" localSheetId="3">{"'Estimativa de Lançamento-JAN'!$A$1:$AI$85"}</definedName>
    <definedName name="ghkfhgh" localSheetId="3">{#N/A,#N/A,FALSE,"Plan1";#N/A,#N/A,FALSE,"Plan2"}</definedName>
    <definedName name="ghkjh" localSheetId="3">{#N/A,#N/A,FALSE,"ENG'G(보호계전기)"}</definedName>
    <definedName name="GJ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3">{#N/A,#N/A,FALSE,"Plan1";#N/A,#N/A,FALSE,"Plan2"}</definedName>
    <definedName name="GJ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3">{#N/A,#N/A,FALSE,"Plan1";#N/A,#N/A,FALSE,"Plan2"}</definedName>
    <definedName name="glgl" localSheetId="3">{#N/A,#N/A,FALSE,"Plan1";#N/A,#N/A,FALSE,"Plan2"}</definedName>
    <definedName name="GLOBAL" localSheetId="3">#REF!</definedName>
    <definedName name="gnfrth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rec_cdi" localSheetId="3">#REF!</definedName>
    <definedName name="grec_hist" localSheetId="3">#REF!</definedName>
    <definedName name="grec_uss" localSheetId="3">#REF!</definedName>
    <definedName name="grua" localSheetId="3">#REF!</definedName>
    <definedName name="GSDWJSTGE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3">{#N/A,#N/A,FALSE,"Plan1";#N/A,#N/A,FALSE,"Plan2"}</definedName>
    <definedName name="GUI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3">{#N/A,#N/A,FALSE,"CCTV"}</definedName>
    <definedName name="h" localSheetId="3">#REF!</definedName>
    <definedName name="hbjgjuae" localSheetId="3">#REF!</definedName>
    <definedName name="hcjfkhdghfktg" localSheetId="3">{#N/A,#N/A,FALSE,"Plan1";#N/A,#N/A,FALSE,"Plan2"}</definedName>
    <definedName name="hckhjfdkgfdg" localSheetId="3">#REF!</definedName>
    <definedName name="hddfndgdfg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3">{#N/A,#N/A,FALSE,"Plan1";#N/A,#N/A,FALSE,"Plan2"}</definedName>
    <definedName name="HDFGJKHKFDHTY" localSheetId="3">{#N/A,#N/A,FALSE,"Plan1";#N/A,#N/A,FALSE,"Plan2"}</definedName>
    <definedName name="hdfhdhrtgd" localSheetId="3">{#N/A,#N/A,FALSE,"Plan1";#N/A,#N/A,FALSE,"Plan2"}</definedName>
    <definedName name="hdfhftde" localSheetId="3">{#N/A,#N/A,FALSE,"Plan1";#N/A,#N/A,FALSE,"Plan2"}</definedName>
    <definedName name="hdfhgkdhgtrf" localSheetId="3">{#N/A,#N/A,FALSE,"Plan1";#N/A,#N/A,FALSE,"Plan2"}</definedName>
    <definedName name="hdfjhdkzhgdr" localSheetId="3">{#N/A,#N/A,FALSE,"Plan1";#N/A,#N/A,FALSE,"Plan2"}</definedName>
    <definedName name="hdfjkgvjgtd" localSheetId="3">{#N/A,#N/A,FALSE,"Plan1";#N/A,#N/A,FALSE,"Plan2"}</definedName>
    <definedName name="hdfjkhdhrute" localSheetId="3">{#N/A,#N/A,FALSE,"Plan1";#N/A,#N/A,FALSE,"Plan2"}</definedName>
    <definedName name="HDFKGVF" localSheetId="3">{#N/A,#N/A,FALSE,"Plan1";#N/A,#N/A,FALSE,"Plan2"}</definedName>
    <definedName name="hdgfhdgtdrt" localSheetId="3">{#N/A,#N/A,FALSE,"Plan1";#N/A,#N/A,FALSE,"Plan2"}</definedName>
    <definedName name="hdghgtgtrgd" localSheetId="3">{#N/A,#N/A,FALSE,"Plan1";#N/A,#N/A,FALSE,"Plan2"}</definedName>
    <definedName name="HDHDGHTUHDTG" localSheetId="3">{#N/A,#N/A,FALSE,"Plan1";#N/A,#N/A,FALSE,"Plan2"}</definedName>
    <definedName name="hdhghfthrrhy" localSheetId="3">{#N/A,#N/A,FALSE,"Plan1";#N/A,#N/A,FALSE,"Plan2"}</definedName>
    <definedName name="hdkfjhydjh" localSheetId="3">{#N/A,#N/A,FALSE,"Plan1";#N/A,#N/A,FALSE,"Plan2"}</definedName>
    <definedName name="hdsgfgrrdgr" localSheetId="3">{#N/A,#N/A,FALSE,"Plan1";#N/A,#N/A,FALSE,"Plan2"}</definedName>
    <definedName name="hdtertkkdsa" localSheetId="3">{#N/A,#N/A,FALSE,"Plan1";#N/A,#N/A,FALSE,"Plan2"}</definedName>
    <definedName name="Header" localSheetId="3">#REF!</definedName>
    <definedName name="HEDHA" localSheetId="3">{#N/A,#N/A,FALSE,"Plan1";#N/A,#N/A,FALSE,"Plan2"}</definedName>
    <definedName name="heife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LP" localSheetId="3">#REF!</definedName>
    <definedName name="herkfdshfker" localSheetId="3">{#N/A,#N/A,FALSE,"Plan1";#N/A,#N/A,FALSE,"Plan2"}</definedName>
    <definedName name="hersdtretyt" localSheetId="3">{#N/A,#N/A,FALSE,"Plan1";#N/A,#N/A,FALSE,"Plan2"}</definedName>
    <definedName name="HFDJTHTRS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3">{#N/A,#N/A,FALSE,"Plan1";#N/A,#N/A,FALSE,"Plan2"}</definedName>
    <definedName name="hfdkhgkfdhtj" localSheetId="3">{#N/A,#N/A,FALSE,"Plan1";#N/A,#N/A,FALSE,"Plan2"}</definedName>
    <definedName name="hfgfktgkhyt" localSheetId="3">{#N/A,#N/A,FALSE,"Plan1";#N/A,#N/A,FALSE,"Plan2"}</definedName>
    <definedName name="hfghdkhrgkjg" localSheetId="3">{#N/A,#N/A,FALSE,"Plan1";#N/A,#N/A,FALSE,"Plan2"}</definedName>
    <definedName name="hfighfth" localSheetId="3">{#N/A,#N/A,FALSE,"Plan1";#N/A,#N/A,FALSE,"Plan2"}</definedName>
    <definedName name="hfjghtfuyrf" localSheetId="3">{#N/A,#N/A,FALSE,"Plan1";#N/A,#N/A,FALSE,"Plan2"}</definedName>
    <definedName name="HFKJHDJGHFJ" localSheetId="3">{#N/A,#N/A,FALSE,"Plan1";#N/A,#N/A,FALSE,"Plan2"}</definedName>
    <definedName name="hgdesgfgsj" localSheetId="3">{#N/A,#N/A,FALSE,"Plan1";#N/A,#N/A,FALSE,"Plan2"}</definedName>
    <definedName name="hgdgfd" localSheetId="3">{#N/A,#N/A,FALSE,"Plan1";#N/A,#N/A,FALSE,"Plan2"}</definedName>
    <definedName name="hgfhjkdfhj" localSheetId="3">{#N/A,#N/A,FALSE,"Plan1";#N/A,#N/A,FALSE,"Plan2"}</definedName>
    <definedName name="hgg" localSheetId="3">{#N/A,#N/A,FALSE,"Plan1";#N/A,#N/A,FALSE,"Plan2"}</definedName>
    <definedName name="hgjdfgghg" localSheetId="3">{#N/A,#N/A,FALSE,"Plan1";#N/A,#N/A,FALSE,"Plan2"}</definedName>
    <definedName name="hgjkfdhg" localSheetId="3">{#N/A,#N/A,FALSE,"Plan1";#N/A,#N/A,FALSE,"Plan2"}</definedName>
    <definedName name="hgkdfhkfk" localSheetId="3">{#N/A,#N/A,FALSE,"Plan1";#N/A,#N/A,FALSE,"Plan2"}</definedName>
    <definedName name="hgkjhdfhtrdyt" localSheetId="3">{#N/A,#N/A,FALSE,"Plan1";#N/A,#N/A,FALSE,"Plan2"}</definedName>
    <definedName name="hgkjhdfkhgtfhg" localSheetId="3">{#N/A,#N/A,FALSE,"Plan1";#N/A,#N/A,FALSE,"Plan2"}</definedName>
    <definedName name="hgkjhkfhsdkdhgk" localSheetId="3">{#N/A,#N/A,FALSE,"Plan1";#N/A,#N/A,FALSE,"Plan2"}</definedName>
    <definedName name="hgsufgdhghd" localSheetId="3">{#N/A,#N/A,FALSE,"Plan1";#N/A,#N/A,FALSE,"Plan2"}</definedName>
    <definedName name="HHGFHTYUT" localSheetId="3">{#N/A,#N/A,FALSE,"Plan1";#N/A,#N/A,FALSE,"Plan2"}</definedName>
    <definedName name="hhh" localSheetId="3">{"'Total'!$A$1","'Total'!$A$3"}</definedName>
    <definedName name="HHIHLK" localSheetId="3">#REF!</definedName>
    <definedName name="hik" localSheetId="3">{#N/A,#N/A,FALSE,"TABLE"}</definedName>
    <definedName name="hist" localSheetId="3">#REF!</definedName>
    <definedName name="HIST1" localSheetId="3">#REF!</definedName>
    <definedName name="HISTEQ" localSheetId="3">#REF!</definedName>
    <definedName name="HISTOGRAMA" localSheetId="3">#REF!</definedName>
    <definedName name="hjdgtjdjxrfg" localSheetId="3">{#N/A,#N/A,FALSE,"Plan1";#N/A,#N/A,FALSE,"Plan2"}</definedName>
    <definedName name="HJFDGD" localSheetId="3">{#N/A,#N/A,FALSE,"Plan1";#N/A,#N/A,FALSE,"Plan2"}</definedName>
    <definedName name="HJGASD" localSheetId="3">{#N/A,#N/A,FALSE,"Plan1";#N/A,#N/A,FALSE,"Plan2"}</definedName>
    <definedName name="HJGFGTFDG" localSheetId="3">{#N/A,#N/A,FALSE,"Plan1";#N/A,#N/A,FALSE,"Plan2"}</definedName>
    <definedName name="hjgfhdsgfhsd" localSheetId="3">{#N/A,#N/A,FALSE,"Plan1";#N/A,#N/A,FALSE,"Plan2"}</definedName>
    <definedName name="hjgxfjgdjyftr" localSheetId="3">{#N/A,#N/A,FALSE,"Plan1";#N/A,#N/A,FALSE,"Plan2"}</definedName>
    <definedName name="hjgyugasd" localSheetId="3">{#N/A,#N/A,FALSE,"Plan1";#N/A,#N/A,FALSE,"Plan2"}</definedName>
    <definedName name="hjjfyfy" localSheetId="3">{#N/A,#N/A,FALSE,"Plan1";#N/A,#N/A,FALSE,"Plan2"}</definedName>
    <definedName name="hjkchkvjhdjkgh" localSheetId="3">{#N/A,#N/A,FALSE,"Plan1";#N/A,#N/A,FALSE,"Plan2"}</definedName>
    <definedName name="hjkfjdyht" localSheetId="3">{#N/A,#N/A,FALSE,"Plan1";#N/A,#N/A,FALSE,"Plan2"}</definedName>
    <definedName name="hjsdffe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3">{#N/A,#N/A,FALSE,"Plan1";#N/A,#N/A,FALSE,"Plan2"}</definedName>
    <definedName name="hjsrdfre" localSheetId="3">{"Econ Consolidado",#N/A,FALSE,"Econ Consol";"Fluxo de Caixa",#N/A,FALSE,"Fluxo Caixa";"Investimentos",#N/A,FALSE,"Investimentos"}</definedName>
    <definedName name="HKewewsr" localSheetId="3">{#N/A,#N/A,FALSE,"Plan1";#N/A,#N/A,FALSE,"Plan2"}</definedName>
    <definedName name="hkhdskacd" localSheetId="3">{#N/A,#N/A,FALSE,"Plan1";#N/A,#N/A,FALSE,"Plan2"}</definedName>
    <definedName name="hkjfgfhgfh" localSheetId="3">{#N/A,#N/A,FALSE,"Plan1";#N/A,#N/A,FALSE,"Plan2"}</definedName>
    <definedName name="hkjfhgjkfhghfg" localSheetId="3">{#N/A,#N/A,FALSE,"Plan1";#N/A,#N/A,FALSE,"Plan2"}</definedName>
    <definedName name="HKLZHFRH" localSheetId="3">{#N/A,#N/A,FALSE,"Plan1";#N/A,#N/A,FALSE,"Plan2"}</definedName>
    <definedName name="ho" localSheetId="3">{#N/A,#N/A,FALSE,"TABLE"}</definedName>
    <definedName name="HOJE" localSheetId="3">#REF!</definedName>
    <definedName name="HONORARIOS" localSheetId="3">#REF!</definedName>
    <definedName name="HOSPEDES" localSheetId="3">#REF!</definedName>
    <definedName name="HOTEL" localSheetId="3">#REF!</definedName>
    <definedName name="hrterte" localSheetId="3">{#N/A,#N/A,FALSE,"Plan1";#N/A,#N/A,FALSE,"Plan2"}</definedName>
    <definedName name="hsdf" localSheetId="3">{#N/A,#N/A,FALSE,"Plan1";#N/A,#N/A,FALSE,"Plan2"}</definedName>
    <definedName name="hsdfgdgudrt" localSheetId="3">{#N/A,#N/A,FALSE,"Plan1";#N/A,#N/A,FALSE,"Plan2"}</definedName>
    <definedName name="hsdfjkdhur" localSheetId="3">{#N/A,#N/A,FALSE,"Plan1";#N/A,#N/A,FALSE,"Plan2"}</definedName>
    <definedName name="hsdgftdht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3">{#N/A,#N/A,FALSE,"Plan1";#N/A,#N/A,FALSE,"Plan2"}</definedName>
    <definedName name="hsdjffe" localSheetId="3">{#N/A,#N/A,FALSE,"Plan1";#N/A,#N/A,FALSE,"Plan2"}</definedName>
    <definedName name="HSFIHDTR" localSheetId="3">{"Econ Consolidado",#N/A,FALSE,"Econ Consol";"Fluxo de Caixa",#N/A,FALSE,"Fluxo Caixa";"Investimentos",#N/A,FALSE,"Investimentos"}</definedName>
    <definedName name="hsfjkdshrgf" localSheetId="3">{#N/A,#N/A,FALSE,"Plan1";#N/A,#N/A,FALSE,"Plan2"}</definedName>
    <definedName name="hthhrtetdre" localSheetId="3">{#N/A,#N/A,FALSE,"Plan1";#N/A,#N/A,FALSE,"Plan2"}</definedName>
    <definedName name="HTM" localSheetId="3">#REF!</definedName>
    <definedName name="HTML_Control" localSheetId="3">{"'장비'!$A$3:$M$12"}</definedName>
    <definedName name="HTML2_CONTROL" localSheetId="3">{"'Estimativa de Lançamento-JAN'!$A$1:$AI$85"}</definedName>
    <definedName name="HTML3_CONTROL" localSheetId="3">{"'Estimativa de Lançamento-JAN'!$A$1:$AI$85"}</definedName>
    <definedName name="HTMLControl" localSheetId="3">{"'Edit'!$A$1:$V$2277"}</definedName>
    <definedName name="HTN" localSheetId="3">#REF!</definedName>
    <definedName name="HVJKHGKFXHFD" localSheetId="3">{#N/A,#N/A,FALSE,"Plan1";#N/A,#N/A,FALSE,"Plan2"}</definedName>
    <definedName name="hwekjhekhf" localSheetId="3">{#N/A,#N/A,FALSE,"Plan1";#N/A,#N/A,FALSE,"Plan2"}</definedName>
    <definedName name="HXFRE" localSheetId="3">{#N/A,#N/A,FALSE,"Plan1";#N/A,#N/A,FALSE,"Plan2"}</definedName>
    <definedName name="HXKJFGDKHG" localSheetId="3">{#N/A,#N/A,FALSE,"Plan1";#N/A,#N/A,FALSE,"Plan2"}</definedName>
    <definedName name="I" localSheetId="3">#REF!</definedName>
    <definedName name="ibir_cdi" localSheetId="3">#REF!</definedName>
    <definedName name="ibir_hist" localSheetId="3">#REF!</definedName>
    <definedName name="ibir_uss" localSheetId="3">#REF!</definedName>
    <definedName name="icoa_cdi" localSheetId="3">#REF!</definedName>
    <definedName name="icoa_hist" localSheetId="3">#REF!</definedName>
    <definedName name="icoa_uss" localSheetId="3">#REF!</definedName>
    <definedName name="Identificação" localSheetId="3">#REF!</definedName>
    <definedName name="idfhgkjhfkthy" localSheetId="3">{#N/A,#N/A,FALSE,"Plan1";#N/A,#N/A,FALSE,"Plan2"}</definedName>
    <definedName name="ieroweft" localSheetId="3">{#N/A,#N/A,FALSE,"Plan1";#N/A,#N/A,FALSE,"Plan2"}</definedName>
    <definedName name="iewpotqi5poejy" localSheetId="3">{#N/A,#N/A,FALSE,"Plan1";#N/A,#N/A,FALSE,"Plan2"}</definedName>
    <definedName name="ihdfifguhgfuiyh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eidhgufr" localSheetId="3">#REF!</definedName>
    <definedName name="ihfdkjhktgrd" localSheetId="3">{#N/A,#N/A,FALSE,"Plan1";#N/A,#N/A,FALSE,"Plan2"}</definedName>
    <definedName name="ihrtetw4r" localSheetId="3">{#N/A,#N/A,FALSE,"Plan1";#N/A,#N/A,FALSE,"Plan2"}</definedName>
    <definedName name="II" localSheetId="3">#REF!</definedName>
    <definedName name="IIASDSAWE" localSheetId="3">{"Econ Consolidado",#N/A,FALSE,"Econ Consol";"Fluxo de Caixa",#N/A,FALSE,"Fluxo Caixa";"Investimentos",#N/A,FALSE,"Investimentos"}</definedName>
    <definedName name="III" localSheetId="3">#REF!</definedName>
    <definedName name="iinstalações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3">{#N/A,#N/A,FALSE,"Plan1";#N/A,#N/A,FALSE,"Plan2"}</definedName>
    <definedName name="ilsdr4wf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M" localSheetId="3">#REF!</definedName>
    <definedName name="IMP" localSheetId="3">#REF!</definedName>
    <definedName name="IMPERMEABILIZ." localSheetId="3">#REF!</definedName>
    <definedName name="IMPF" localSheetId="3">#REF!</definedName>
    <definedName name="IMPI" localSheetId="3">#REF!</definedName>
    <definedName name="IMPOSTO" localSheetId="3">#REF!</definedName>
    <definedName name="INCC" localSheetId="3">#REF!</definedName>
    <definedName name="Incorido_Aplicado_X_Físico" localSheetId="3">#REF!</definedName>
    <definedName name="INCORPORAÇÃO" localSheetId="3">#REF!</definedName>
    <definedName name="Index" localSheetId="3">#REF!</definedName>
    <definedName name="Indice" localSheetId="3">#REF!</definedName>
    <definedName name="indice_correcao_proj" localSheetId="3">#REF!</definedName>
    <definedName name="infra" localSheetId="3">#REF!</definedName>
    <definedName name="Infra_OBra_Sienge" localSheetId="3">#REF!</definedName>
    <definedName name="Infra_Projetos_Sienge" localSheetId="3">#REF!</definedName>
    <definedName name="INFRA2" localSheetId="3">#REF!</definedName>
    <definedName name="Insatalações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S_Bloqueado_Fin_Medição" localSheetId="3">#REF!</definedName>
    <definedName name="Inss_Bloqueado_Previsão_Fin_Medições" localSheetId="3">#REF!</definedName>
    <definedName name="instalaçoes2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U" localSheetId="3">OFFSET(#REF!,0,0,COUNTA(#REF!),1)</definedName>
    <definedName name="INSUMOS" localSheetId="3">#REF!</definedName>
    <definedName name="INT.FILTRO.NBASE" localSheetId="3">#REF!</definedName>
    <definedName name="INTEGRA" localSheetId="3">{"'Edit'!$A$1:$V$2277"}</definedName>
    <definedName name="ioeriotyt" localSheetId="3">{#N/A,#N/A,FALSE,"Plan1";#N/A,#N/A,FALSE,"Plan2"}</definedName>
    <definedName name="iohudtorh" localSheetId="3">{#N/A,#N/A,FALSE,"Plan1";#N/A,#N/A,FALSE,"Plan2"}</definedName>
    <definedName name="iojtkheayed" localSheetId="3">{#N/A,#N/A,FALSE,"Plan1";#N/A,#N/A,FALSE,"Plan2"}</definedName>
    <definedName name="iouweroieuw4" localSheetId="3">{#N/A,#N/A,FALSE,"Plan1";#N/A,#N/A,FALSE,"Plan2"}</definedName>
    <definedName name="iphifpgh" localSheetId="3">{#N/A,#N/A,FALSE,"Plan1";#N/A,#N/A,FALSE,"Plan2"}</definedName>
    <definedName name="IPMF" localSheetId="3">#REF!</definedName>
    <definedName name="ipodsifgpds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3">{#N/A,#N/A,FALSE,"Plan1";#N/A,#N/A,FALSE,"Plan2"}</definedName>
    <definedName name="IR_diferido" localSheetId="3">#REF!</definedName>
    <definedName name="ISOPOR" localSheetId="3">#REF!</definedName>
    <definedName name="ISS" localSheetId="3">#REF!</definedName>
    <definedName name="ItalieNS" localSheetId="3">#REF!</definedName>
    <definedName name="ItalieNT" localSheetId="3">#REF!</definedName>
    <definedName name="itc_cdi" localSheetId="3">#REF!</definedName>
    <definedName name="itc_hist" localSheetId="3">#REF!</definedName>
    <definedName name="itc_uss" localSheetId="3">#REF!</definedName>
    <definedName name="item_1" localSheetId="3">#REF!</definedName>
    <definedName name="ITEMCONT" localSheetId="3">#REF!</definedName>
    <definedName name="ITEMDER" localSheetId="3">#REF!</definedName>
    <definedName name="ITEMIZAÇÃO" localSheetId="3">#REF!</definedName>
    <definedName name="ITEMIZAÇÃO_2" localSheetId="3">#REF!</definedName>
    <definedName name="ITEMIZAÇÃO_3" localSheetId="3">#REF!</definedName>
    <definedName name="ITEMIZAÇÃO_4" localSheetId="3">#REF!</definedName>
    <definedName name="ITEMIZAÇÃO_5" localSheetId="3">#REF!</definedName>
    <definedName name="ITEMIZAÇÃO_7" localSheetId="3">#REF!</definedName>
    <definedName name="ITEMIZAÇÃO_8" localSheetId="3">#REF!</definedName>
    <definedName name="ITEMR20" localSheetId="3">#REF!</definedName>
    <definedName name="ITEM별상세업무분장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NS" localSheetId="3">#REF!</definedName>
    <definedName name="ITENS0" localSheetId="3">#REF!</definedName>
    <definedName name="ITENS1" localSheetId="3">#REF!</definedName>
    <definedName name="ITENSP" localSheetId="3">#REF!</definedName>
    <definedName name="ITENSPMED" localSheetId="3">#REF!</definedName>
    <definedName name="IUGFGDFUY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V" localSheetId="3">#REF!</definedName>
    <definedName name="iyguygiyt" localSheetId="3">{#N/A,#N/A,FALSE,"Plan1";#N/A,#N/A,FALSE,"Plan2"}</definedName>
    <definedName name="iyuyheturtd" localSheetId="3">{#N/A,#N/A,FALSE,"Plan1";#N/A,#N/A,FALSE,"Plan2"}</definedName>
    <definedName name="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3">{#N/A,#N/A,FALSE,"Plan1";#N/A,#N/A,FALSE,"Plan2"}</definedName>
    <definedName name="jan_05" localSheetId="3">#REF!</definedName>
    <definedName name="jan17RJ" localSheetId="3">#REF!</definedName>
    <definedName name="JANEIRO2001" localSheetId="3">#REF!</definedName>
    <definedName name="JASDJS" localSheetId="3">{#N/A,#N/A,FALSE,"Plan1";#N/A,#N/A,FALSE,"Plan2"}</definedName>
    <definedName name="jaskldjlse" localSheetId="3">{#N/A,#N/A,FALSE,"Plan1";#N/A,#N/A,FALSE,"Plan2"}</definedName>
    <definedName name="JASLDKLD" localSheetId="3">{#N/A,#N/A,FALSE,"Plan1";#N/A,#N/A,FALSE,"Plan2"}</definedName>
    <definedName name="jasoe" localSheetId="3">#REF!</definedName>
    <definedName name="jbzxffcbgdhgft" localSheetId="3">#REF!</definedName>
    <definedName name="JÇDFHDF" localSheetId="3">{"Econ Consolidado",#N/A,FALSE,"Econ Consol";"Fluxo de Caixa",#N/A,FALSE,"Fluxo Caixa";"Investimentos",#N/A,FALSE,"Investimentos"}</definedName>
    <definedName name="jdbgftbhr" localSheetId="3">{#N/A,#N/A,FALSE,"Plan1";#N/A,#N/A,FALSE,"Plan2"}</definedName>
    <definedName name="jdfgkrhgft" localSheetId="3">#REF!</definedName>
    <definedName name="jdfgldfjgklh" localSheetId="3">{#N/A,#N/A,FALSE,"Plan1";#N/A,#N/A,FALSE,"Plan2"}</definedName>
    <definedName name="jdfhjkdrhjtkg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3">{#N/A,#N/A,FALSE,"Plan1";#N/A,#N/A,FALSE,"Plan2"}</definedName>
    <definedName name="JDFJLDJR" localSheetId="3">{#N/A,#N/A,FALSE,"Plan1";#N/A,#N/A,FALSE,"Plan2"}</definedName>
    <definedName name="jdfkgitfgdrtt" localSheetId="3">{#N/A,#N/A,FALSE,"Plan1";#N/A,#N/A,FALSE,"Plan2"}</definedName>
    <definedName name="JDFKHFKJ" localSheetId="3">{#N/A,#N/A,FALSE,"Plan1";#N/A,#N/A,FALSE,"Plan2"}</definedName>
    <definedName name="jdfklgtdtr" localSheetId="3">{#N/A,#N/A,FALSE,"Plan1";#N/A,#N/A,FALSE,"Plan2"}</definedName>
    <definedName name="JDFKTHRT" localSheetId="3">{#N/A,#N/A,FALSE,"Plan1";#N/A,#N/A,FALSE,"Plan2"}</definedName>
    <definedName name="JDFLKJDRF" localSheetId="3">{#N/A,#N/A,FALSE,"Plan1";#N/A,#N/A,FALSE,"Plan2"}</definedName>
    <definedName name="jdfzlkjgfdht" localSheetId="3">{#N/A,#N/A,FALSE,"Plan1";#N/A,#N/A,FALSE,"Plan2"}</definedName>
    <definedName name="jdglhfghkt" localSheetId="3">{#N/A,#N/A,FALSE,"Plan1";#N/A,#N/A,FALSE,"Plan2"}</definedName>
    <definedName name="jdhfjdhgfd" localSheetId="3">{#N/A,#N/A,FALSE,"Plan1";#N/A,#N/A,FALSE,"Plan2"}</definedName>
    <definedName name="jdjdjdjd" localSheetId="3">{#N/A,#N/A,FALSE,"명세표"}</definedName>
    <definedName name="jdkfhgjhf" localSheetId="3">{#N/A,#N/A,FALSE,"Plan1";#N/A,#N/A,FALSE,"Plan2"}</definedName>
    <definedName name="jdkfjdtr" localSheetId="3">{#N/A,#N/A,FALSE,"Plan1";#N/A,#N/A,FALSE,"Plan2"}</definedName>
    <definedName name="jdljgftldjti5r" localSheetId="3">{#N/A,#N/A,FALSE,"Plan1";#N/A,#N/A,FALSE,"Plan2"}</definedName>
    <definedName name="JDLKJDASGF" localSheetId="3">{#N/A,#N/A,FALSE,"Plan1";#N/A,#N/A,FALSE,"Plan2"}</definedName>
    <definedName name="jdrfkdjfghrtfjg" localSheetId="3">{#N/A,#N/A,FALSE,"Plan1";#N/A,#N/A,FALSE,"Plan2"}</definedName>
    <definedName name="jdskfhdk" localSheetId="3">{#N/A,#N/A,FALSE,"Plan1";#N/A,#N/A,FALSE,"Plan2"}</definedName>
    <definedName name="JDSKLGKDRHGGF" localSheetId="3">{#N/A,#N/A,FALSE,"Plan1";#N/A,#N/A,FALSE,"Plan2"}</definedName>
    <definedName name="jefsgfr" localSheetId="3">{#N/A,#N/A,FALSE,"Plan1";#N/A,#N/A,FALSE,"Plan2"}</definedName>
    <definedName name="JERHIEHYURE" localSheetId="3">{#N/A,#N/A,FALSE,"Plan1";#N/A,#N/A,FALSE,"Plan2"}</definedName>
    <definedName name="jfddlsrtyty" localSheetId="3">{#N/A,#N/A,FALSE,"Plan1";#N/A,#N/A,FALSE,"Plan2"}</definedName>
    <definedName name="jfdjtgdjghitfyh" localSheetId="3">{#N/A,#N/A,FALSE,"Plan1";#N/A,#N/A,FALSE,"Plan2"}</definedName>
    <definedName name="jfdkgkftftg" localSheetId="3">{#N/A,#N/A,FALSE,"Plan1";#N/A,#N/A,FALSE,"Plan2"}</definedName>
    <definedName name="jfghjkfdhtkyru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3">{#N/A,#N/A,FALSE,"Plan1";#N/A,#N/A,FALSE,"Plan2"}</definedName>
    <definedName name="jfgkflcnjkglc" localSheetId="3">{#N/A,#N/A,FALSE,"Plan1";#N/A,#N/A,FALSE,"Plan2"}</definedName>
    <definedName name="JFHRE" localSheetId="3">{#N/A,#N/A,FALSE,"Plan1";#N/A,#N/A,FALSE,"Plan2"}</definedName>
    <definedName name="jfkdls5jtirjd" localSheetId="3">{#N/A,#N/A,FALSE,"Plan1";#N/A,#N/A,FALSE,"Plan2"}</definedName>
    <definedName name="jfkljdkfcj" localSheetId="3">{#N/A,#N/A,FALSE,"Plan1";#N/A,#N/A,FALSE,"Plan2"}</definedName>
    <definedName name="jfkrhdtghdut" localSheetId="3">{#N/A,#N/A,FALSE,"Plan1";#N/A,#N/A,FALSE,"Plan2"}</definedName>
    <definedName name="JFRESR" localSheetId="3">{#N/A,#N/A,FALSE,"Plan1";#N/A,#N/A,FALSE,"Plan2"}</definedName>
    <definedName name="jgdfdgfjgdj" localSheetId="3">{#N/A,#N/A,FALSE,"Plan1";#N/A,#N/A,FALSE,"Plan2"}</definedName>
    <definedName name="jgdfght" localSheetId="3">{#N/A,#N/A,FALSE,"Plan1";#N/A,#N/A,FALSE,"Plan2"}</definedName>
    <definedName name="jgfgdsgfdhrf" localSheetId="3">{#N/A,#N/A,FALSE,"Plan1";#N/A,#N/A,FALSE,"Plan2"}</definedName>
    <definedName name="JGFJGTFT" localSheetId="3">{#N/A,#N/A,FALSE,"Plan1";#N/A,#N/A,FALSE,"Plan2"}</definedName>
    <definedName name="jgkjkhjuftgi" localSheetId="3">{#N/A,#N/A,FALSE,"Plan1";#N/A,#N/A,FALSE,"Plan2"}</definedName>
    <definedName name="jh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3">{#N/A,#N/A,FALSE,"Plan1";#N/A,#N/A,FALSE,"Plan2"}</definedName>
    <definedName name="jhdfjkhtrdhf" localSheetId="3">{#N/A,#N/A,FALSE,"Plan1";#N/A,#N/A,FALSE,"Plan2"}</definedName>
    <definedName name="jhdfuthr" localSheetId="3">{#N/A,#N/A,FALSE,"Plan1";#N/A,#N/A,FALSE,"Plan2"}</definedName>
    <definedName name="JHDFZGRDHF" localSheetId="3">{"Econ Consolidado",#N/A,FALSE,"Econ Consol";"Fluxo de Caixa",#N/A,FALSE,"Fluxo Caixa";"Investimentos",#N/A,FALSE,"Investimentos"}</definedName>
    <definedName name="JHERKHKFGH" localSheetId="3">{#N/A,#N/A,FALSE,"Plan1";#N/A,#N/A,FALSE,"Plan2"}</definedName>
    <definedName name="jhfhhztfhe" localSheetId="3">#REF!</definedName>
    <definedName name="JHGKJFJFJGL" localSheetId="3">{#N/A,#N/A,FALSE,"Plan1";#N/A,#N/A,FALSE,"Plan2"}</definedName>
    <definedName name="jhsdjkhfuks" localSheetId="3">{#N/A,#N/A,FALSE,"Plan1";#N/A,#N/A,FALSE,"Plan2"}</definedName>
    <definedName name="jisdrkje" localSheetId="3">{#N/A,#N/A,FALSE,"Plan1";#N/A,#N/A,FALSE,"Plan2"}</definedName>
    <definedName name="jishfrieyhtau" localSheetId="3">{#N/A,#N/A,FALSE,"Plan1";#N/A,#N/A,FALSE,"Plan2"}</definedName>
    <definedName name="jiu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3">{"'Apr-00'!$B$4:$AD$44"}</definedName>
    <definedName name="jjfdsktyhhy" localSheetId="3">{#N/A,#N/A,FALSE,"Plan1";#N/A,#N/A,FALSE,"Plan2"}</definedName>
    <definedName name="jjjjjjjjjjjjjjjjjjjj" localSheetId="3">#REF!</definedName>
    <definedName name="jjkjkjk" localSheetId="3">{#N/A,#N/A,FALSE,"Plan1";#N/A,#N/A,FALSE,"Plan2"}</definedName>
    <definedName name="JKDCK" localSheetId="3">{#N/A,#N/A,FALSE,"Plan1";#N/A,#N/A,FALSE,"Plan2"}</definedName>
    <definedName name="JKDFHKHFR" localSheetId="3">{#N/A,#N/A,FALSE,"Plan1";#N/A,#N/A,FALSE,"Plan2"}</definedName>
    <definedName name="JKDFTRDRJ" localSheetId="3">{#N/A,#N/A,FALSE,"Plan1";#N/A,#N/A,FALSE,"Plan2"}</definedName>
    <definedName name="jkdhfukhddf" localSheetId="3">{#N/A,#N/A,FALSE,"Plan1";#N/A,#N/A,FALSE,"Plan2"}</definedName>
    <definedName name="JKDRKGJHTDR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3">{#N/A,#N/A,FALSE,"Plan1";#N/A,#N/A,FALSE,"Plan2"}</definedName>
    <definedName name="jkfhjgkfhghh" localSheetId="3">{#N/A,#N/A,FALSE,"Plan1";#N/A,#N/A,FALSE,"Plan2"}</definedName>
    <definedName name="jkhderjkhes" localSheetId="3">{#N/A,#N/A,FALSE,"Plan1";#N/A,#N/A,FALSE,"Plan2"}</definedName>
    <definedName name="jkhdfhfd" localSheetId="3">{#N/A,#N/A,FALSE,"Plan1";#N/A,#N/A,FALSE,"Plan2"}</definedName>
    <definedName name="jkhfhest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3">{#N/A,#N/A,FALSE,"Plan1";#N/A,#N/A,FALSE,"Plan2"}</definedName>
    <definedName name="JKHGDHFUHTG" localSheetId="3">{#N/A,#N/A,FALSE,"Plan1";#N/A,#N/A,FALSE,"Plan2"}</definedName>
    <definedName name="jkhsdzjkfyiu" localSheetId="3">{#N/A,#N/A,FALSE,"Plan1";#N/A,#N/A,FALSE,"Plan2"}</definedName>
    <definedName name="jkjsdkhfdhrf" localSheetId="3">{#N/A,#N/A,FALSE,"Plan1";#N/A,#N/A,FALSE,"Plan2"}</definedName>
    <definedName name="jklgfsjgtjtg" localSheetId="3">{#N/A,#N/A,FALSE,"Plan1";#N/A,#N/A,FALSE,"Plan2"}</definedName>
    <definedName name="jksldfjsdhf" localSheetId="3">{#N/A,#N/A,FALSE,"Plan1";#N/A,#N/A,FALSE,"Plan2"}</definedName>
    <definedName name="jkxhcjkhfr" localSheetId="3">{#N/A,#N/A,FALSE,"Plan1";#N/A,#N/A,FALSE,"Plan2"}</definedName>
    <definedName name="JNGCKFKJFGH" localSheetId="3">{#N/A,#N/A,FALSE,"Plan1";#N/A,#N/A,FALSE,"Plan2"}</definedName>
    <definedName name="JOALDO" localSheetId="3">#REF!</definedName>
    <definedName name="joao_cdi" localSheetId="3">#REF!</definedName>
    <definedName name="joao_hist" localSheetId="3">#REF!</definedName>
    <definedName name="joao_uss" localSheetId="3">#REF!</definedName>
    <definedName name="JREJRW" localSheetId="3">{#N/A,#N/A,FALSE,"Plan1";#N/A,#N/A,FALSE,"Plan2"}</definedName>
    <definedName name="JSADKAH" localSheetId="3">{"Econ Consolidado",#N/A,FALSE,"Econ Consol";"Fluxo de Caixa",#N/A,FALSE,"Fluxo Caixa";"Investimentos",#N/A,FALSE,"Investimentos"}</definedName>
    <definedName name="JSDAJRE" localSheetId="3">{#N/A,#N/A,FALSE,"Plan1";#N/A,#N/A,FALSE,"Plan2"}</definedName>
    <definedName name="jsdffse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3">{#N/A,#N/A,FALSE,"Plan1";#N/A,#N/A,FALSE,"Plan2"}</definedName>
    <definedName name="jsdfkgnfr" localSheetId="3">#REF!</definedName>
    <definedName name="jsdfsdfd" localSheetId="3">{#N/A,#N/A,FALSE,"Plan1";#N/A,#N/A,FALSE,"Plan2"}</definedName>
    <definedName name="jsdljficd" localSheetId="3">{#N/A,#N/A,FALSE,"Plan1";#N/A,#N/A,FALSE,"Plan2"}</definedName>
    <definedName name="JSDTLFJDRG" localSheetId="3">{#N/A,#N/A,FALSE,"Plan1";#N/A,#N/A,FALSE,"Plan2"}</definedName>
    <definedName name="jsfjsjferwea" localSheetId="3">{#N/A,#N/A,FALSE,"Plan1";#N/A,#N/A,FALSE,"Plan2"}</definedName>
    <definedName name="jslrjer" localSheetId="3">{#N/A,#N/A,FALSE,"Plan1";#N/A,#N/A,FALSE,"Plan2"}</definedName>
    <definedName name="juklhkhdf" localSheetId="3">{#N/A,#N/A,FALSE,"Plan1";#N/A,#N/A,FALSE,"Plan2"}</definedName>
    <definedName name="jul17RJ" localSheetId="3">#REF!</definedName>
    <definedName name="JULHO" localSheetId="3">#REF!</definedName>
    <definedName name="JULHO2001" localSheetId="3">#REF!</definedName>
    <definedName name="JULHO99" localSheetId="3">{#N/A,#N/A,TRUE,"Quinzena 01 à 15-04-98 "}</definedName>
    <definedName name="jun17RJ" localSheetId="3">#REF!</definedName>
    <definedName name="JUNHO" localSheetId="3">#REF!</definedName>
    <definedName name="JUNHO2001" localSheetId="3">#REF!</definedName>
    <definedName name="JurosTpMes" localSheetId="3">#REF!</definedName>
    <definedName name="jwekljd" localSheetId="3">{#N/A,#N/A,FALSE,"Plan1";#N/A,#N/A,FALSE,"Plan2"}</definedName>
    <definedName name="JWEOITORU5Y" localSheetId="3">{#N/A,#N/A,FALSE,"Plan1";#N/A,#N/A,FALSE,"Plan2"}</definedName>
    <definedName name="jxdfjsrf" localSheetId="3">{#N/A,#N/A,FALSE,"Plan1";#N/A,#N/A,FALSE,"Plan2"}</definedName>
    <definedName name="jxdklfjv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Y" localSheetId="3">#REF!</definedName>
    <definedName name="jzsdjkszl" localSheetId="3">{#N/A,#N/A,FALSE,"Plan1";#N/A,#N/A,FALSE,"Plan2"}</definedName>
    <definedName name="JZXFKLJLDJF" localSheetId="3">{#N/A,#N/A,FALSE,"Plan1";#N/A,#N/A,FALSE,"Plan2"}</definedName>
    <definedName name="jzxklfdlvgfg" localSheetId="3">{#N/A,#N/A,FALSE,"Plan1";#N/A,#N/A,FALSE,"Plan2"}</definedName>
    <definedName name="k" localSheetId="3">{#N/A,#N/A,FALSE,"Plan1";#N/A,#N/A,FALSE,"Plan2"}</definedName>
    <definedName name="K_1" localSheetId="3">#REF!</definedName>
    <definedName name="kaedkroswr" localSheetId="3">{"Econ Consolidado",#N/A,FALSE,"Econ Consol";"Fluxo de Caixa",#N/A,FALSE,"Fluxo Caixa";"Investimentos",#N/A,FALSE,"Investimentos"}</definedName>
    <definedName name="kapa" localSheetId="3">#REF!</definedName>
    <definedName name="kçdasekr" localSheetId="3">{#N/A,#N/A,FALSE,"Plan1";#N/A,#N/A,FALSE,"Plan2"}</definedName>
    <definedName name="kçfdljtredr" localSheetId="3">{#N/A,#N/A,FALSE,"Plan1";#N/A,#N/A,FALSE,"Plan2"}</definedName>
    <definedName name="KCIVIL" localSheetId="3">#REF!</definedName>
    <definedName name="kclçkglf" localSheetId="3">{#N/A,#N/A,FALSE,"Plan1";#N/A,#N/A,FALSE,"Plan2"}</definedName>
    <definedName name="kçlkasçkere" localSheetId="3">{#N/A,#N/A,FALSE,"Plan1";#N/A,#N/A,FALSE,"Plan2"}</definedName>
    <definedName name="kdfbngtjkbf" localSheetId="3">{#N/A,#N/A,FALSE,"Plan1";#N/A,#N/A,FALSE,"Plan2"}</definedName>
    <definedName name="kdfhkghkrh" localSheetId="3">{#N/A,#N/A,FALSE,"Plan1";#N/A,#N/A,FALSE,"Plan2"}</definedName>
    <definedName name="kdfier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3">{#N/A,#N/A,FALSE,"Plan1";#N/A,#N/A,FALSE,"Plan2"}</definedName>
    <definedName name="kdfljlfr" localSheetId="3">{#N/A,#N/A,FALSE,"Plan1";#N/A,#N/A,FALSE,"Plan2"}</definedName>
    <definedName name="kdhfgkdfhytgu" localSheetId="3">{#N/A,#N/A,FALSE,"Plan1";#N/A,#N/A,FALSE,"Plan2"}</definedName>
    <definedName name="kdhgftfg" localSheetId="3">{#N/A,#N/A,FALSE,"Plan1";#N/A,#N/A,FALSE,"Plan2"}</definedName>
    <definedName name="KDHKFGKKHGF" localSheetId="3">{#N/A,#N/A,FALSE,"Plan1";#N/A,#N/A,FALSE,"Plan2"}</definedName>
    <definedName name="kdjfdr" localSheetId="3">#REF!</definedName>
    <definedName name="kdjgkfjgd" localSheetId="3">{#N/A,#N/A,FALSE,"Plan1";#N/A,#N/A,FALSE,"Plan2"}</definedName>
    <definedName name="kdjglkdlgjd" localSheetId="3">{#N/A,#N/A,FALSE,"Plan1";#N/A,#N/A,FALSE,"Plan2"}</definedName>
    <definedName name="kdjsfkldjgkty" localSheetId="3">{#N/A,#N/A,FALSE,"Plan1";#N/A,#N/A,FALSE,"Plan2"}</definedName>
    <definedName name="KDJU" localSheetId="3">{"'장비'!$A$3:$M$12"}</definedName>
    <definedName name="kdkjhgdkfhjk" localSheetId="3">{#N/A,#N/A,FALSE,"Plan1";#N/A,#N/A,FALSE,"Plan2"}</definedName>
    <definedName name="kdsf" localSheetId="3">{#N/A,#N/A,FALSE,"Plan1";#N/A,#N/A,FALSE,"Plan2"}</definedName>
    <definedName name="kdsr" localSheetId="3">{#N/A,#N/A,FALSE,"Plan1";#N/A,#N/A,FALSE,"Plan2"}</definedName>
    <definedName name="kergtfdstr" localSheetId="3">{#N/A,#N/A,FALSE,"Plan1";#N/A,#N/A,FALSE,"Plan2"}</definedName>
    <definedName name="kesp" localSheetId="3">#REF!</definedName>
    <definedName name="KFDKTHGT" localSheetId="3">{#N/A,#N/A,FALSE,"Plan1";#N/A,#N/A,FALSE,"Plan2"}</definedName>
    <definedName name="kfdxlfdzs" localSheetId="3">{"Econ Consolidado",#N/A,FALSE,"Econ Consol";"Fluxo de Caixa",#N/A,FALSE,"Fluxo Caixa";"Investimentos",#N/A,FALSE,"Investimentos"}</definedName>
    <definedName name="kfgkhjkjhy" localSheetId="3">{#N/A,#N/A,FALSE,"Plan1";#N/A,#N/A,FALSE,"Plan2"}</definedName>
    <definedName name="KFJFDSDF" localSheetId="3">{#N/A,#N/A,FALSE,"Plan1";#N/A,#N/A,FALSE,"Plan2"}</definedName>
    <definedName name="kfnkeasd" localSheetId="3">{#N/A,#N/A,FALSE,"Plan1";#N/A,#N/A,FALSE,"Plan2"}</definedName>
    <definedName name="khdjkfkjhtg" localSheetId="3">{#N/A,#N/A,FALSE,"Plan1";#N/A,#N/A,FALSE,"Plan2"}</definedName>
    <definedName name="khdkfjhhfsdg" localSheetId="3">{#N/A,#N/A,FALSE,"Plan1";#N/A,#N/A,FALSE,"Plan2"}</definedName>
    <definedName name="khdkjfhgudytu" localSheetId="3">{#N/A,#N/A,FALSE,"Plan1";#N/A,#N/A,FALSE,"Plan2"}</definedName>
    <definedName name="khfdghhhgd" localSheetId="3">{#N/A,#N/A,FALSE,"Plan1";#N/A,#N/A,FALSE,"Plan2"}</definedName>
    <definedName name="khfdkjhsdjf" localSheetId="3">{#N/A,#N/A,FALSE,"Plan1";#N/A,#N/A,FALSE,"Plan2"}</definedName>
    <definedName name="khgdkftfy" localSheetId="3">{#N/A,#N/A,FALSE,"Plan1";#N/A,#N/A,FALSE,"Plan2"}</definedName>
    <definedName name="khgfhhtuhf" localSheetId="3">{#N/A,#N/A,FALSE,"Plan1";#N/A,#N/A,FALSE,"Plan2"}</definedName>
    <definedName name="khjkh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3">{#N/A,#N/A,FALSE,"Plan1";#N/A,#N/A,FALSE,"Plan2"}</definedName>
    <definedName name="kieret" localSheetId="3">{#N/A,#N/A,FALSE,"Plan1";#N/A,#N/A,FALSE,"Plan2"}</definedName>
    <definedName name="kiweokwr" localSheetId="3">#REF!</definedName>
    <definedName name="kjchkfhsezk" localSheetId="3">{#N/A,#N/A,FALSE,"Plan1";#N/A,#N/A,FALSE,"Plan2"}</definedName>
    <definedName name="kjdghksef" localSheetId="3">{#N/A,#N/A,FALSE,"Plan1";#N/A,#N/A,FALSE,"Plan2"}</definedName>
    <definedName name="kjdkftyhtert" localSheetId="3">{#N/A,#N/A,FALSE,"Plan1";#N/A,#N/A,FALSE,"Plan2"}</definedName>
    <definedName name="kjdlfkjds" localSheetId="3">{#N/A,#N/A,FALSE,"Plan1";#N/A,#N/A,FALSE,"Plan2"}</definedName>
    <definedName name="kjdzhfytrfy" localSheetId="3">{#N/A,#N/A,FALSE,"Plan1";#N/A,#N/A,FALSE,"Plan2"}</definedName>
    <definedName name="kjhdfgjthdft" localSheetId="3">{#N/A,#N/A,FALSE,"Plan1";#N/A,#N/A,FALSE,"Plan2"}</definedName>
    <definedName name="kjhsdfk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3">{#N/A,#N/A,FALSE,"Plan1";#N/A,#N/A,FALSE,"Plan2"}</definedName>
    <definedName name="KJ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3">{#N/A,#N/A,FALSE,"Plan1";#N/A,#N/A,FALSE,"Plan2"}</definedName>
    <definedName name="kjl" localSheetId="3">{#N/A,#N/A,FALSE,"ENG'G(보호계전기)"}</definedName>
    <definedName name="KJOI" localSheetId="3">{#N/A,#N/A,FALSE,"Plan1";#N/A,#N/A,FALSE,"Plan2"}</definedName>
    <definedName name="kjqwerw" localSheetId="3">{#N/A,#N/A,FALSE,"Plan1";#N/A,#N/A,FALSE,"Plan2"}</definedName>
    <definedName name="kjsfert" localSheetId="3">{#N/A,#N/A,FALSE,"Plan1";#N/A,#N/A,FALSE,"Plan2"}</definedName>
    <definedName name="KJXCFKR" localSheetId="3">{#N/A,#N/A,FALSE,"Plan1";#N/A,#N/A,FALSE,"Plan2"}</definedName>
    <definedName name="KJXDFD" localSheetId="3">{#N/A,#N/A,FALSE,"Plan1";#N/A,#N/A,FALSE,"Plan2"}</definedName>
    <definedName name="kjydhfkjghkjfh" localSheetId="3">#REF!</definedName>
    <definedName name="kk" localSheetId="3">#REF!</definedName>
    <definedName name="kk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3">{#N/A,#N/A,FALSE,"Plan1";#N/A,#N/A,FALSE,"Plan2"}</definedName>
    <definedName name="kkkkk" localSheetId="3">{#N/A,#N/A,FALSE,"Plan1";#N/A,#N/A,FALSE,"Plan2"}</definedName>
    <definedName name="kkkkkk" localSheetId="3">{#N/A,#N/A,FALSE,"Plan1";#N/A,#N/A,FALSE,"Plan2"}</definedName>
    <definedName name="kko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3">{#N/A,#N/A,FALSE,"Plan1";#N/A,#N/A,FALSE,"Plan2"}</definedName>
    <definedName name="kksarde" localSheetId="3">{#N/A,#N/A,FALSE,"Plan1";#N/A,#N/A,FALSE,"Plan2"}</definedName>
    <definedName name="klaskldjsw" localSheetId="3">{#N/A,#N/A,FALSE,"Plan1";#N/A,#N/A,FALSE,"Plan2"}</definedName>
    <definedName name="klçkop" localSheetId="3">{#N/A,#N/A,FALSE,"Plan1";#N/A,#N/A,FALSE,"Plan2"}</definedName>
    <definedName name="KLDFNTRDT" localSheetId="3">{#N/A,#N/A,FALSE,"Plan1";#N/A,#N/A,FALSE,"Plan2"}</definedName>
    <definedName name="klhjsdklhdf" localSheetId="3">{#N/A,#N/A,FALSE,"Plan1";#N/A,#N/A,FALSE,"Plan2"}</definedName>
    <definedName name="KLHSKLRHWE" localSheetId="3">{#N/A,#N/A,FALSE,"Plan1";#N/A,#N/A,FALSE,"Plan2"}</definedName>
    <definedName name="KLJASKJD" localSheetId="3">{#N/A,#N/A,FALSE,"Plan1";#N/A,#N/A,FALSE,"Plan2"}</definedName>
    <definedName name="KLJDXLG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3">{#N/A,#N/A,FALSE,"Plan1";#N/A,#N/A,FALSE,"Plan2"}</definedName>
    <definedName name="kljflgjrf" localSheetId="3">{#N/A,#N/A,FALSE,"Plan1";#N/A,#N/A,FALSE,"Plan2"}</definedName>
    <definedName name="kljgfdfr" localSheetId="3">{#N/A,#N/A,FALSE,"Plan1";#N/A,#N/A,FALSE,"Plan2"}</definedName>
    <definedName name="kljgfjrt" localSheetId="3">{#N/A,#N/A,FALSE,"Plan1";#N/A,#N/A,FALSE,"Plan2"}</definedName>
    <definedName name="kljlkdfj" localSheetId="3">{#N/A,#N/A,FALSE,"Plan1";#N/A,#N/A,FALSE,"Plan2"}</definedName>
    <definedName name="kljsakjfr" localSheetId="3">{#N/A,#N/A,FALSE,"Plan1";#N/A,#N/A,FALSE,"Plan2"}</definedName>
    <definedName name="kljsdje" localSheetId="3">{#N/A,#N/A,FALSE,"Plan1";#N/A,#N/A,FALSE,"Plan2"}</definedName>
    <definedName name="kljsfwe" localSheetId="3">{#N/A,#N/A,FALSE,"Plan1";#N/A,#N/A,FALSE,"Plan2"}</definedName>
    <definedName name="klk" localSheetId="3">{#N/A,#N/A,FALSE,"Plan1";#N/A,#N/A,FALSE,"Plan2"}</definedName>
    <definedName name="KLKKLKÇJÇ" localSheetId="3">{#N/A,#N/A,FALSE,"Plan1";#N/A,#N/A,FALSE,"Plan2"}</definedName>
    <definedName name="KLSDFT" localSheetId="3">{#N/A,#N/A,FALSE,"Plan1";#N/A,#N/A,FALSE,"Plan2"}</definedName>
    <definedName name="KLSDHSJKHF" localSheetId="3">{#N/A,#N/A,FALSE,"Plan1";#N/A,#N/A,FALSE,"Plan2"}</definedName>
    <definedName name="klsdkre" localSheetId="3">{#N/A,#N/A,FALSE,"Plan1";#N/A,#N/A,FALSE,"Plan2"}</definedName>
    <definedName name="KLSIDJE" localSheetId="3">{#N/A,#N/A,FALSE,"Plan1";#N/A,#N/A,FALSE,"Plan2"}</definedName>
    <definedName name="klsjarsf" localSheetId="3">{#N/A,#N/A,FALSE,"Plan1";#N/A,#N/A,FALSE,"Plan2"}</definedName>
    <definedName name="klsjdwe" localSheetId="3">#REF!</definedName>
    <definedName name="klxhjfdkhser" localSheetId="3">{#N/A,#N/A,FALSE,"Plan1";#N/A,#N/A,FALSE,"Plan2"}</definedName>
    <definedName name="kopipnsdfne" localSheetId="3">{#N/A,#N/A,FALSE,"Plan1";#N/A,#N/A,FALSE,"Plan2"}</definedName>
    <definedName name="kp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3">{#N/A,#N/A,FALSE,"Plan1";#N/A,#N/A,FALSE,"Plan2"}</definedName>
    <definedName name="ksdlkfsçzd" localSheetId="3">{#N/A,#N/A,FALSE,"Plan1";#N/A,#N/A,FALSE,"Plan2"}</definedName>
    <definedName name="KSDNFK" localSheetId="3">#REF!</definedName>
    <definedName name="ksdoçierfe" localSheetId="3">{#N/A,#N/A,FALSE,"Plan1";#N/A,#N/A,FALSE,"Plan2"}</definedName>
    <definedName name="ksdtrdrkf" localSheetId="3">{#N/A,#N/A,FALSE,"Plan1";#N/A,#N/A,FALSE,"Plan2"}</definedName>
    <definedName name="KSFÇJDFJL" localSheetId="3">{#N/A,#N/A,FALSE,"Plan1";#N/A,#N/A,FALSE,"Plan2"}</definedName>
    <definedName name="ksfhse" localSheetId="3">{#N/A,#N/A,FALSE,"Plan1";#N/A,#N/A,FALSE,"Plan2"}</definedName>
    <definedName name="KSRKOE" localSheetId="3">{#N/A,#N/A,FALSE,"Plan1";#N/A,#N/A,FALSE,"Plan2"}</definedName>
    <definedName name="KSWKE" localSheetId="3">{#N/A,#N/A,FALSE,"Plan1";#N/A,#N/A,FALSE,"Plan2"}</definedName>
    <definedName name="kubus" localSheetId="3">#REF!</definedName>
    <definedName name="kubus1" localSheetId="3">#REF!</definedName>
    <definedName name="kysdusf" localSheetId="3">{#N/A,#N/A,FALSE,"Plan1";#N/A,#N/A,FALSE,"Plan2"}</definedName>
    <definedName name="kzslçdkçle" localSheetId="3">{#N/A,#N/A,FALSE,"Plan1";#N/A,#N/A,FALSE,"Plan2"}</definedName>
    <definedName name="L_" localSheetId="3">#REF!</definedName>
    <definedName name="LAEKWRK" localSheetId="3">{#N/A,#N/A,FALSE,"Plan1";#N/A,#N/A,FALSE,"Plan2"}</definedName>
    <definedName name="laeqwep" localSheetId="3">#REF!</definedName>
    <definedName name="LAKDEWRF" localSheetId="3">{#N/A,#N/A,FALSE,"Plan1";#N/A,#N/A,FALSE,"Plan2"}</definedName>
    <definedName name="Lancamentos" localSheetId="3">#REF!</definedName>
    <definedName name="LARGURA" localSheetId="3">#REF!</definedName>
    <definedName name="LASÇDSRLF" localSheetId="3">{#N/A,#N/A,FALSE,"Plan1";#N/A,#N/A,FALSE,"Plan2"}</definedName>
    <definedName name="lasrlswer" localSheetId="3">{#N/A,#N/A,FALSE,"Plan1";#N/A,#N/A,FALSE,"Plan2"}</definedName>
    <definedName name="LAZER" localSheetId="3">#REF!</definedName>
    <definedName name="lbla1" localSheetId="3">#REF!</definedName>
    <definedName name="lbla10" localSheetId="3">#REF!</definedName>
    <definedName name="lbla11" localSheetId="3">#REF!</definedName>
    <definedName name="lçadple4r" localSheetId="3">{#N/A,#N/A,FALSE,"Plan1";#N/A,#N/A,FALSE,"Plan2"}</definedName>
    <definedName name="lçasser" localSheetId="3">{#N/A,#N/A,FALSE,"Plan1";#N/A,#N/A,FALSE,"Plan2"}</definedName>
    <definedName name="lcdgjtklfrn" localSheetId="3">{#N/A,#N/A,FALSE,"Plan1";#N/A,#N/A,FALSE,"Plan2"}</definedName>
    <definedName name="lçfklsdkçaer" localSheetId="3">{#N/A,#N/A,FALSE,"Plan1";#N/A,#N/A,FALSE,"Plan2"}</definedName>
    <definedName name="lçjkgf" localSheetId="3">{#N/A,#N/A,FALSE,"Plan1";#N/A,#N/A,FALSE,"Plan2"}</definedName>
    <definedName name="LÇJSLDFJ" localSheetId="3">{#N/A,#N/A,FALSE,"Plan1";#N/A,#N/A,FALSE,"Plan2"}</definedName>
    <definedName name="LÇKÇSDRLK" localSheetId="3">{#N/A,#N/A,FALSE,"Plan1";#N/A,#N/A,FALSE,"Plan2"}</definedName>
    <definedName name="lçkl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3">{#N/A,#N/A,FALSE,"Plan1";#N/A,#N/A,FALSE,"Plan2"}</definedName>
    <definedName name="lçslrr4r" localSheetId="3">{#N/A,#N/A,FALSE,"Plan1";#N/A,#N/A,FALSE,"Plan2"}</definedName>
    <definedName name="ldfjgry" localSheetId="3">{#N/A,#N/A,FALSE,"Plan1";#N/A,#N/A,FALSE,"Plan2"}</definedName>
    <definedName name="ldfjgtilrf" localSheetId="3">{#N/A,#N/A,FALSE,"Plan1";#N/A,#N/A,FALSE,"Plan2"}</definedName>
    <definedName name="ldk" localSheetId="3">{#N/A,#N/A,FALSE,"Plan1";#N/A,#N/A,FALSE,"Plan2"}</definedName>
    <definedName name="ldkgkdfjgkh" localSheetId="3">{#N/A,#N/A,FALSE,"Plan1";#N/A,#N/A,FALSE,"Plan2"}</definedName>
    <definedName name="LDTJGR" localSheetId="3">{#N/A,#N/A,FALSE,"Plan1";#N/A,#N/A,FALSE,"Plan2"}</definedName>
    <definedName name="Leg" localSheetId="3">#REF!</definedName>
    <definedName name="legr_cdi" localSheetId="3">#REF!</definedName>
    <definedName name="legr_hist" localSheetId="3">#REF!</definedName>
    <definedName name="legr_uss" localSheetId="3">#REF!</definedName>
    <definedName name="LEKG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EVANTAMENTO" localSheetId="3">#REF!</definedName>
    <definedName name="lfjdjrt" localSheetId="3">{#N/A,#N/A,FALSE,"Plan1";#N/A,#N/A,FALSE,"Plan2"}</definedName>
    <definedName name="LI" localSheetId="3">#REF!</definedName>
    <definedName name="LIDER_OPER" localSheetId="3">#REF!</definedName>
    <definedName name="lidfjgklruf" localSheetId="3">{#N/A,#N/A,FALSE,"Plan1";#N/A,#N/A,FALSE,"Plan2"}</definedName>
    <definedName name="LII" localSheetId="3">#REF!</definedName>
    <definedName name="LIII" localSheetId="3">#REF!</definedName>
    <definedName name="LIMBO" localSheetId="3">#REF!</definedName>
    <definedName name="LIN" localSheetId="3">#REF!</definedName>
    <definedName name="list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A" localSheetId="3">#REF!</definedName>
    <definedName name="LISTA_CONTAS" localSheetId="3">#REF!</definedName>
    <definedName name="lista_empresa" localSheetId="3">OFFSET(INDEX(#REF!,MATCH(#REF!,#REF!,0)),1,0,COUNTA(#REF!)-1)</definedName>
    <definedName name="LISTA_FORNECEDORES" localSheetId="3">#REF!</definedName>
    <definedName name="LISTSEL" localSheetId="3">#REF!</definedName>
    <definedName name="listt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V" localSheetId="3">#REF!</definedName>
    <definedName name="LIX" localSheetId="3">#REF!</definedName>
    <definedName name="ljdfkgyt" localSheetId="3">{#N/A,#N/A,FALSE,"Plan1";#N/A,#N/A,FALSE,"Plan2"}</definedName>
    <definedName name="LJDFLJRL" localSheetId="3">{#N/A,#N/A,FALSE,"Plan1";#N/A,#N/A,FALSE,"Plan2"}</definedName>
    <definedName name="ljsdfrd" localSheetId="3">{#N/A,#N/A,FALSE,"Plan1";#N/A,#N/A,FALSE,"Plan2"}</definedName>
    <definedName name="LJSFLDJDLKFJG" localSheetId="3">#REF!</definedName>
    <definedName name="LK" localSheetId="3">{#N/A,#N/A,TRUE,"Quinzena 01 à 15-04-98 "}</definedName>
    <definedName name="lkasdkeo" localSheetId="3">{#N/A,#N/A,FALSE,"Plan1";#N/A,#N/A,FALSE,"Plan2"}</definedName>
    <definedName name="lkdeas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3">{#N/A,#N/A,FALSE,"Plan1";#N/A,#N/A,FALSE,"Plan2"}</definedName>
    <definedName name="lkfdkçtktr" localSheetId="3">{#N/A,#N/A,FALSE,"Plan1";#N/A,#N/A,FALSE,"Plan2"}</definedName>
    <definedName name="lkt" localSheetId="3">{#N/A,#N/A,FALSE,"Plan1";#N/A,#N/A,FALSE,"Plan2"}</definedName>
    <definedName name="lktlyklt" localSheetId="3">{#N/A,#N/A,FALSE,"Plan1";#N/A,#N/A,FALSE,"Plan2"}</definedName>
    <definedName name="LKTTYT" localSheetId="3">{#N/A,#N/A,FALSE,"Plan1";#N/A,#N/A,FALSE,"Plan2"}</definedName>
    <definedName name="llgg" localSheetId="3">{#N/A,#N/A,FALSE,"Plan1";#N/A,#N/A,FALSE,"Plan2"}</definedName>
    <definedName name="LLL" localSheetId="3">{#N/A,#N/A,FALSE,"Plan1";#N/A,#N/A,FALSE,"Plan2"}</definedName>
    <definedName name="LM_AR" localSheetId="3">{#N/A,#N/A,FALSE,"F-01"}</definedName>
    <definedName name="LM_AT" localSheetId="3">{#N/A,#N/A,FALSE,"F-01"}</definedName>
    <definedName name="LM_INC" localSheetId="3">{#N/A,#N/A,FALSE,"F-01"}</definedName>
    <definedName name="LMPAS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CALMENU" localSheetId="3">#REF!</definedName>
    <definedName name="LOCALOBRA" localSheetId="3">#REF!</definedName>
    <definedName name="LS" localSheetId="3">#REF!</definedName>
    <definedName name="LSDFKLDKFTR" localSheetId="3">{#N/A,#N/A,FALSE,"Plan1";#N/A,#N/A,FALSE,"Plan2"}</definedName>
    <definedName name="lsdjs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3">{#N/A,#N/A,FALSE,"Plan1";#N/A,#N/A,FALSE,"Plan2"}</definedName>
    <definedName name="lsdsder" localSheetId="3">{#N/A,#N/A,FALSE,"Plan1";#N/A,#N/A,FALSE,"Plan2"}</definedName>
    <definedName name="ltj6ljyhdjhngças" localSheetId="3">{#N/A,#N/A,FALSE,"Plan1";#N/A,#N/A,FALSE,"Plan2"}</definedName>
    <definedName name="LUCRO" localSheetId="3">#REF!</definedName>
    <definedName name="luis_cdi" localSheetId="3">#REF!</definedName>
    <definedName name="luis_hist" localSheetId="3">#REF!</definedName>
    <definedName name="luis_uss" localSheetId="3">#REF!</definedName>
    <definedName name="LV" localSheetId="3">#REF!</definedName>
    <definedName name="LVI" localSheetId="3">#REF!</definedName>
    <definedName name="LVII" localSheetId="3">#REF!</definedName>
    <definedName name="LVIII" localSheetId="3">#REF!</definedName>
    <definedName name="LXX" localSheetId="3">#REF!</definedName>
    <definedName name="LXXI" localSheetId="3">#REF!</definedName>
    <definedName name="LXXII" localSheetId="3">#REF!</definedName>
    <definedName name="LXXIII" localSheetId="3">#REF!</definedName>
    <definedName name="LXXIV" localSheetId="3">#REF!</definedName>
    <definedName name="LXXIX" localSheetId="3">#REF!</definedName>
    <definedName name="LXXV" localSheetId="3">#REF!</definedName>
    <definedName name="LXXVI" localSheetId="3">#REF!</definedName>
    <definedName name="LXXVII" localSheetId="3">#REF!</definedName>
    <definedName name="LXXVIII" localSheetId="3">#REF!</definedName>
    <definedName name="LXXX" localSheetId="3">#REF!</definedName>
    <definedName name="LXXXI" localSheetId="3">#REF!</definedName>
    <definedName name="LXXXII" localSheetId="3">#REF!</definedName>
    <definedName name="LXXXIII" localSheetId="3">#REF!</definedName>
    <definedName name="LXXXIV" localSheetId="3">#REF!</definedName>
    <definedName name="LXXXV" localSheetId="3">#REF!</definedName>
    <definedName name="m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DRI" localSheetId="3">#REF!</definedName>
    <definedName name="mai17RJ" localSheetId="3">#REF!</definedName>
    <definedName name="MAIO" localSheetId="3">#REF!</definedName>
    <definedName name="MAIO2001" localSheetId="3">#REF!</definedName>
    <definedName name="MAISAP" localSheetId="3">{#N/A,#N/A,FALSE,"Plan1";#N/A,#N/A,FALSE,"Plan2"}</definedName>
    <definedName name="MANTO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O_DE_OBRA" localSheetId="3">#REF!</definedName>
    <definedName name="mar17RJ" localSheetId="3">#REF!</definedName>
    <definedName name="MARCAX" localSheetId="3">#REF!</definedName>
    <definedName name="MARÇO" localSheetId="3">#REF!</definedName>
    <definedName name="MARÇO2001" localSheetId="3">#REF!</definedName>
    <definedName name="martha" localSheetId="3">#REF!</definedName>
    <definedName name="MASTER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ERIAL" localSheetId="3">#REF!</definedName>
    <definedName name="mattubcust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3">{#N/A,#N/A,FALSE,"Plan1";#N/A,#N/A,FALSE,"Plan2"}</definedName>
    <definedName name="MC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V" localSheetId="3">#REF!</definedName>
    <definedName name="mdfgtr" localSheetId="3">{#N/A,#N/A,FALSE,"Plan1";#N/A,#N/A,FALSE,"Plan2"}</definedName>
    <definedName name="MDSÇLFJKJSD" localSheetId="3">{#N/A,#N/A,FALSE,"Plan1";#N/A,#N/A,FALSE,"Plan2"}</definedName>
    <definedName name="ME" localSheetId="3">{"HW",#N/A,FALSE,"1998"}</definedName>
    <definedName name="Medido_Fin_Medições" localSheetId="3">#REF!</definedName>
    <definedName name="melo_cdi" localSheetId="3">#REF!</definedName>
    <definedName name="melo_hist" localSheetId="3">#REF!</definedName>
    <definedName name="melo_uss" localSheetId="3">#REF!</definedName>
    <definedName name="MEMÓRIA" localSheetId="3">#REF!</definedName>
    <definedName name="memória2" localSheetId="3">#REF!</definedName>
    <definedName name="mensal" localSheetId="3">#REF!</definedName>
    <definedName name="MENU" localSheetId="3">#REF!</definedName>
    <definedName name="MENU1" localSheetId="3">#REF!</definedName>
    <definedName name="MENU2" localSheetId="3">#REF!</definedName>
    <definedName name="MENU3" localSheetId="3">#REF!</definedName>
    <definedName name="MENU4" localSheetId="3">#REF!</definedName>
    <definedName name="MENU5" localSheetId="3">#REF!</definedName>
    <definedName name="MENU6" localSheetId="3">#REF!</definedName>
    <definedName name="MENUBOM" localSheetId="3">#REF!</definedName>
    <definedName name="MENUEQP" localSheetId="3">#REF!</definedName>
    <definedName name="MENUFIM" localSheetId="3">#REF!</definedName>
    <definedName name="MENUMED" localSheetId="3">#REF!</definedName>
    <definedName name="MENUOBRA" localSheetId="3">#REF!</definedName>
    <definedName name="MENUOUT" localSheetId="3">#REF!</definedName>
    <definedName name="MENUOUTRO" localSheetId="3">#REF!</definedName>
    <definedName name="menures" localSheetId="3">#REF!</definedName>
    <definedName name="Mês_data_base" localSheetId="3">#REF!</definedName>
    <definedName name="Mês_Medição_Fin_Medições" localSheetId="3">#REF!</definedName>
    <definedName name="mes_relatorio" localSheetId="3">#REF!</definedName>
    <definedName name="Meses" localSheetId="3">#REF!</definedName>
    <definedName name="MESTRE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eta_venda" localSheetId="3">#REF!</definedName>
    <definedName name="MetaBP" localSheetId="3">#REF!</definedName>
    <definedName name="Minha_Casa_Minha_Vida" localSheetId="3">#REF!</definedName>
    <definedName name="MLMÇLKJKI" localSheetId="3">{#N/A,#N/A,FALSE,"Plan1";#N/A,#N/A,FALSE,"Plan2"}</definedName>
    <definedName name="MM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3">{"tabela",#N/A,FALSE,"Tabela";"decoração",#N/A,FALSE,"Decor.";"Informações",#N/A,FALSE,"Inform."}</definedName>
    <definedName name="mmmmmmm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 localSheetId="3">{#N/A,#N/A,FALSE,"Plan1";#N/A,#N/A,FALSE,"Plan2"}</definedName>
    <definedName name="mncvbgcvmc" localSheetId="3">{#N/A,#N/A,FALSE,"Plan1";#N/A,#N/A,FALSE,"Plan2"}</definedName>
    <definedName name="MNDKZSFNCEA" localSheetId="3">{#N/A,#N/A,FALSE,"Plan1";#N/A,#N/A,FALSE,"Plan2"}</definedName>
    <definedName name="mnhdshfgfhd" localSheetId="3">{#N/A,#N/A,FALSE,"Plan1";#N/A,#N/A,FALSE,"Plan2"}</definedName>
    <definedName name="mo" localSheetId="3">#REF!</definedName>
    <definedName name="mobra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3">{#N/A,#N/A,FALSE,"cdi";#N/A,#N/A,FALSE,"debent";#N/A,#N/A,FALSE,"fdos";#N/A,#N/A,FALSE,"resumo"}</definedName>
    <definedName name="Modelo1a" localSheetId="3">{#N/A,#N/A,FALSE,"cdi";#N/A,#N/A,FALSE,"debent";#N/A,#N/A,FALSE,"fdos";#N/A,#N/A,FALSE,"resumo"}</definedName>
    <definedName name="Modelo2" localSheetId="3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ódulo" localSheetId="3">#REF!</definedName>
    <definedName name="mond_cdi" localSheetId="3">#REF!</definedName>
    <definedName name="mond_hist" localSheetId="3">#REF!</definedName>
    <definedName name="mond_uss" localSheetId="3">#REF!</definedName>
    <definedName name="MP" localSheetId="3">{#N/A,#N/A,FALSE,"CCTV"}</definedName>
    <definedName name="MSDRFSWER" localSheetId="3">{"Econ Consolidado",#N/A,FALSE,"Econ Consol";"Fluxo de Caixa",#N/A,FALSE,"Fluxo Caixa";"Investimentos",#N/A,FALSE,"Investimentos"}</definedName>
    <definedName name="MURBOMB" localSheetId="3">#REF!</definedName>
    <definedName name="mzshdjshjs" localSheetId="3">{#N/A,#N/A,FALSE,"Plan1";#N/A,#N/A,FALSE,"Plan2"}</definedName>
    <definedName name="na" localSheetId="3">{#N/A,#N/A,FALSE,"$170M Cash";#N/A,#N/A,FALSE,"$250M Cash";#N/A,#N/A,FALSE,"$325M Cash"}</definedName>
    <definedName name="ncdgrdhrtg" localSheetId="3">{#N/A,#N/A,FALSE,"Plan1";#N/A,#N/A,FALSE,"Plan2"}</definedName>
    <definedName name="nchngdfhgdh" localSheetId="3">{#N/A,#N/A,FALSE,"Plan1";#N/A,#N/A,FALSE,"Plan2"}</definedName>
    <definedName name="NCJFKNGJHF" localSheetId="3">{#N/A,#N/A,FALSE,"Plan1";#N/A,#N/A,FALSE,"Plan2"}</definedName>
    <definedName name="NDATA" localSheetId="3">#REF!</definedName>
    <definedName name="ndcxhgdhf" localSheetId="3">{#N/A,#N/A,FALSE,"Plan1";#N/A,#N/A,FALSE,"Plan2"}</definedName>
    <definedName name="ndfjnjkrhdgt" localSheetId="3">{#N/A,#N/A,FALSE,"Plan1";#N/A,#N/A,FALSE,"Plan2"}</definedName>
    <definedName name="ndfkghkjthfyst" localSheetId="3">{#N/A,#N/A,FALSE,"Plan1";#N/A,#N/A,FALSE,"Plan2"}</definedName>
    <definedName name="ndfldslvjnvberugberqubquierbv" localSheetId="3">#REF!</definedName>
    <definedName name="NDJGKFKGHUFG" localSheetId="3">{#N/A,#N/A,FALSE,"Plan1";#N/A,#N/A,FALSE,"Plan2"}</definedName>
    <definedName name="ndrjkt" localSheetId="3">{#N/A,#N/A,FALSE,"Plan1";#N/A,#N/A,FALSE,"Plan2"}</definedName>
    <definedName name="new" localSheetId="3">{#N/A,#N/A,FALSE,"Global by BU";#N/A,#N/A,FALSE,"U.S. by BU";#N/A,#N/A,FALSE,"Canada by BU";#N/A,#N/A,FALSE,"Europe by BU";#N/A,#N/A,FALSE,"Asia by BU";#N/A,#N/A,FALSE,"Cala by BU"}</definedName>
    <definedName name="NEWNAME" localSheetId="3">{#N/A,#N/A,FALSE,"CCTV"}</definedName>
    <definedName name="nfgjkhvhfghn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3">{#N/A,#N/A,FALSE,"Plan1";#N/A,#N/A,FALSE,"Plan2"}</definedName>
    <definedName name="nh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3">{#N/A,#N/A,FALSE,"Plan1";#N/A,#N/A,FALSE,"Plan2"}</definedName>
    <definedName name="NJSDFHERTG" localSheetId="3">{#N/A,#N/A,FALSE,"Plan1";#N/A,#N/A,FALSE,"Plan2"}</definedName>
    <definedName name="nkfnsskdn" localSheetId="3">{#N/A,#N/A,FALSE,"Plan1";#N/A,#N/A,FALSE,"Plan2"}</definedName>
    <definedName name="NKJL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" localSheetId="3">#REF!</definedName>
    <definedName name="nlaksjdwe" localSheetId="3">{#N/A,#N/A,FALSE,"Plan1";#N/A,#N/A,FALSE,"Plan2"}</definedName>
    <definedName name="nljsdfljfdsfr" localSheetId="3">{#N/A,#N/A,FALSE,"Plan1";#N/A,#N/A,FALSE,"Plan2"}</definedName>
    <definedName name="nm_k1" localSheetId="3">#REF!</definedName>
    <definedName name="nm_k2" localSheetId="3">#REF!</definedName>
    <definedName name="nm_k3" localSheetId="3">#REF!</definedName>
    <definedName name="nmjdfhxj" localSheetId="3">{#N/A,#N/A,FALSE,"Plan1";#N/A,#N/A,FALSE,"Plan2"}</definedName>
    <definedName name="nnmn" localSheetId="3">{#N/A,#N/A,FALSE,"Plan1";#N/A,#N/A,FALSE,"Plan2"}</definedName>
    <definedName name="nnn" localSheetId="3">{#N/A,#N/A,FALSE,"Plan1";#N/A,#N/A,FALSE,"Plan2"}</definedName>
    <definedName name="nnnnnnnnnnn" localSheetId="3">{"HW",#N/A,FALSE,"1998"}</definedName>
    <definedName name="NNNNNNNNNNNNNNN" localSheetId="3">{#N/A,#N/A,FALSE,"Plan1";#N/A,#N/A,FALSE,"Plan2"}</definedName>
    <definedName name="nnnnnnnnnnnnnnnnnnnn" localSheetId="3">{#N/A,#N/A,FALSE,"Plan1";#N/A,#N/A,FALSE,"Plan2"}</definedName>
    <definedName name="NNXFT" localSheetId="3">{#N/A,#N/A,FALSE,"Plan1";#N/A,#N/A,FALSE,"Plan2"}</definedName>
    <definedName name="no" localSheetId="3">#REF!</definedName>
    <definedName name="NOME" localSheetId="3">#REF!</definedName>
    <definedName name="nome2" localSheetId="3">#REF!</definedName>
    <definedName name="NOMEITEM" localSheetId="3">#REF!</definedName>
    <definedName name="NOMEOBRA" localSheetId="3">#REF!</definedName>
    <definedName name="nov17RJ" localSheetId="3">#REF!</definedName>
    <definedName name="NOVE" localSheetId="3">#REF!</definedName>
    <definedName name="NOVEMBRO" localSheetId="3">#REF!</definedName>
    <definedName name="nsdkfndgfdnatf" localSheetId="3">{#N/A,#N/A,FALSE,"Plan1";#N/A,#N/A,FALSE,"Plan2"}</definedName>
    <definedName name="nsfljdiljrf" localSheetId="3">{#N/A,#N/A,FALSE,"Plan1";#N/A,#N/A,FALSE,"Plan2"}</definedName>
    <definedName name="NUCOPIAS" localSheetId="3">#REF!</definedName>
    <definedName name="NUMOBRA" localSheetId="3">#REF!</definedName>
    <definedName name="NutN" localSheetId="3">#REF!</definedName>
    <definedName name="nzxcnnjkd" localSheetId="3">{#N/A,#N/A,FALSE,"Plan1";#N/A,#N/A,FALSE,"Plan2"}</definedName>
    <definedName name="OAE" localSheetId="3">#REF!</definedName>
    <definedName name="OBRA" localSheetId="3">#REF!</definedName>
    <definedName name="Obra_Fin_Medição" localSheetId="3">#REF!</definedName>
    <definedName name="OBRA_PROJETADO" localSheetId="3">#REF!</definedName>
    <definedName name="Obra_Rel_Controladoria" localSheetId="3">#REF!</definedName>
    <definedName name="Obra_Sienge" localSheetId="3">#REF!</definedName>
    <definedName name="Obra2_Fin_Medição" localSheetId="3">#REF!</definedName>
    <definedName name="OBRALOC" localSheetId="3">#REF!</definedName>
    <definedName name="OBRAS" localSheetId="3">#REF!</definedName>
    <definedName name="Obras_Apoio_Rel_Controladoria" localSheetId="3">#REF!</definedName>
    <definedName name="OBRAS_REALIZADO" localSheetId="3">#REF!</definedName>
    <definedName name="OBRASEL" localSheetId="3">#REF!</definedName>
    <definedName name="odfuudor" localSheetId="3">{#N/A,#N/A,FALSE,"Plan1";#N/A,#N/A,FALSE,"Plan2"}</definedName>
    <definedName name="ODH" localSheetId="3">#REF!</definedName>
    <definedName name="oficial_mes" localSheetId="3">#REF!</definedName>
    <definedName name="oficial2_mes" localSheetId="3">#REF!</definedName>
    <definedName name="oiditrot" localSheetId="3">{#N/A,#N/A,FALSE,"Plan1";#N/A,#N/A,FALSE,"Plan2"}</definedName>
    <definedName name="oio" localSheetId="3">{#N/A,#N/A,FALSE,"Plan1";#N/A,#N/A,FALSE,"Plan2"}</definedName>
    <definedName name="OITO" localSheetId="3">#REF!</definedName>
    <definedName name="OJÇLJ" localSheetId="3">{#N/A,#N/A,FALSE,"Plan1";#N/A,#N/A,FALSE,"Plan2"}</definedName>
    <definedName name="ojkdfit" localSheetId="3">{#N/A,#N/A,FALSE,"Plan1";#N/A,#N/A,FALSE,"Plan2"}</definedName>
    <definedName name="ONZE" localSheetId="3">#REF!</definedName>
    <definedName name="ooo" localSheetId="3">{#N/A,#N/A,FALSE,"Plan1";#N/A,#N/A,FALSE,"Plan2"}</definedName>
    <definedName name="OPASEDWED" localSheetId="3">{"Econ Consolidado",#N/A,FALSE,"Econ Consol";"Fluxo de Caixa",#N/A,FALSE,"Fluxo Caixa";"Investimentos",#N/A,FALSE,"Investimentos"}</definedName>
    <definedName name="opcao_taxa_desconto" localSheetId="3">#REF!</definedName>
    <definedName name="opções" localSheetId="3">#REF!</definedName>
    <definedName name="opiwre" localSheetId="3">{#N/A,#N/A,FALSE,"Plan1";#N/A,#N/A,FALSE,"Plan2"}</definedName>
    <definedName name="ORCAMEN" localSheetId="3">#REF!</definedName>
    <definedName name="Orcamentistas" localSheetId="3">#REF!</definedName>
    <definedName name="origem_recebiveis" localSheetId="3">#REF!</definedName>
    <definedName name="origem_unidades" localSheetId="3">#REF!</definedName>
    <definedName name="Origem2_Recebimento_Fin_Medições" localSheetId="3">#REF!</definedName>
    <definedName name="os" localSheetId="3">{#N/A,#N/A,FALSE,"TABLE"}</definedName>
    <definedName name="osca_cdi" localSheetId="3">#REF!</definedName>
    <definedName name="osca_hist" localSheetId="3">#REF!</definedName>
    <definedName name="osca_uss" localSheetId="3">#REF!</definedName>
    <definedName name="otodgkrjglsrd" localSheetId="3">{#N/A,#N/A,FALSE,"Plan1";#N/A,#N/A,FALSE,"Plan2"}</definedName>
    <definedName name="OUERWRSR" localSheetId="3">{#N/A,#N/A,FALSE,"Plan1";#N/A,#N/A,FALSE,"Plan2"}</definedName>
    <definedName name="out17RJ" localSheetId="3">#REF!</definedName>
    <definedName name="outro" localSheetId="3">#REF!</definedName>
    <definedName name="OUTROS" localSheetId="3">#REF!</definedName>
    <definedName name="OUTROS_CCUSTO" localSheetId="3">#REF!</definedName>
    <definedName name="Outros_Pisos" localSheetId="3">#REF!</definedName>
    <definedName name="Outros1" localSheetId="3">#REF!</definedName>
    <definedName name="OUTUBRO" localSheetId="3">#REF!</definedName>
    <definedName name="overhaul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oxfo_cdi" localSheetId="3">#REF!</definedName>
    <definedName name="oxfo_hist" localSheetId="3">#REF!</definedName>
    <definedName name="oxfo_uss" localSheetId="3">#REF!</definedName>
    <definedName name="P" localSheetId="3">#REF!</definedName>
    <definedName name="PA" localSheetId="3">#REF!</definedName>
    <definedName name="Padrao_A" localSheetId="3">#REF!</definedName>
    <definedName name="Padrao_B" localSheetId="3">#REF!</definedName>
    <definedName name="Padrao_C" localSheetId="3">#REF!</definedName>
    <definedName name="Padrao_D" localSheetId="3">#REF!</definedName>
    <definedName name="Padrao_E" localSheetId="3">#REF!</definedName>
    <definedName name="Padrao_F" localSheetId="3">#REF!</definedName>
    <definedName name="Pagamento_Num" localSheetId="3">ROW()-Linha_Cabeçalho</definedName>
    <definedName name="Pago_Até_2015_Controladoria" localSheetId="3">#REF!</definedName>
    <definedName name="PAP" localSheetId="3">#REF!</definedName>
    <definedName name="PARAM_FIS_1" localSheetId="3">#REF!</definedName>
    <definedName name="PARAM_FIS_2" localSheetId="3">#REF!</definedName>
    <definedName name="ParamValues1" localSheetId="3">#REF!</definedName>
    <definedName name="ParamValues2" localSheetId="3">#REF!</definedName>
    <definedName name="Parao_E" localSheetId="3">#REF!</definedName>
    <definedName name="Parede1" localSheetId="3">#REF!</definedName>
    <definedName name="Parede2" localSheetId="3">#REF!</definedName>
    <definedName name="PAREDES" localSheetId="3">#REF!</definedName>
    <definedName name="PAV" localSheetId="3">#REF!</definedName>
    <definedName name="PAVILHAO" localSheetId="3">#REF!</definedName>
    <definedName name="PAVT" localSheetId="3">#REF!</definedName>
    <definedName name="PDER" localSheetId="3">#REF!</definedName>
    <definedName name="PDIVERS" localSheetId="3">#REF!</definedName>
    <definedName name="PE" localSheetId="3">#REF!</definedName>
    <definedName name="PEMD" localSheetId="3">#REF!</definedName>
    <definedName name="Pendencias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rfura" localSheetId="3">#REF!</definedName>
    <definedName name="Perímetro_lajão" localSheetId="3">#REF!</definedName>
    <definedName name="Perímetro_Terreno" localSheetId="3">#REF!</definedName>
    <definedName name="Perímetro_torre" localSheetId="3">#REF!</definedName>
    <definedName name="pessoal" localSheetId="3">#REF!</definedName>
    <definedName name="PhyG" localSheetId="3">#REF!</definedName>
    <definedName name="PhyGS" localSheetId="3">#REF!</definedName>
    <definedName name="PI" localSheetId="3">#REF!</definedName>
    <definedName name="piaz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IEQUIP" localSheetId="3">#REF!</definedName>
    <definedName name="Pintura" localSheetId="3">#REF!</definedName>
    <definedName name="PIS_COFINS" localSheetId="3">#REF!</definedName>
    <definedName name="PisCofins" localSheetId="3">#REF!</definedName>
    <definedName name="Piso1" localSheetId="3">#REF!</definedName>
    <definedName name="Piso2" localSheetId="3">#REF!</definedName>
    <definedName name="PISOS" localSheetId="3">#REF!</definedName>
    <definedName name="PL" localSheetId="3">#REF!</definedName>
    <definedName name="PLACAS" localSheetId="3">{#N/A,#N/A,TRUE,"Quinzena 01 à 15-04-98 "}</definedName>
    <definedName name="Placas_Areas" localSheetId="3">{#N/A,#N/A,TRUE,"Quinzena 01 à 15-04-98 "}</definedName>
    <definedName name="PLAN" localSheetId="3">#REF!</definedName>
    <definedName name="plan2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 localSheetId="3">#REF!</definedName>
    <definedName name="Planilha2" localSheetId="3">#REF!</definedName>
    <definedName name="plasçdeaw" localSheetId="3">{#N/A,#N/A,FALSE,"Plan1";#N/A,#N/A,FALSE,"Plan2"}</definedName>
    <definedName name="plaslrswe" localSheetId="3">{#N/A,#N/A,FALSE,"Plan1";#N/A,#N/A,FALSE,"Plan2"}</definedName>
    <definedName name="pls" localSheetId="3">#REF!</definedName>
    <definedName name="plsearpef" localSheetId="3">{#N/A,#N/A,FALSE,"Plan1";#N/A,#N/A,FALSE,"Plan2"}</definedName>
    <definedName name="plss" localSheetId="3">{#N/A,#N/A,FALSE,"Plan1";#N/A,#N/A,FALSE,"Plan2"}</definedName>
    <definedName name="PMUR" localSheetId="3">#REF!</definedName>
    <definedName name="PN2건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nderações" localSheetId="3">#REF!</definedName>
    <definedName name="Pós_Chaves" localSheetId="3">#REF!</definedName>
    <definedName name="pr" localSheetId="3">#REF!</definedName>
    <definedName name="PRAZO" localSheetId="3">#REF!</definedName>
    <definedName name="Prazo_da_Estrutura" localSheetId="3">#REF!</definedName>
    <definedName name="PRAZO_EDITAL" localSheetId="3">#REF!</definedName>
    <definedName name="Prazo_Obra" localSheetId="3">#REF!</definedName>
    <definedName name="PRAZO_ORC" localSheetId="3">#REF!</definedName>
    <definedName name="prazo2" localSheetId="3">#REF!</definedName>
    <definedName name="PRE" localSheetId="3">#REF!</definedName>
    <definedName name="PREÇ" localSheetId="3">OFFSET(#REF!,0,0,COUNTA(#REF!),1)</definedName>
    <definedName name="Preço" localSheetId="3">ROW()-Linha_Cabeçalho</definedName>
    <definedName name="Previsão_Inicial_abr_16" localSheetId="3">#REF!</definedName>
    <definedName name="Previsão_Inicial_ago_16" localSheetId="3">#REF!</definedName>
    <definedName name="Previsão_Inicial_dez_16" localSheetId="3">#REF!</definedName>
    <definedName name="Previsão_Inicial_fev_16" localSheetId="3">#REF!</definedName>
    <definedName name="Previsão_Inicial_jan_16" localSheetId="3">#REF!</definedName>
    <definedName name="Previsão_Inicial_jul_16" localSheetId="3">#REF!</definedName>
    <definedName name="Previsão_Inicial_jun_16" localSheetId="3">#REF!</definedName>
    <definedName name="Previsão_Inicial_mai_16" localSheetId="3">#REF!</definedName>
    <definedName name="Previsão_Inicial_mar_16" localSheetId="3">#REF!</definedName>
    <definedName name="Previsão_Inicial_nov_16" localSheetId="3">#REF!</definedName>
    <definedName name="Previsão_Inicial_out_16" localSheetId="3">#REF!</definedName>
    <definedName name="Previsão_Inicial_set_16" localSheetId="3">#REF!</definedName>
    <definedName name="Previsão_Vento1" localSheetId="3">#REF!</definedName>
    <definedName name="Previsto_a_medir_Fin_Medições" localSheetId="3">#REF!</definedName>
    <definedName name="print" localSheetId="3">{#N/A,#N/A,FALSE,"$170M Cash";#N/A,#N/A,FALSE,"$250M Cash";#N/A,#N/A,FALSE,"$325M Cash"}</definedName>
    <definedName name="_xlnm.Print_Area" localSheetId="3">#REF!</definedName>
    <definedName name="Print_Area_MI" localSheetId="3">#REF!</definedName>
    <definedName name="_xlnm.Print_Titles" localSheetId="3">#REF!</definedName>
    <definedName name="PRINT_TITLES_MI" localSheetId="3">#REF!</definedName>
    <definedName name="programa" localSheetId="3">#REF!</definedName>
    <definedName name="Programaa" localSheetId="3">#REF!</definedName>
    <definedName name="Projeção_torre" localSheetId="3">#REF!</definedName>
    <definedName name="projeto_nome_com" localSheetId="3">IF((COUNTA(#REF!)-2)&gt;1,"TERRENO "&amp;VLOOKUP(#REF!,#REF!,8,0),VLOOKUP(#REF!,#REF!,3,0))</definedName>
    <definedName name="PROPAGANDA" localSheetId="3">#REF!</definedName>
    <definedName name="ptirigyiotut" localSheetId="3">{#N/A,#N/A,FALSE,"Plan1";#N/A,#N/A,FALSE,"Plan2"}</definedName>
    <definedName name="PWER3" localSheetId="3">{#N/A,#N/A,FALSE,"Plan1";#N/A,#N/A,FALSE,"Plan2"}</definedName>
    <definedName name="q" localSheetId="3">#REF!</definedName>
    <definedName name="QCLIENTE_PCLIENTE" localSheetId="3">#REF!</definedName>
    <definedName name="QCliente_PCliente1" localSheetId="3">#REF!</definedName>
    <definedName name="qe" localSheetId="3">#REF!</definedName>
    <definedName name="qee" localSheetId="3">#REF!</definedName>
    <definedName name="qkqh1" localSheetId="3">{#N/A,#N/A,FALSE,"명세표"}</definedName>
    <definedName name="QOAS_POAS" localSheetId="3">#REF!</definedName>
    <definedName name="QQ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QQ" localSheetId="3">#REF!:#REF!</definedName>
    <definedName name="QQQQQQQQ" localSheetId="3">#REF!</definedName>
    <definedName name="QREAL_PCLIENTE" localSheetId="3">#REF!</definedName>
    <definedName name="QReal_PCliente1" localSheetId="3">#REF!</definedName>
    <definedName name="QSQWSE" localSheetId="3">{#N/A,#N/A,FALSE,"Plan1";#N/A,#N/A,FALSE,"Plan2"}</definedName>
    <definedName name="qtd_mensal" localSheetId="3">#REF!</definedName>
    <definedName name="qtd3esta" localSheetId="3">#REF!</definedName>
    <definedName name="qtdbase" localSheetId="3">#REF!</definedName>
    <definedName name="qtdbltub" localSheetId="3">#REF!</definedName>
    <definedName name="qtdestac" localSheetId="3">#REF!</definedName>
    <definedName name="qtdsap" localSheetId="3">#REF!</definedName>
    <definedName name="qtdtub" localSheetId="3">#REF!</definedName>
    <definedName name="QTNULO" localSheetId="3">#REF!</definedName>
    <definedName name="QTPADRAO" localSheetId="3">#REF!</definedName>
    <definedName name="QTRES" localSheetId="3">#REF!</definedName>
    <definedName name="QuadraE" localSheetId="3">#REF!</definedName>
    <definedName name="quadrocompar." localSheetId="3">#REF!</definedName>
    <definedName name="QUANT" localSheetId="3">#REF!</definedName>
    <definedName name="Quant_Aptos" localSheetId="3">#REF!</definedName>
    <definedName name="Quant_Cremalheira" localSheetId="3">#REF!</definedName>
    <definedName name="Quant_grua" localSheetId="3">#REF!</definedName>
    <definedName name="Quant_pav_lajão" localSheetId="3">#REF!</definedName>
    <definedName name="Quant_tipo" localSheetId="3">#REF!</definedName>
    <definedName name="Quant_torres" localSheetId="3">#REF!</definedName>
    <definedName name="Quantidade_Elevadores" localSheetId="3">#REF!</definedName>
    <definedName name="QUANTP" localSheetId="3">#REF!</definedName>
    <definedName name="QUATRO" localSheetId="3">#REF!</definedName>
    <definedName name="QUINZE" localSheetId="3">#REF!</definedName>
    <definedName name="qwdqw" localSheetId="3">{#N/A,#N/A,FALSE,"Plan1";#N/A,#N/A,FALSE,"Plan2"}</definedName>
    <definedName name="qweqwe" localSheetId="3">{#N/A,#N/A,FALSE,"Plan1";#N/A,#N/A,FALSE,"Plan2"}</definedName>
    <definedName name="qweqwe4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qwewqe" localSheetId="3">#REF!</definedName>
    <definedName name="R.imobAtualiz" localSheetId="3">#REF!</definedName>
    <definedName name="R_CorretAtualiz" localSheetId="3">#REF!</definedName>
    <definedName name="R_G.Cobr.Atualiz" localSheetId="3">#REF!</definedName>
    <definedName name="R_PmaisJAtualiz" localSheetId="3">#REF!</definedName>
    <definedName name="R_Prev.PerdaAtualiz" localSheetId="3">#REF!</definedName>
    <definedName name="RADIO" localSheetId="3">{"HW",#N/A,FALSE,"1998"}</definedName>
    <definedName name="RANGE" localSheetId="3">#REF!</definedName>
    <definedName name="RANGE1" localSheetId="3">#REF!</definedName>
    <definedName name="RANGE2" localSheetId="3">#REF!</definedName>
    <definedName name="RARQIMP" localSheetId="3">#REF!</definedName>
    <definedName name="RawData" localSheetId="3">#REF!</definedName>
    <definedName name="RE" localSheetId="3">#REF!</definedName>
    <definedName name="RECADUC" localSheetId="3">#REF!</definedName>
    <definedName name="Recebido_Acumulado_2015_Controladoria" localSheetId="3">#REF!</definedName>
    <definedName name="RE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forsu" localSheetId="3">#REF!</definedName>
    <definedName name="REL_RJ" localSheetId="3">#REF!</definedName>
    <definedName name="REL_SP" localSheetId="3">#REF!</definedName>
    <definedName name="relat3" localSheetId="3">#REF!</definedName>
    <definedName name="ren" localSheetId="3">#REF!</definedName>
    <definedName name="REPETIÇÃO" localSheetId="3">#REF!</definedName>
    <definedName name="ReqC" localSheetId="3">#REF!</definedName>
    <definedName name="Responsável_Rel_Controladoria" localSheetId="3">#REF!</definedName>
    <definedName name="resum" localSheetId="3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" localSheetId="3">#REF!</definedName>
    <definedName name="RESUMO2" localSheetId="3">{#N/A,#N/A,TRUE,"Quinzena 01 à 15-04-98 "}</definedName>
    <definedName name="REV" localSheetId="3">#REF!</definedName>
    <definedName name="RF" localSheetId="3">{#N/A,#N/A,FALSE,"CCTV"}</definedName>
    <definedName name="rgedrfrgfdg" localSheetId="3">{#N/A,#N/A,FALSE,"Plan1";#N/A,#N/A,FALSE,"Plan2"}</definedName>
    <definedName name="rhdrmq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I" localSheetId="3">#REF!</definedName>
    <definedName name="ridbeb" localSheetId="3">#REF!</definedName>
    <definedName name="RIDCHAF" localSheetId="3">#REF!</definedName>
    <definedName name="ridres05" localSheetId="3">#REF!</definedName>
    <definedName name="RIDRES10" localSheetId="3">#REF!</definedName>
    <definedName name="RIDRES15" localSheetId="3">#REF!</definedName>
    <definedName name="RO" localSheetId="3">#REF!</definedName>
    <definedName name="Rodapé" localSheetId="3">#REF!</definedName>
    <definedName name="RODAPÉS" localSheetId="3">#REF!</definedName>
    <definedName name="ROMANO" localSheetId="3">#REF!</definedName>
    <definedName name="ROTCOMP" localSheetId="3">#REF!</definedName>
    <definedName name="ROTIMP" localSheetId="3">#REF!</definedName>
    <definedName name="ROTRES" localSheetId="3">#REF!</definedName>
    <definedName name="RQTADUC" localSheetId="3">#REF!</definedName>
    <definedName name="rqtbeb" localSheetId="3">#REF!</definedName>
    <definedName name="RQTCHAF" localSheetId="3">#REF!</definedName>
    <definedName name="RQTDERV" localSheetId="3">#REF!</definedName>
    <definedName name="rres05" localSheetId="3">#REF!</definedName>
    <definedName name="RRES10" localSheetId="3">#REF!</definedName>
    <definedName name="RRES15" localSheetId="3">#REF!</definedName>
    <definedName name="RRES20" localSheetId="3">#REF!</definedName>
    <definedName name="rrrrr" localSheetId="3">{"'장비'!$A$3:$M$12"}</definedName>
    <definedName name="rrrrrrrr" localSheetId="3">{"'장비'!$A$3:$M$12"}</definedName>
    <definedName name="rrrrrrrrrrr" localSheetId="3">{#N/A,#N/A,TRUE,"Quinzena 01 à 15-04-98 "}</definedName>
    <definedName name="RSEQ" localSheetId="3">#REF!</definedName>
    <definedName name="RSUBTOT" localSheetId="3">#REF!</definedName>
    <definedName name="rtitbeb" localSheetId="3">#REF!</definedName>
    <definedName name="RTITCHAF" localSheetId="3">#REF!</definedName>
    <definedName name="rtubos" localSheetId="3">#REF!</definedName>
    <definedName name="RTYE" localSheetId="3">{"'장비'!$A$3:$M$12"}</definedName>
    <definedName name="s" localSheetId="3">#REF!</definedName>
    <definedName name="sa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3">{#N/A,#N/A,FALSE,"Plan1";#N/A,#N/A,FALSE,"Plan2"}</definedName>
    <definedName name="sadke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3">{#N/A,#N/A,FALSE,"Plan1";#N/A,#N/A,FALSE,"Plan2"}</definedName>
    <definedName name="SADSRTR" localSheetId="3">{#N/A,#N/A,FALSE,"Plan1";#N/A,#N/A,FALSE,"Plan2"}</definedName>
    <definedName name="sadwde" localSheetId="3">{#N/A,#N/A,FALSE,"Plan1";#N/A,#N/A,FALSE,"Plan2"}</definedName>
    <definedName name="Salas" localSheetId="3">#REF!</definedName>
    <definedName name="sanjay" localSheetId="3">{#N/A,#N/A,FALSE,"TABLE"}</definedName>
    <definedName name="sapata" localSheetId="3">#REF!</definedName>
    <definedName name="SAS" localSheetId="3">{#N/A,#N/A,FALSE,"Plan1";#N/A,#N/A,FALSE,"Plan2"}</definedName>
    <definedName name="sasads" localSheetId="3">{#N/A,#N/A,FALSE,"Plan1";#N/A,#N/A,FALSE,"Plan2"}</definedName>
    <definedName name="SC" localSheetId="3">#REF!</definedName>
    <definedName name="sda" localSheetId="3">#REF!</definedName>
    <definedName name="sda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3">{#N/A,#N/A,FALSE,"Plan1";#N/A,#N/A,FALSE,"Plan2"}</definedName>
    <definedName name="sdckd" localSheetId="3">{#N/A,#N/A,FALSE,"Plan1";#N/A,#N/A,FALSE,"Plan2"}</definedName>
    <definedName name="SDDFKSEDE" localSheetId="3">{#N/A,#N/A,FALSE,"Plan1";#N/A,#N/A,FALSE,"Plan2"}</definedName>
    <definedName name="sddkslker" localSheetId="3">{#N/A,#N/A,FALSE,"Plan1";#N/A,#N/A,FALSE,"Plan2"}</definedName>
    <definedName name="sdefr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t" localSheetId="3">#REF!</definedName>
    <definedName name="sdf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3">{#N/A,#N/A,FALSE,"Plan1";#N/A,#N/A,FALSE,"Plan2"}</definedName>
    <definedName name="sdfdfc" localSheetId="3">{#N/A,#N/A,FALSE,"Plan1";#N/A,#N/A,FALSE,"Plan2"}</definedName>
    <definedName name="sdfdf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3">{#N/A,#N/A,FALSE,"Plan1";#N/A,#N/A,FALSE,"Plan2"}</definedName>
    <definedName name="sdfdsf" localSheetId="3">{#N/A,#N/A,FALSE,"Plan1";#N/A,#N/A,FALSE,"Plan2"}</definedName>
    <definedName name="SDFEDRT" localSheetId="3">{#N/A,#N/A,FALSE,"Plan1";#N/A,#N/A,FALSE,"Plan2"}</definedName>
    <definedName name="sdfer" localSheetId="3">{#N/A,#N/A,FALSE,"Plan1";#N/A,#N/A,FALSE,"Plan2"}</definedName>
    <definedName name="sdferr" localSheetId="3">{#N/A,#N/A,FALSE,"Plan1";#N/A,#N/A,FALSE,"Plan2"}</definedName>
    <definedName name="sdfe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3">{#N/A,#N/A,FALSE,"Plan1";#N/A,#N/A,FALSE,"Plan2"}</definedName>
    <definedName name="sdfgtr" localSheetId="3">{#N/A,#N/A,FALSE,"Plan1";#N/A,#N/A,FALSE,"Plan2"}</definedName>
    <definedName name="sdfjdetrt" localSheetId="3">{#N/A,#N/A,FALSE,"Plan1";#N/A,#N/A,FALSE,"Plan2"}</definedName>
    <definedName name="SDFJDRTJEIDR" localSheetId="3">{#N/A,#N/A,FALSE,"Plan1";#N/A,#N/A,FALSE,"Plan2"}</definedName>
    <definedName name="sdfjergtij" localSheetId="3">{#N/A,#N/A,FALSE,"Plan1";#N/A,#N/A,FALSE,"Plan2"}</definedName>
    <definedName name="SDFOPJKWE" localSheetId="3">{#N/A,#N/A,FALSE,"Plan1";#N/A,#N/A,FALSE,"Plan2"}</definedName>
    <definedName name="sdfrdt5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3">{#N/A,#N/A,FALSE,"Plan1";#N/A,#N/A,FALSE,"Plan2"}</definedName>
    <definedName name="SDFRTKK" localSheetId="3">{#N/A,#N/A,FALSE,"Plan1";#N/A,#N/A,FALSE,"Plan2"}</definedName>
    <definedName name="SDFRTR" localSheetId="3">{#N/A,#N/A,FALSE,"Plan1";#N/A,#N/A,FALSE,"Plan2"}</definedName>
    <definedName name="sdfry6" localSheetId="3">{#N/A,#N/A,FALSE,"Plan1";#N/A,#N/A,FALSE,"Plan2"}</definedName>
    <definedName name="sdfsaf" localSheetId="3">{#N/A,#N/A,FALSE,"Plan1";#N/A,#N/A,FALSE,"Plan2"}</definedName>
    <definedName name="sdfsd" localSheetId="3">{"'Estimativa de Lançamento-JAN'!$A$1:$AI$85"}</definedName>
    <definedName name="sdfsdfg" localSheetId="3">{#N/A,#N/A,FALSE,"Plan1";#N/A,#N/A,FALSE,"Plan2"}</definedName>
    <definedName name="SDFSDFK" localSheetId="3">{#N/A,#N/A,FALSE,"Plan1";#N/A,#N/A,FALSE,"Plan2"}</definedName>
    <definedName name="sdfsdgftret" localSheetId="3">{#N/A,#N/A,FALSE,"Plan1";#N/A,#N/A,FALSE,"Plan2"}</definedName>
    <definedName name="sdfsf" localSheetId="3">{#N/A,#N/A,FALSE,"Plan1";#N/A,#N/A,FALSE,"Plan2"}</definedName>
    <definedName name="SDFSFRT" localSheetId="3">{"Econ Consolidado",#N/A,FALSE,"Econ Consol";"Fluxo de Caixa",#N/A,FALSE,"Fluxo Caixa";"Investimentos",#N/A,FALSE,"Investimentos"}</definedName>
    <definedName name="sdfsr" localSheetId="3">{#N/A,#N/A,FALSE,"Plan1";#N/A,#N/A,FALSE,"Plan2"}</definedName>
    <definedName name="sdfty" localSheetId="3">{#N/A,#N/A,FALSE,"Plan1";#N/A,#N/A,FALSE,"Plan2"}</definedName>
    <definedName name="sdgdf" localSheetId="3">{#N/A,#N/A,FALSE,"Plan1";#N/A,#N/A,FALSE,"Plan2"}</definedName>
    <definedName name="sdgfrt" localSheetId="3">{#N/A,#N/A,FALSE,"Plan1";#N/A,#N/A,FALSE,"Plan2"}</definedName>
    <definedName name="sdgft" localSheetId="3">{#N/A,#N/A,FALSE,"Plan1";#N/A,#N/A,FALSE,"Plan2"}</definedName>
    <definedName name="sdgt" localSheetId="3">{#N/A,#N/A,FALSE,"Plan1";#N/A,#N/A,FALSE,"Plan2"}</definedName>
    <definedName name="sdgtry" localSheetId="3">#REF!</definedName>
    <definedName name="sdhfghdsfg" localSheetId="3">{#N/A,#N/A,FALSE,"Plan1";#N/A,#N/A,FALSE,"Plan2"}</definedName>
    <definedName name="SDHFJKHDFJRE" localSheetId="3">{#N/A,#N/A,FALSE,"Plan1";#N/A,#N/A,FALSE,"Plan2"}</definedName>
    <definedName name="SDHKFDRKGTR" localSheetId="3">{#N/A,#N/A,FALSE,"Plan1";#N/A,#N/A,FALSE,"Plan2"}</definedName>
    <definedName name="sdjdswger" localSheetId="3">{#N/A,#N/A,FALSE,"Plan1";#N/A,#N/A,FALSE,"Plan2"}</definedName>
    <definedName name="sdjfdf" localSheetId="3">{#N/A,#N/A,FALSE,"Plan1";#N/A,#N/A,FALSE,"Plan2"}</definedName>
    <definedName name="sdjfhdjk" localSheetId="3">{#N/A,#N/A,FALSE,"Plan1";#N/A,#N/A,FALSE,"Plan2"}</definedName>
    <definedName name="SDJFJDER" localSheetId="3">{#N/A,#N/A,FALSE,"Plan1";#N/A,#N/A,FALSE,"Plan2"}</definedName>
    <definedName name="sdjflsdjfl" localSheetId="3">{#N/A,#N/A,FALSE,"Plan1";#N/A,#N/A,FALSE,"Plan2"}</definedName>
    <definedName name="SDJHF" localSheetId="3">{#N/A,#N/A,FALSE,"Plan1";#N/A,#N/A,FALSE,"Plan2"}</definedName>
    <definedName name="sdjrderertrr" localSheetId="3">{#N/A,#N/A,FALSE,"Plan1";#N/A,#N/A,FALSE,"Plan2"}</definedName>
    <definedName name="sdkdjk" localSheetId="3">{#N/A,#N/A,FALSE,"Plan1";#N/A,#N/A,FALSE,"Plan2"}</definedName>
    <definedName name="sdkfjhkdgfhk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3">{#N/A,#N/A,FALSE,"Plan1";#N/A,#N/A,FALSE,"Plan2"}</definedName>
    <definedName name="sdkk" localSheetId="3">{#N/A,#N/A,FALSE,"Plan1";#N/A,#N/A,FALSE,"Plan2"}</definedName>
    <definedName name="sdlfsdflj" localSheetId="3">{#N/A,#N/A,FALSE,"Plan1";#N/A,#N/A,FALSE,"Plan2"}</definedName>
    <definedName name="sdmfmdfsgfd" localSheetId="3">{#N/A,#N/A,FALSE,"Plan1";#N/A,#N/A,FALSE,"Plan2"}</definedName>
    <definedName name="sd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3">{#N/A,#N/A,FALSE,"Plan1";#N/A,#N/A,FALSE,"Plan2"}</definedName>
    <definedName name="sdsd" localSheetId="3">{#N/A,#N/A,FALSE,"Plan1";#N/A,#N/A,FALSE,"Plan2"}</definedName>
    <definedName name="sdser" localSheetId="3">{#N/A,#N/A,FALSE,"Plan1";#N/A,#N/A,FALSE,"Plan2"}</definedName>
    <definedName name="sdsre" localSheetId="3">{#N/A,#N/A,FALSE,"Plan1";#N/A,#N/A,FALSE,"Plan2"}</definedName>
    <definedName name="sdss" localSheetId="3">{#N/A,#N/A,FALSE,"Plan1";#N/A,#N/A,FALSE,"Plan2"}</definedName>
    <definedName name="sdtrtg" localSheetId="3">#REF!</definedName>
    <definedName name="sdusi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3">{"Econ Consolidado",#N/A,FALSE,"Econ Consol";"Fluxo de Caixa",#N/A,FALSE,"Fluxo Caixa";"Investimentos",#N/A,FALSE,"Investimentos"}</definedName>
    <definedName name="sdxfrt" localSheetId="3">{#N/A,#N/A,FALSE,"Plan1";#N/A,#N/A,FALSE,"Plan2"}</definedName>
    <definedName name="SDZFERF" localSheetId="3">{#N/A,#N/A,FALSE,"Plan1";#N/A,#N/A,FALSE,"Plan2"}</definedName>
    <definedName name="se" localSheetId="3">#REF!</definedName>
    <definedName name="SEDE" localSheetId="3">#REF!</definedName>
    <definedName name="sefret4r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" localSheetId="3">#REF!</definedName>
    <definedName name="segftru" localSheetId="3">{#N/A,#N/A,FALSE,"Plan1";#N/A,#N/A,FALSE,"Plan2"}</definedName>
    <definedName name="SEIS" localSheetId="3">#REF!</definedName>
    <definedName name="sencount" localSheetId="3">3</definedName>
    <definedName name="SEQUENCIA" localSheetId="3">#REF!</definedName>
    <definedName name="SEREWRSWE" localSheetId="3">{"tabela",#N/A,FALSE,"Tabela";"decoração",#N/A,FALSE,"Decor.";"Informações",#N/A,FALSE,"Inform."}</definedName>
    <definedName name="Set_17" localSheetId="3">#REF!</definedName>
    <definedName name="SETE" localSheetId="3">#REF!</definedName>
    <definedName name="SETEMBRO" localSheetId="3">#REF!</definedName>
    <definedName name="setRJ17" localSheetId="3">#REF!</definedName>
    <definedName name="severo" localSheetId="3">#REF!</definedName>
    <definedName name="sf" localSheetId="3">{#N/A,#N/A,FALSE,"Plan1";#N/A,#N/A,FALSE,"Plan2"}</definedName>
    <definedName name="sfcrer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3">{#N/A,#N/A,FALSE,"Plan1";#N/A,#N/A,FALSE,"Plan2"}</definedName>
    <definedName name="sfds" localSheetId="3">{#N/A,#N/A,FALSE,"Plan1";#N/A,#N/A,FALSE,"Plan2"}</definedName>
    <definedName name="sfdsd" localSheetId="3">{#N/A,#N/A,FALSE,"Plan1";#N/A,#N/A,FALSE,"Plan2"}</definedName>
    <definedName name="sfrsdrgt" localSheetId="3">{#N/A,#N/A,FALSE,"Plan1";#N/A,#N/A,FALSE,"Plan2"}</definedName>
    <definedName name="SFRT" localSheetId="3">{#N/A,#N/A,FALSE,"Plan1";#N/A,#N/A,FALSE,"Plan2"}</definedName>
    <definedName name="sfsdferf" localSheetId="3">{#N/A,#N/A,FALSE,"Plan1";#N/A,#N/A,FALSE,"Plan2"}</definedName>
    <definedName name="SFSDS" localSheetId="3">{#N/A,#N/A,FALSE,"Plan1";#N/A,#N/A,FALSE,"Plan2"}</definedName>
    <definedName name="SGarantia" localSheetId="3">#REF!</definedName>
    <definedName name="sgtghty" localSheetId="3">{#N/A,#N/A,FALSE,"Plan1";#N/A,#N/A,FALSE,"Plan2"}</definedName>
    <definedName name="SH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IH" localSheetId="3">#REF!</definedName>
    <definedName name="SISTEM1" localSheetId="3">#REF!</definedName>
    <definedName name="SISTEM2" localSheetId="3">#REF!</definedName>
    <definedName name="SIV" localSheetId="3">#REF!</definedName>
    <definedName name="sjawe" localSheetId="3">{#N/A,#N/A,FALSE,"Plan1";#N/A,#N/A,FALSE,"Plan2"}</definedName>
    <definedName name="sjdffd" localSheetId="3">{#N/A,#N/A,FALSE,"Plan1";#N/A,#N/A,FALSE,"Plan2"}</definedName>
    <definedName name="SJDFHDJS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3">{#N/A,#N/A,FALSE,"Plan1";#N/A,#N/A,FALSE,"Plan2"}</definedName>
    <definedName name="SJDKJDE" localSheetId="3">{"Econ Consolidado",#N/A,FALSE,"Econ Consol";"Fluxo de Caixa",#N/A,FALSE,"Fluxo Caixa";"Investimentos",#N/A,FALSE,"Investimentos"}</definedName>
    <definedName name="sjekwjri" localSheetId="3">{#N/A,#N/A,FALSE,"Plan1";#N/A,#N/A,FALSE,"Plan2"}</definedName>
    <definedName name="sjfkdhsfds" localSheetId="3">{#N/A,#N/A,FALSE,"Plan1";#N/A,#N/A,FALSE,"Plan2"}</definedName>
    <definedName name="sjkdljslkrje" localSheetId="3">{#N/A,#N/A,FALSE,"Plan1";#N/A,#N/A,FALSE,"Plan2"}</definedName>
    <definedName name="skadadaszs" localSheetId="3">{#N/A,#N/A,FALSE,"Plan1";#N/A,#N/A,FALSE,"Plan2"}</definedName>
    <definedName name="SKASH" localSheetId="3">{#N/A,#N/A,FALSE,"Plan1";#N/A,#N/A,FALSE,"Plan2"}</definedName>
    <definedName name="skldfrde" localSheetId="3">{#N/A,#N/A,FALSE,"Plan1";#N/A,#N/A,FALSE,"Plan2"}</definedName>
    <definedName name="skosroer" localSheetId="3">{#N/A,#N/A,FALSE,"Plan1";#N/A,#N/A,FALSE,"Plan2"}</definedName>
    <definedName name="SO" localSheetId="3">#REF!</definedName>
    <definedName name="soma" localSheetId="3">#REF!</definedName>
    <definedName name="sp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3">{#N/A,#N/A,FALSE,"Plan1";#N/A,#N/A,FALSE,"Plan2"}</definedName>
    <definedName name="SR" localSheetId="3">#REF!</definedName>
    <definedName name="SRH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ssss" localSheetId="3">#REF!</definedName>
    <definedName name="stake_cury" localSheetId="3">#REF!</definedName>
    <definedName name="status_projeto" localSheetId="3">OFFSET(INDEX(#REF!,MATCH(#REF!,#REF!,0)),1,0,COUNTA(#REF!)-1)</definedName>
    <definedName name="SUB_TOTAL_1" localSheetId="3">#REF!</definedName>
    <definedName name="SUBDER" localSheetId="3">#REF!</definedName>
    <definedName name="SUBDIV" localSheetId="3">#REF!</definedName>
    <definedName name="SUBEQP" localSheetId="3">#REF!</definedName>
    <definedName name="SUBMUR" localSheetId="3">#REF!</definedName>
    <definedName name="susref" localSheetId="3">#REF!</definedName>
    <definedName name="T_actual" localSheetId="3">#REF!</definedName>
    <definedName name="t_cc" localSheetId="3">#REF!</definedName>
    <definedName name="t_KSB1_Transport" localSheetId="3">#REF!</definedName>
    <definedName name="tab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_GASTOS" localSheetId="3">#REF!</definedName>
    <definedName name="TABACABAMENTOS" localSheetId="3">#REF!</definedName>
    <definedName name="tabela" localSheetId="3">#REF!</definedName>
    <definedName name="Tabela_Atribuição" localSheetId="3">#REF!</definedName>
    <definedName name="TABELA_DE_REVESTIMENTOS" localSheetId="3">#REF!</definedName>
    <definedName name="Tabela_Recursos" localSheetId="3">#REF!</definedName>
    <definedName name="Tabela_Tarefas" localSheetId="3">#REF!</definedName>
    <definedName name="Tabela1" localSheetId="3">#REF!</definedName>
    <definedName name="Tabela2" localSheetId="3">#REF!</definedName>
    <definedName name="tabela3" localSheetId="3">#REF!</definedName>
    <definedName name="TABREF" localSheetId="3">#REF!</definedName>
    <definedName name="tania" localSheetId="3">#REF!</definedName>
    <definedName name="TAUX2" localSheetId="3">OFFSET(#REF!,0,0,COUNTA(#REF!)+1,1)</definedName>
    <definedName name="TAUX3" localSheetId="3">OFFSET(#REF!,0,0,COUNTA(#REF!)+1,1)</definedName>
    <definedName name="TAXA_VENTO" localSheetId="3">#REF!</definedName>
    <definedName name="TAXAS" localSheetId="3">#REF!</definedName>
    <definedName name="TbDin" localSheetId="3">OFFSET(#REF!,0,0,COUNTA(#REF!),13)</definedName>
    <definedName name="tc" localSheetId="3">#REF!</definedName>
    <definedName name="TE" localSheetId="3">#REF!</definedName>
    <definedName name="TECLA" localSheetId="3">#REF!</definedName>
    <definedName name="Tendência_Obra_Controladoria" localSheetId="3">#REF!</definedName>
    <definedName name="TERRENO" localSheetId="3">#REF!</definedName>
    <definedName name="Test" localSheetId="3">{"'Edit'!$A$1:$V$2277"}</definedName>
    <definedName name="TESTANDO" localSheetId="3">{#N/A,#N/A,TRUE,"Quinzena 01 à 15-04-98 "}</definedName>
    <definedName name="teste" localSheetId="3">#REF!</definedName>
    <definedName name="teste1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este3" localSheetId="3">#REF!</definedName>
    <definedName name="TESTHKEY" localSheetId="3">#REF!</definedName>
    <definedName name="teto1" localSheetId="3">#REF!</definedName>
    <definedName name="Teto2" localSheetId="3">#REF!</definedName>
    <definedName name="tetuytw" localSheetId="3">#REF!</definedName>
    <definedName name="thjgsergsr" localSheetId="3">{#N/A,#N/A,FALSE,"Plan1";#N/A,#N/A,FALSE,"Plan2"}</definedName>
    <definedName name="THYJ" localSheetId="3">{#N/A,#N/A,FALSE,"Plan1";#N/A,#N/A,FALSE,"Plan2"}</definedName>
    <definedName name="tihjgih" localSheetId="3">{#N/A,#N/A,FALSE,"Plan1";#N/A,#N/A,FALSE,"Plan2"}</definedName>
    <definedName name="TIPO_CTT" localSheetId="3">#REF!</definedName>
    <definedName name="Tipo_de_Diretoria" localSheetId="3">#REF!</definedName>
    <definedName name="Tipo_de_Gestao" localSheetId="3">#REF!</definedName>
    <definedName name="Tipo_de_Padrao" localSheetId="3">#REF!</definedName>
    <definedName name="Tipo_de_Regiao" localSheetId="3">#REF!</definedName>
    <definedName name="Tipo_de_Segmento" localSheetId="3">#REF!</definedName>
    <definedName name="Tipo_de_Status" localSheetId="3">#REF!</definedName>
    <definedName name="Tipo_de_UF" localSheetId="3">#REF!</definedName>
    <definedName name="Tipo_de_Unidade_de_Negocio" localSheetId="3">#REF!</definedName>
    <definedName name="Tipo_do_cliente" localSheetId="3">#REF!</definedName>
    <definedName name="tipo_subtotal" localSheetId="3">#REF!</definedName>
    <definedName name="tipobloco" localSheetId="3">#REF!</definedName>
    <definedName name="titbeb" localSheetId="3">#REF!</definedName>
    <definedName name="TITCHAF" localSheetId="3">#REF!</definedName>
    <definedName name="TituloMkt" localSheetId="3">#REF!</definedName>
    <definedName name="titulos" localSheetId="3">#REF!</definedName>
    <definedName name="Títulos_impressão_IM" localSheetId="3">#REF!</definedName>
    <definedName name="TMO" localSheetId="3">#REF!</definedName>
    <definedName name="TOLTAL2" localSheetId="3">#REF!</definedName>
    <definedName name="TOT" localSheetId="3">#REF!</definedName>
    <definedName name="tot3estac" localSheetId="3">#REF!</definedName>
    <definedName name="TOTAIS" localSheetId="3">#REF!</definedName>
    <definedName name="Total" localSheetId="3">#REF!</definedName>
    <definedName name="Total_2016_Rel_Controladoria" localSheetId="3">#REF!</definedName>
    <definedName name="Total_Parcelas_MAP" localSheetId="3">#REF!</definedName>
    <definedName name="total_unid" localSheetId="3">#REF!</definedName>
    <definedName name="TOTAL1" localSheetId="3">#REF!</definedName>
    <definedName name="TOTAL10" localSheetId="3">#REF!</definedName>
    <definedName name="TOTAL11" localSheetId="3">#REF!</definedName>
    <definedName name="TOTAL12" localSheetId="3">#REF!</definedName>
    <definedName name="TOTAL13" localSheetId="3">#REF!</definedName>
    <definedName name="TOTAL14" localSheetId="3">#REF!</definedName>
    <definedName name="TOTAL15" localSheetId="3">#REF!</definedName>
    <definedName name="TOTAL16" localSheetId="3">#REF!</definedName>
    <definedName name="TOTAL2" localSheetId="3">#REF!</definedName>
    <definedName name="TOTAL3" localSheetId="3">#REF!</definedName>
    <definedName name="TOTAL4" localSheetId="3">#REF!</definedName>
    <definedName name="TOTAL5" localSheetId="3">#REF!</definedName>
    <definedName name="TOTAL6" localSheetId="3">#REF!</definedName>
    <definedName name="TOTAL7" localSheetId="3">#REF!</definedName>
    <definedName name="TOTAL8" localSheetId="3">#REF!</definedName>
    <definedName name="TOTAL9" localSheetId="3">#REF!</definedName>
    <definedName name="TOTALITEM" localSheetId="3">#REF!</definedName>
    <definedName name="totbase" localSheetId="3">#REF!</definedName>
    <definedName name="totestaca" localSheetId="3">#REF!</definedName>
    <definedName name="TOTG" localSheetId="3">OFFSET(#REF!,0,0,COUNTA(#REF!),1)</definedName>
    <definedName name="totperfura" localSheetId="3">#REF!</definedName>
    <definedName name="TOTQTS" localSheetId="3">#REF!</definedName>
    <definedName name="TOTT" localSheetId="3">OFFSET(#REF!,0,0,COUNTA(#REF!)+1,1)</definedName>
    <definedName name="TR" localSheetId="3">#REF!</definedName>
    <definedName name="Transferencia1" localSheetId="3">#REF!</definedName>
    <definedName name="TRES" localSheetId="3">#REF!</definedName>
    <definedName name="TREZE" localSheetId="3">#REF!</definedName>
    <definedName name="tri" localSheetId="3">#REF!</definedName>
    <definedName name="Trimestre_data_base" localSheetId="3">#REF!</definedName>
    <definedName name="trjyidih" localSheetId="3">{#N/A,#N/A,FALSE,"Plan1";#N/A,#N/A,FALSE,"Plan2"}</definedName>
    <definedName name="TRP" localSheetId="3">#REF!</definedName>
    <definedName name="TTT" localSheetId="3">#REF!</definedName>
    <definedName name="TURNO" localSheetId="3">#REF!</definedName>
    <definedName name="tuyedjsksj" localSheetId="3">{#N/A,#N/A,FALSE,"Plan1";#N/A,#N/A,FALSE,"Plan2"}</definedName>
    <definedName name="TX_ADM" localSheetId="3">#REF!</definedName>
    <definedName name="tx_desconto_real" localSheetId="3">#REF!</definedName>
    <definedName name="TxAplicMes" localSheetId="3">#REF!</definedName>
    <definedName name="TxCdiMes" localSheetId="3">#REF!</definedName>
    <definedName name="TxDescMes" localSheetId="3">#REF!</definedName>
    <definedName name="TxSecuritizacaoMes" localSheetId="3">#REF!</definedName>
    <definedName name="TxSfhEco" localSheetId="3">#REF!</definedName>
    <definedName name="TxSfhMap" localSheetId="3">#REF!</definedName>
    <definedName name="TXTEQUIP" localSheetId="3">#REF!</definedName>
    <definedName name="TXTMARCA" localSheetId="3">#REF!</definedName>
    <definedName name="TXTMOD" localSheetId="3">#REF!</definedName>
    <definedName name="TXTPOT" localSheetId="3">#REF!</definedName>
    <definedName name="TYHGFHFHG" localSheetId="3">{#N/A,#N/A,FALSE,"Plan1";#N/A,#N/A,FALSE,"Plan2"}</definedName>
    <definedName name="u" localSheetId="3">{#N/A,#N/A,FALSE,"ET-CAPA";#N/A,#N/A,FALSE,"ET-PAG1";#N/A,#N/A,FALSE,"ET-PAG2";#N/A,#N/A,FALSE,"ET-PAG3";#N/A,#N/A,FALSE,"ET-PAG4";#N/A,#N/A,FALSE,"ET-PAG5"}</definedName>
    <definedName name="udhgfhfg" localSheetId="3">{#N/A,#N/A,FALSE,"Plan1";#N/A,#N/A,FALSE,"Plan2"}</definedName>
    <definedName name="ueiutriuef" localSheetId="3">{#N/A,#N/A,FALSE,"Plan1";#N/A,#N/A,FALSE,"Plan2"}</definedName>
    <definedName name="UENSIT" localSheetId="3">#REF!</definedName>
    <definedName name="UENSITS" localSheetId="3">#REF!</definedName>
    <definedName name="UHGSDUS" localSheetId="3">{#N/A,#N/A,FALSE,"Plan1";#N/A,#N/A,FALSE,"Plan2"}</definedName>
    <definedName name="UI" localSheetId="3">#REF!</definedName>
    <definedName name="UIHWER45R" localSheetId="3">{#N/A,#N/A,FALSE,"Plan1";#N/A,#N/A,FALSE,"Plan2"}</definedName>
    <definedName name="uiosderuiu" localSheetId="3">{#N/A,#N/A,FALSE,"Plan1";#N/A,#N/A,FALSE,"Plan2"}</definedName>
    <definedName name="UIOURET" localSheetId="3">{#N/A,#N/A,FALSE,"Plan1";#N/A,#N/A,FALSE,"Plan2"}</definedName>
    <definedName name="uiwuer" localSheetId="3">{#N/A,#N/A,FALSE,"Plan1";#N/A,#N/A,FALSE,"Plan2"}</definedName>
    <definedName name="UKHDFDSGUDFKD" localSheetId="3">{#N/A,#N/A,FALSE,"Plan1";#N/A,#N/A,FALSE,"Plan2"}</definedName>
    <definedName name="UM" localSheetId="3">#REF!</definedName>
    <definedName name="UNID" localSheetId="3">OFFSET(#REF!,0,0,COUNTA(#REF!),1)</definedName>
    <definedName name="unit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niv_cdi" localSheetId="3">#REF!</definedName>
    <definedName name="univ_hist" localSheetId="3">#REF!</definedName>
    <definedName name="univ_uss" localSheetId="3">#REF!</definedName>
    <definedName name="UPS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3">{#N/A,#N/A,FALSE,"Plan1";#N/A,#N/A,FALSE,"Plan2"}</definedName>
    <definedName name="V" localSheetId="3">#REF!</definedName>
    <definedName name="VALIDADE_EXECUÇÃO" localSheetId="3">#REF!</definedName>
    <definedName name="Valor_PLS_Controladoria" localSheetId="3">#REF!</definedName>
    <definedName name="Valor_Previsto_Fin_Medições" localSheetId="3">#REF!</definedName>
    <definedName name="VALOR_REAIS" localSheetId="3">#REF!</definedName>
    <definedName name="Valor_Recebido_Fin_Medições" localSheetId="3">#REF!</definedName>
    <definedName name="Valor_Sienge" localSheetId="3">#REF!</definedName>
    <definedName name="VALOR_VENDA" localSheetId="3">#REF!</definedName>
    <definedName name="valores_diferidos" localSheetId="3">#REF!</definedName>
    <definedName name="valve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AOS" localSheetId="3">#REF!</definedName>
    <definedName name="vdsgfrhgfr" localSheetId="3">{#N/A,#N/A,FALSE,"Plan1";#N/A,#N/A,FALSE,"Plan2"}</definedName>
    <definedName name="Veiculos" localSheetId="3">#REF!</definedName>
    <definedName name="VENDA_ADOTADA" localSheetId="3">#REF!</definedName>
    <definedName name="VENDAFINAL_R" localSheetId="3">#REF!</definedName>
    <definedName name="VENDAFINAL_U" localSheetId="3">#REF!</definedName>
    <definedName name="Vendas" localSheetId="3">#REF!</definedName>
    <definedName name="vendas_" localSheetId="3">#REF!</definedName>
    <definedName name="VERIFICAR" localSheetId="3">{#N/A,#N/A,TRUE,"Quinzena 01 à 15-04-98 "}</definedName>
    <definedName name="versao_estudo" localSheetId="3">#REF!</definedName>
    <definedName name="vfbg" localSheetId="3">#REF!</definedName>
    <definedName name="vfnijfd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3">{#N/A,#N/A,FALSE,"Plan1";#N/A,#N/A,FALSE,"Plan2"}</definedName>
    <definedName name="VI" localSheetId="3">#REF!</definedName>
    <definedName name="VINTE" localSheetId="3">#REF!</definedName>
    <definedName name="visao_cashflow" localSheetId="3">#REF!</definedName>
    <definedName name="visao_VL" localSheetId="3">#REF!</definedName>
    <definedName name="vl_cd" localSheetId="3">#REF!</definedName>
    <definedName name="vl_k1" localSheetId="3">#REF!</definedName>
    <definedName name="vl_k2" localSheetId="3">#REF!</definedName>
    <definedName name="vl_k3" localSheetId="3">#REF!</definedName>
    <definedName name="vld_classificacao" localSheetId="3">IF(#REF!="Ativa",OFFSET(INDEX(rng_list_classificacao,MATCH(#REF!,rng_list_classificacao,0)),1,0,COUNTA(rng_list_classificacao)-1),#REF!)</definedName>
    <definedName name="vld_regional" localSheetId="3">OFFSET(INDEX(rng_list_regional,MATCH(#REF!,rng_list_regional,0)),1,0,COUNTA(rng_list_regional)-1)</definedName>
    <definedName name="vld_segmento" localSheetId="3">IF(#REF!="Ativa",OFFSET(INDEX(rng_list_segmento,MATCH(#REF!,rng_list_segmento,0)),1,0,COUNTA(rng_list_segmento)-1),#REF!)</definedName>
    <definedName name="vld_sociedade" localSheetId="3">OFFSET(INDEX(rng_list_sociedade,MATCH(#REF!,rng_list_sociedade,0)),1,0,COUNTA(rng_list_sociedade)-1)</definedName>
    <definedName name="vld_status_empresa" localSheetId="3">OFFSET(INDEX(rng_list_status_empresa,MATCH(#REF!,rng_list_status_empresa,0)),1,0,COUNTA(rng_list_status_empresa)-1)</definedName>
    <definedName name="vld_status_lancamento" localSheetId="3">IF(#REF!="Ativa",OFFSET(INDEX(rng_list_status_lancamento,MATCH(#REF!,rng_list_status_lancamento,0)),1,0,COUNTA(rng_list_status_lancamento)-1),#REF!)</definedName>
    <definedName name="vld_status_projeto" localSheetId="3">IF(#REF!="Ativa",OFFSET(INDEX(rng_list_status_projeto,MATCH(#REF!,rng_list_status_projeto,0)),1,0,COUNTA(rng_list_status_projeto)-1),#REF!)</definedName>
    <definedName name="vld_status_viabilidade" localSheetId="3">OFFSET(INDEX(rng_list_status_viabilidade,MATCH(#REF!,rng_list_status_viabilidade,0)),1,0,COUNTA(rng_list_status_viabilidade)-1)</definedName>
    <definedName name="VOLUME1" localSheetId="3">#REF!</definedName>
    <definedName name="VOLUME2" localSheetId="3">#REF!</definedName>
    <definedName name="VOLUME3" localSheetId="3">#REF!</definedName>
    <definedName name="VSDHFGDFGR" localSheetId="3">{#N/A,#N/A,FALSE,"Plan1";#N/A,#N/A,FALSE,"Plan2"}</definedName>
    <definedName name="vvbb" localSheetId="3">{"tabela",#N/A,FALSE,"Tabela";"decoração",#N/A,FALSE,"Decor.";"Informações",#N/A,FALSE,"Inform."}</definedName>
    <definedName name="vvcbnb" localSheetId="3">{#N/A,#N/A,FALSE,"Plan1";#N/A,#N/A,FALSE,"Plan2"}</definedName>
    <definedName name="vvvvv" localSheetId="3">{"Econ Consolidado",#N/A,FALSE,"Econ Consol";"Fluxo de Caixa",#N/A,FALSE,"Fluxo Caixa";"Investimentos",#N/A,FALSE,"Investimentos"}</definedName>
    <definedName name="vvvvvv" localSheetId="3">{#N/A,#N/A,FALSE,"Plan1";#N/A,#N/A,FALSE,"Plan2"}</definedName>
    <definedName name="vvvvvvvvvvvvvvvvv" localSheetId="3">{"HW",#N/A,FALSE,"1998"}</definedName>
    <definedName name="VX" localSheetId="3">#REF!</definedName>
    <definedName name="w" localSheetId="3">#REF!</definedName>
    <definedName name="wacc" localSheetId="3">#REF!</definedName>
    <definedName name="wadalrdjlaev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dewr" localSheetId="3">#REF!</definedName>
    <definedName name="werw4tr" localSheetId="3">{#N/A,#N/A,FALSE,"Plan1";#N/A,#N/A,FALSE,"Plan2"}</definedName>
    <definedName name="wetoedjtkdr" localSheetId="3">{#N/A,#N/A,FALSE,"Plan1";#N/A,#N/A,FALSE,"Plan2"}</definedName>
    <definedName name="WHATS" localSheetId="3">{"'Edit'!$A$1:$V$2277"}</definedName>
    <definedName name="win.VESSEL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TENS" localSheetId="3">#REF!</definedName>
    <definedName name="WKJHIR" localSheetId="3">{#N/A,#N/A,FALSE,"Plan1";#N/A,#N/A,FALSE,"Plan2"}</definedName>
    <definedName name="WLQ" localSheetId="3">{#N/A,#N/A,FALSE,"명세표"}</definedName>
    <definedName name="WNMLOCAL" localSheetId="3">#REF!</definedName>
    <definedName name="WNMMUN" localSheetId="3">#REF!</definedName>
    <definedName name="WNMSERV" localSheetId="3">#REF!</definedName>
    <definedName name="worl_cdi" localSheetId="3">#REF!</definedName>
    <definedName name="worl_hist" localSheetId="3">#REF!</definedName>
    <definedName name="worl_uss" localSheetId="3">#REF!</definedName>
    <definedName name="WRITE" localSheetId="3">{#N/A,#N/A,FALSE,"CCTV"}</definedName>
    <definedName name="wrn.BM." localSheetId="3">{#N/A,#N/A,FALSE,"CCTV"}</definedName>
    <definedName name="wrn.Brita98.xls." localSheetId="3">{#N/A,#N/A,TRUE,"Quinzena 01 à 15-04-98 "}</definedName>
    <definedName name="wrn.Completo." localSheetId="3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3">{"EconCons",#N/A,TRUE,"Econômico - Consolidado";"CaixaCons",#N/A,TRUE,"Caixa - Consolidado";"InvestCons",#N/A,TRUE,"Invest Consolidado"}</definedName>
    <definedName name="wrn.Consolidado." localSheetId="3">{"Econ Consolidado",#N/A,FALSE,"Econ Consol";"Fluxo de Caixa",#N/A,FALSE,"Fluxo Caixa";"Investimentos",#N/A,FALSE,"Investimentos"}</definedName>
    <definedName name="wrn.GERAL." localSheetId="3">{#N/A,#N/A,FALSE,"ET-CAPA";#N/A,#N/A,FALSE,"ET-PAG1";#N/A,#N/A,FALSE,"ET-PAG2";#N/A,#N/A,FALSE,"ET-PAG3";#N/A,#N/A,FALSE,"ET-PAG4";#N/A,#N/A,FALSE,"ET-PAG5"}</definedName>
    <definedName name="wrn.HAGE." localSheetId="3">{#N/A,#N/A,FALSE,"cdi";#N/A,#N/A,FALSE,"debent";#N/A,#N/A,FALSE,"fdos";#N/A,#N/A,FALSE,"resumo"}</definedName>
    <definedName name="wrn.HAGE01" localSheetId="3">{#N/A,#N/A,FALSE,"cdi";#N/A,#N/A,FALSE,"debent";#N/A,#N/A,FALSE,"fdos";#N/A,#N/A,FALSE,"resumo"}</definedName>
    <definedName name="wrn.HW." localSheetId="3">{"HW",#N/A,FALSE,"1998"}</definedName>
    <definedName name="wrn.imp_flx." localSheetId="3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3">{#N/A,#N/A,FALSE,"Plan1";#N/A,#N/A,FALSE,"Plan2"}</definedName>
    <definedName name="wrn.Imprimir." localSheetId="3">{"tabela",#N/A,FALSE,"Tabela";"decoração",#N/A,FALSE,"Decor.";"Informações",#N/A,FALSE,"Inform."}</definedName>
    <definedName name="wrn.LPU._.MG." localSheetId="3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3">{#N/A,#N/A,TRUE,"表紙";#N/A,#N/A,TRUE,"DMC合成";#N/A,#N/A,TRUE,"DMC回収･精製";#N/A,#N/A,TRUE,"MPC工程";#N/A,#N/A,TRUE,"DPC工程";#N/A,#N/A,TRUE,"ANI工程";#N/A,#N/A,TRUE,"PHOｰ触媒工程";#N/A,#N/A,TRUE,"用役"}</definedName>
    <definedName name="wrn.Month._.Report._.Package." localSheetId="3">{#N/A,#N/A,FALSE,"Global Wls Trend";#N/A,#N/A,FALSE,"Region Trend";#N/A,#N/A,FALSE,"PBU Trend"}</definedName>
    <definedName name="wrn.Monthly._.Report._.Package." localSheetId="3">{#N/A,#N/A,FALSE,"Global by BU";#N/A,#N/A,FALSE,"U.S. by BU";#N/A,#N/A,FALSE,"Canada by BU";#N/A,#N/A,FALSE,"Europe by BU";#N/A,#N/A,FALSE,"Asia by BU";#N/A,#N/A,FALSE,"Cala by BU"}</definedName>
    <definedName name="wrn.PENDENCIAS.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3">{#N/A,#N/A,FALSE,"F-01"}</definedName>
    <definedName name="wrn.Planiha._.de._.Medição._.F._.01._1" localSheetId="3">{#N/A,#N/A,FALSE,"F-01"}</definedName>
    <definedName name="wrn.Planilha_de_Medição_F_02" localSheetId="3">{#N/A,#N/A,FALSE,"F-01"}</definedName>
    <definedName name="wrn.print._.all." localSheetId="3">{#N/A,#N/A,FALSE,"$170M Cash";#N/A,#N/A,FALSE,"$250M Cash";#N/A,#N/A,FALSE,"$325M Cash"}</definedName>
    <definedName name="wrn.PrintAll." localSheetId="3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3">{#N/A,#N/A,FALSE,"Sheet1";#N/A,#N/A,FALSE,"Sheet2";#N/A,#N/A,FALSE,"Sheet3"}</definedName>
    <definedName name="wrn.PrintPrev1." localSheetId="3">{#N/A,#N/A,FALSE,"Sheet4";#N/A,#N/A,FALSE,"Sheet5";#N/A,#N/A,FALSE,"Sheet6"}</definedName>
    <definedName name="wrn.PrintPrev2." localSheetId="3">{#N/A,#N/A,FALSE,"Sheet7";#N/A,#N/A,FALSE,"Sheet8";#N/A,#N/A,FALSE,"Sheet9"}</definedName>
    <definedName name="wrn.Quadros._.relatório." localSheetId="3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3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3">{#N/A,#N/A,FALSE,"TABLE"}</definedName>
    <definedName name="wrn.TERCEIRO." localSheetId="3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3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3">{#N/A,#N/A,FALSE,"명세표"}</definedName>
    <definedName name="wrn.Unidades." localSheetId="3">{"Rio Branco",#N/A,FALSE,"Rio Branco";"Itajaí",#N/A,FALSE,"Itajaí";"Pinheiro Machado",#N/A,FALSE,"PMachado";"Esteio",#N/A,FALSE,"Esteio"}</definedName>
    <definedName name="wrn.VESSEL및N2._.구입사양서.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3">{#N/A,#N/A,FALSE,"Sheet1";#N/A,#N/A,FALSE,"Sheet2";#N/A,#N/A,FALSE,"TAB96-1"}</definedName>
    <definedName name="wrn.보호계전기." localSheetId="3">{#N/A,#N/A,FALSE,"ENG'G(보호계전기)"}</definedName>
    <definedName name="wrn.현장._.NCR._.분석." localSheetId="3">{#N/A,#N/A,FALSE,"현장 NCR 분석";#N/A,#N/A,FALSE,"현장품질감사";#N/A,#N/A,FALSE,"현장품질감사"}</definedName>
    <definedName name="wrn1.Cons." localSheetId="3">{"EconCons",#N/A,TRUE,"Econômico - Consolidado";"CaixaCons",#N/A,TRUE,"Caixa - Consolidado";"InvestCons",#N/A,TRUE,"Invest Consolidado"}</definedName>
    <definedName name="wrn1.print._.all." localSheetId="3">{#N/A,#N/A,FALSE,"$170M Cash";#N/A,#N/A,FALSE,"$250M Cash";#N/A,#N/A,FALSE,"$325M Cash"}</definedName>
    <definedName name="WRS" localSheetId="3">{"'장비'!$A$3:$M$12"}</definedName>
    <definedName name="wrt" localSheetId="3">{#N/A,#N/A,FALSE,"$170M Cash";#N/A,#N/A,FALSE,"$250M Cash";#N/A,#N/A,FALSE,"$325M Cash"}</definedName>
    <definedName name="wvu.PLANILHA2.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3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" localSheetId="3">#REF!</definedName>
    <definedName name="XALFA" localSheetId="3">#REF!</definedName>
    <definedName name="XC" localSheetId="3">#REF!</definedName>
    <definedName name="xcfrt" localSheetId="3">{#N/A,#N/A,FALSE,"Plan1";#N/A,#N/A,FALSE,"Plan2"}</definedName>
    <definedName name="xcgjkfghf" localSheetId="3">{#N/A,#N/A,FALSE,"Plan1";#N/A,#N/A,FALSE,"Plan2"}</definedName>
    <definedName name="XCGJKVHFDG" localSheetId="3">{#N/A,#N/A,FALSE,"Plan1";#N/A,#N/A,FALSE,"Plan2"}</definedName>
    <definedName name="xcgtrty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I" localSheetId="3">#REF!</definedName>
    <definedName name="XCII" localSheetId="3">#REF!</definedName>
    <definedName name="XCIII" localSheetId="3">#REF!</definedName>
    <definedName name="XCIV" localSheetId="3">#REF!</definedName>
    <definedName name="XCIX" localSheetId="3">#REF!</definedName>
    <definedName name="xçl" localSheetId="3">{#N/A,#N/A,FALSE,"Plan1";#N/A,#N/A,FALSE,"Plan2"}</definedName>
    <definedName name="xcndj" localSheetId="3">{#N/A,#N/A,FALSE,"Plan1";#N/A,#N/A,FALSE,"Plan2"}</definedName>
    <definedName name="XCV" localSheetId="3">#REF!</definedName>
    <definedName name="XCVGGT" localSheetId="3">{#N/A,#N/A,FALSE,"Plan1";#N/A,#N/A,FALSE,"Plan2"}</definedName>
    <definedName name="XCVI" localSheetId="3">#REF!</definedName>
    <definedName name="XCVII" localSheetId="3">#REF!</definedName>
    <definedName name="XCVIII" localSheetId="3">#REF!</definedName>
    <definedName name="xcvrg" localSheetId="3">{#N/A,#N/A,FALSE,"Plan1";#N/A,#N/A,FALSE,"Plan2"}</definedName>
    <definedName name="XDATA" localSheetId="3">#REF!</definedName>
    <definedName name="xdfef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3">{#N/A,#N/A,FALSE,"Plan1";#N/A,#N/A,FALSE,"Plan2"}</definedName>
    <definedName name="xfdlfj" localSheetId="3">{#N/A,#N/A,FALSE,"Plan1";#N/A,#N/A,FALSE,"Plan2"}</definedName>
    <definedName name="xfdxfdf" localSheetId="3">{#N/A,#N/A,FALSE,"Plan1";#N/A,#N/A,FALSE,"Plan2"}</definedName>
    <definedName name="XFJKLDJKLGJ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3">{#N/A,#N/A,FALSE,"Plan1";#N/A,#N/A,FALSE,"Plan2"}</definedName>
    <definedName name="XFT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3">{"Econ Consolidado",#N/A,FALSE,"Econ Consol";"Fluxo de Caixa",#N/A,FALSE,"Fluxo Caixa";"Investimentos",#N/A,FALSE,"Investimentos"}</definedName>
    <definedName name="xfvgcfgt" localSheetId="3">{#N/A,#N/A,FALSE,"Plan1";#N/A,#N/A,FALSE,"Plan2"}</definedName>
    <definedName name="xgrg" localSheetId="3">{#N/A,#N/A,FALSE,"Plan1";#N/A,#N/A,FALSE,"Plan2"}</definedName>
    <definedName name="XI" localSheetId="3">#REF!</definedName>
    <definedName name="XII" localSheetId="3">#REF!</definedName>
    <definedName name="XIII" localSheetId="3">#REF!</definedName>
    <definedName name="XITEM" localSheetId="3">#REF!</definedName>
    <definedName name="XIV" localSheetId="3">#REF!</definedName>
    <definedName name="XLOC" localSheetId="3">#REF!</definedName>
    <definedName name="xmght" localSheetId="3">{#N/A,#N/A,FALSE,"Plan1";#N/A,#N/A,FALSE,"Plan2"}</definedName>
    <definedName name="xnInforme_quantos_bebedouros____bebqt__if_bebqt__0__xlQt.bebedouros_invalida___ENTER_p_reinformar__xresp__branch_rqtderv" localSheetId="3">#REF!</definedName>
    <definedName name="XNUCOPIAS" localSheetId="3">#REF!</definedName>
    <definedName name="xo" localSheetId="3">{#N/A,#N/A,FALSE,"Global by BU";#N/A,#N/A,FALSE,"U.S. by BU";#N/A,#N/A,FALSE,"Canada by BU";#N/A,#N/A,FALSE,"Europe by BU";#N/A,#N/A,FALSE,"Asia by BU";#N/A,#N/A,FALSE,"Cala by BU"}</definedName>
    <definedName name="XREF_COLUMN_1" localSheetId="3">#REF!</definedName>
    <definedName name="XREF_COLUMN_2" localSheetId="3">#REF!</definedName>
    <definedName name="XRefCopy2" localSheetId="3">#REF!</definedName>
    <definedName name="XRefCopy3Row" localSheetId="3">#REF!</definedName>
    <definedName name="XRefPaste2" localSheetId="3">#REF!</definedName>
    <definedName name="XRefPaste4" localSheetId="3">#REF!</definedName>
    <definedName name="XRESP" localSheetId="3">#REF!</definedName>
    <definedName name="XTITRES" localSheetId="3">#REF!</definedName>
    <definedName name="XV" localSheetId="3">#REF!</definedName>
    <definedName name="XX" localSheetId="3">#REF!</definedName>
    <definedName name="XXI" localSheetId="3">#REF!</definedName>
    <definedName name="XXII" localSheetId="3">#REF!</definedName>
    <definedName name="XXIII" localSheetId="3">#REF!</definedName>
    <definedName name="XXIV" localSheetId="3">#REF!</definedName>
    <definedName name="XXV" localSheetId="3">#REF!</definedName>
    <definedName name="XXX" localSheetId="3">#REF!</definedName>
    <definedName name="XXXI" localSheetId="3">#REF!</definedName>
    <definedName name="XXXII" localSheetId="3">#REF!</definedName>
    <definedName name="XXXIII" localSheetId="3">#REF!</definedName>
    <definedName name="XXXIV" localSheetId="3">#REF!</definedName>
    <definedName name="XXXIX" localSheetId="3">#REF!</definedName>
    <definedName name="XXXV" localSheetId="3">#REF!</definedName>
    <definedName name="XXXVI" localSheetId="3">#REF!</definedName>
    <definedName name="XXXVII" localSheetId="3">#REF!</definedName>
    <definedName name="XXXVIII" localSheetId="3">#REF!</definedName>
    <definedName name="xxxx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3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3">#REF!</definedName>
    <definedName name="xxxxxxxxxxxxxx" localSheetId="3">{#N/A,#N/A,FALSE,"Plan1";#N/A,#N/A,FALSE,"Plan2"}</definedName>
    <definedName name="xzfrt" localSheetId="3">{#N/A,#N/A,FALSE,"Plan1";#N/A,#N/A,FALSE,"Plan2"}</definedName>
    <definedName name="yeitrtged" localSheetId="3">{#N/A,#N/A,FALSE,"Plan1";#N/A,#N/A,FALSE,"Plan2"}</definedName>
    <definedName name="yhdfiuygrui" localSheetId="3">{#N/A,#N/A,FALSE,"Plan1";#N/A,#N/A,FALSE,"Plan2"}</definedName>
    <definedName name="YRGUYDRIY" localSheetId="3">{"Econ Consolidado",#N/A,FALSE,"Econ Consol";"Fluxo de Caixa",#N/A,FALSE,"Fluxo Caixa";"Investimentos",#N/A,FALSE,"Investimentos"}</definedName>
    <definedName name="ytdju" localSheetId="3">#REF!</definedName>
    <definedName name="yuegursdmksf" localSheetId="3">{#N/A,#N/A,FALSE,"Plan1";#N/A,#N/A,FALSE,"Plan2"}</definedName>
    <definedName name="yuekl4fr" localSheetId="3">{#N/A,#N/A,FALSE,"Plan1";#N/A,#N/A,FALSE,"Plan2"}</definedName>
    <definedName name="yureytuyrea" localSheetId="3">{#N/A,#N/A,FALSE,"Plan1";#N/A,#N/A,FALSE,"Plan2"}</definedName>
    <definedName name="z" localSheetId="3">{"'Estimativa de Lançamento-JAN'!$A$1:$AI$85"}</definedName>
    <definedName name="Z_15697660_066E_11D5_AF15_00010242ED40_.wvu.PrintArea" localSheetId="3">#REF!</definedName>
    <definedName name="Z_60DF8B29_1C1F_4B50_BDA8_B8E0C7DD04C3_.wvu.Cols" localSheetId="3">#REF!,#REF!</definedName>
    <definedName name="Z_E3FFE9E0_6C4F_4FB4_A56E_FBE96871B5C8_.wvu.Cols" localSheetId="3">#REF!,#REF!</definedName>
    <definedName name="zcdçskld" localSheetId="3">{#N/A,#N/A,FALSE,"Plan1";#N/A,#N/A,FALSE,"Plan2"}</definedName>
    <definedName name="zcsdrfrt" localSheetId="3">{#N/A,#N/A,FALSE,"Plan1";#N/A,#N/A,FALSE,"Plan2"}</definedName>
    <definedName name="ZDRE" localSheetId="3">{#N/A,#N/A,FALSE,"Plan1";#N/A,#N/A,FALSE,"Plan2"}</definedName>
    <definedName name="ZEZE" localSheetId="3">#REF!</definedName>
    <definedName name="ZIN" localSheetId="3">#REF!</definedName>
    <definedName name="ZINS" localSheetId="3">#REF!</definedName>
    <definedName name="ZSADF" localSheetId="3">{#N/A,#N/A,FALSE,"Plan1";#N/A,#N/A,FALSE,"Plan2"}</definedName>
    <definedName name="zsads" localSheetId="3">{#N/A,#N/A,FALSE,"Plan1";#N/A,#N/A,FALSE,"Plan2"}</definedName>
    <definedName name="ZSDFSETR" localSheetId="3">#REF!</definedName>
    <definedName name="zsds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3">{#N/A,#N/A,FALSE,"Plan1";#N/A,#N/A,FALSE,"Plan2"}</definedName>
    <definedName name="zxcdsf" localSheetId="3">#REF!</definedName>
    <definedName name="zxcfdstrrt" localSheetId="3">{#N/A,#N/A,FALSE,"Plan1";#N/A,#N/A,FALSE,"Plan2"}</definedName>
    <definedName name="zxcx" localSheetId="3">{#N/A,#N/A,FALSE,"Plan1";#N/A,#N/A,FALSE,"Plan2"}</definedName>
    <definedName name="ZXFCRF" localSheetId="3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3">{#N/A,#N/A,FALSE,"Plan1";#N/A,#N/A,FALSE,"Plan2"}</definedName>
    <definedName name="ZZ" localSheetId="3">#REF!</definedName>
    <definedName name="zzdftr" localSheetId="3">{#N/A,#N/A,FALSE,"Plan1";#N/A,#N/A,FALSE,"Plan2"}</definedName>
    <definedName name="zzz" localSheetId="3">#REF!</definedName>
    <definedName name="ㄱ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3">{"'장비'!$A$3:$M$12"}</definedName>
    <definedName name="검증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계약고햔황2" localSheetId="3">#REF!</definedName>
    <definedName name="고문" localSheetId="3">{#N/A,#N/A,FALSE,"현장 NCR 분석";#N/A,#N/A,FALSE,"현장품질감사";#N/A,#N/A,FALSE,"현장품질감사"}</definedName>
    <definedName name="고문2" localSheetId="3">{#N/A,#N/A,FALSE,"현장 NCR 분석";#N/A,#N/A,FALSE,"현장품질감사";#N/A,#N/A,FALSE,"현장품질감사"}</definedName>
    <definedName name="공공공표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3">{#N/A,#N/A,FALSE,"ENG'G(보호계전기)"}</definedName>
    <definedName name="공급표표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3">{#N/A,#N/A,FALSE,"CCTV"}</definedName>
    <definedName name="ㄷㄳ" localSheetId="3">{"'장비'!$A$3:$M$12"}</definedName>
    <definedName name="ㄷㄷㄷㄷ" localSheetId="3">{"'장비'!$A$3:$M$12"}</definedName>
    <definedName name="ㄷㅈㅂㄷ" localSheetId="3">{"'장비'!$A$3:$M$12"}</definedName>
    <definedName name="ㄹㄹ" localSheetId="3">{"'장비'!$A$3:$M$12"}</definedName>
    <definedName name="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3">{#N/A,#N/A,FALSE,"현장 NCR 분석";#N/A,#N/A,FALSE,"현장품질감사";#N/A,#N/A,FALSE,"현장품질감사"}</definedName>
    <definedName name="ㅁ" localSheetId="3">{#N/A,#N/A,FALSE,"명세표"}</definedName>
    <definedName name="ㅁ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3">{#N/A,#N/A,FALSE,"명세표"}</definedName>
    <definedName name="ㅁㅁㅁ" localSheetId="3">#REF!</definedName>
    <definedName name="ㅁㅁㅁㅁㅁㅁㅁㅁㅁㅁㅁㅁ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3">{#N/A,#N/A,FALSE,"명세표"}</definedName>
    <definedName name="ㅂㅂㅂㅂ" localSheetId="3">{#N/A,#N/A,FALSE,"명세표"}</definedName>
    <definedName name="ㅂㅂㅂㅂㅂㅂㅂ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3">{"'장비'!$A$3:$M$12"}</definedName>
    <definedName name="ㅂㅈㄷ" localSheetId="3">{"'장비'!$A$3:$M$12"}</definedName>
    <definedName name="ㅂㅈㄷㄷㅂㅈㅈㅂ" localSheetId="3">{"'장비'!$A$3:$M$12"}</definedName>
    <definedName name="ㅂㅈㄷㅂㅈ" localSheetId="3">{"'장비'!$A$3:$M$12"}</definedName>
    <definedName name="ㅂㅈㄷㅂㅈㅈㅂㄷ" localSheetId="3">{"'장비'!$A$3:$M$12"}</definedName>
    <definedName name="ㅂㅈㄷㅈㅂㄷ" localSheetId="3">{"'장비'!$A$3:$M$12"}</definedName>
    <definedName name="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충" localSheetId="3">#REF!</definedName>
    <definedName name="보호" localSheetId="3">{#N/A,#N/A,FALSE,"ENG'G(보호계전기)"}</definedName>
    <definedName name="본공사공정표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3">#REF!</definedName>
    <definedName name="부손익" localSheetId="3">{#N/A,#N/A,FALSE,"현장 NCR 분석";#N/A,#N/A,FALSE,"현장품질감사";#N/A,#N/A,FALSE,"현장품질감사"}</definedName>
    <definedName name="분야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3">{"'장비'!$A$3:$M$12"}</definedName>
    <definedName name="ㅅㅅㅅㅅㅅ" localSheetId="3">{"'장비'!$A$3:$M$12"}</definedName>
    <definedName name="사업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계획수정" localSheetId="3">#REF!</definedName>
    <definedName name="사업관리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부양식2" localSheetId="3">#REF!</definedName>
    <definedName name="새안" localSheetId="3">{#N/A,#N/A,FALSE,"TABLE"}</definedName>
    <definedName name="석항" localSheetId="3">{#N/A,#N/A,FALSE,"명세표"}</definedName>
    <definedName name="설계현황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손익계산서" localSheetId="3">#REF!</definedName>
    <definedName name="쇼ㅗㅎ로" localSheetId="3">{"'장비'!$A$3:$M$12"}</definedName>
    <definedName name="신설" localSheetId="3">{#N/A,#N/A,FALSE,"명세표"}</definedName>
    <definedName name="실적총괄1" localSheetId="3">#REF!</definedName>
    <definedName name="ㅇㅇ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월" localSheetId="3">#REF!</definedName>
    <definedName name="이이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3">{#N/A,#N/A,FALSE,"명세표"}</definedName>
    <definedName name="ㅈㅈㅈㅈ" localSheetId="3">{#N/A,#N/A,FALSE,"명세표"}</definedName>
    <definedName name="자미" localSheetId="3">{#N/A,#N/A,FALSE,"명세표"}</definedName>
    <definedName name="자운" localSheetId="3">#REF!</definedName>
    <definedName name="자재3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계장금액" localSheetId="3">#REF!</definedName>
    <definedName name="전기사양_SAMPLE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3">#REF!</definedName>
    <definedName name="조직표현장" localSheetId="3">#REF!</definedName>
    <definedName name="종합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3">{#N/A,#N/A,FALSE,"ENG'G(보호계전기)"}</definedName>
    <definedName name="집계" localSheetId="3">{#N/A,#N/A,FALSE,"명세표"}</definedName>
    <definedName name="철골공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3">{#N/A,#N/A,FALSE,"명세표"}</definedName>
    <definedName name="ㅋㅋㅋ" localSheetId="3">{#N/A,#N/A,FALSE,"명세표"}</definedName>
    <definedName name="ㅌㅌ" localSheetId="3">{#N/A,#N/A,FALSE,"명세표"}</definedName>
    <definedName name="토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3">{"'장비'!$A$3:$M$12"}</definedName>
    <definedName name="하하하" localSheetId="3">{#N/A,#N/A,FALSE,"명세표"}</definedName>
    <definedName name="한국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3">{#N/A,#N/A,FALSE,"명세표"}</definedName>
    <definedName name="ㅏㅏㅏ" localSheetId="3">{#N/A,#N/A,FALSE,"명세표"}</definedName>
    <definedName name="ㅔㅔ" localSheetId="3">{#N/A,#N/A,FALSE,"명세표"}</definedName>
    <definedName name="ㅔㅔㅔㅔㅔ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3">{"'장비'!$A$3:$M$12"}</definedName>
    <definedName name="ㅗㅗ" localSheetId="3">{#N/A,#N/A,FALSE,"명세표"}</definedName>
    <definedName name="ㅗㅗㅗㅗㅗ" localSheetId="3">{"'장비'!$A$3:$M$12"}</definedName>
    <definedName name="ㅛ" localSheetId="3">{"'장비'!$A$3:$M$12"}</definedName>
    <definedName name="ㅛㅕㅛㅕㅛ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3">{"'장비'!$A$3:$M$12"}</definedName>
    <definedName name="ㅜ" localSheetId="3">{#N/A,#N/A,FALSE,"명세표"}</definedName>
    <definedName name="ㅠㅠ" localSheetId="3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3">{#N/A,#N/A,FALSE,"명세표"}</definedName>
    <definedName name="_xlnm._FilterDatabase" localSheetId="3" hidden="1">'Ger_Executivo_Manual'!$F$7:$P$1882</definedName>
    <definedName name="\xasd" localSheetId="7" hidden="1">{#N/A,#N/A,FALSE,"Plan1";#N/A,#N/A,FALSE,"Plan2"}</definedName>
    <definedName name="_\xasd" localSheetId="7" hidden="1">{#N/A,#N/A,FALSE,"Plan1";#N/A,#N/A,FALSE,"Plan2"}</definedName>
    <definedName name="_______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7">{"'장비'!$A$3:$M$12"}</definedName>
    <definedName name="____PKG3" localSheetId="7">{"'장비'!$A$3:$M$12"}</definedName>
    <definedName name="____qqq222" localSheetId="7">{"'장비'!$A$3:$M$12"}</definedName>
    <definedName name="_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7">{"'장비'!$A$3:$M$12"}</definedName>
    <definedName name="___PKG3" localSheetId="7">{"'장비'!$A$3:$M$12"}</definedName>
    <definedName name="___qqq222" localSheetId="7">{"'장비'!$A$3:$M$12"}</definedName>
    <definedName name="_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7">{"'장비'!$A$3:$M$12"}</definedName>
    <definedName name="__PKG3" localSheetId="7">{"'장비'!$A$3:$M$12"}</definedName>
    <definedName name="__qqq222" localSheetId="7">{"'장비'!$A$3:$M$12"}</definedName>
    <definedName name="_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7">{#N/A,#N/A,FALSE,"Plan1";#N/A,#N/A,FALSE,"Plan2"}</definedName>
    <definedName name="_new11" localSheetId="7">{#N/A,#N/A,FALSE,"Global by BU";#N/A,#N/A,FALSE,"U.S. by BU";#N/A,#N/A,FALSE,"Canada by BU";#N/A,#N/A,FALSE,"Europe by BU";#N/A,#N/A,FALSE,"Asia by BU";#N/A,#N/A,FALSE,"Cala by BU"}</definedName>
    <definedName name="_PK2" localSheetId="7">{"'장비'!$A$3:$M$12"}</definedName>
    <definedName name="_PKG3" localSheetId="7">{"'장비'!$A$3:$M$12"}</definedName>
    <definedName name="_qqq222" localSheetId="7">{"'장비'!$A$3:$M$12"}</definedName>
    <definedName name="_r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7">{#N/A,#N/A,FALSE,"Plan1";#N/A,#N/A,FALSE,"Plan2"}</definedName>
    <definedName name="_wrn.pendencias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\sgt" localSheetId="7" hidden="1">{#N/A,#N/A,FALSE,"Plan1";#N/A,#N/A,FALSE,"Plan2"}</definedName>
    <definedName name="AAAA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7">{#N/A,#N/A,FALSE,"Plan1";#N/A,#N/A,FALSE,"Plan2"}</definedName>
    <definedName name="abc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7">{#N/A,#N/A,FALSE,"Plan1";#N/A,#N/A,FALSE,"Plan2"}</definedName>
    <definedName name="ad" localSheetId="7">{#N/A,#N/A,FALSE,"Plan1";#N/A,#N/A,FALSE,"Plan2"}</definedName>
    <definedName name="adads" localSheetId="7">{#N/A,#N/A,FALSE,"Plan1";#N/A,#N/A,FALSE,"Plan2"}</definedName>
    <definedName name="adads2" localSheetId="7">{#N/A,#N/A,FALSE,"Plan1";#N/A,#N/A,FALSE,"Plan2"}</definedName>
    <definedName name="adced" localSheetId="7">{#N/A,#N/A,FALSE,"Plan1";#N/A,#N/A,FALSE,"Plan2"}</definedName>
    <definedName name="adced2" localSheetId="7">{#N/A,#N/A,FALSE,"Plan1";#N/A,#N/A,FALSE,"Plan2"}</definedName>
    <definedName name="ader" localSheetId="7">{#N/A,#N/A,FALSE,"Plan1";#N/A,#N/A,FALSE,"Plan2"}</definedName>
    <definedName name="ader2" localSheetId="7">{#N/A,#N/A,FALSE,"Plan1";#N/A,#N/A,FALSE,"Plan2"}</definedName>
    <definedName name="adesr" localSheetId="7">{#N/A,#N/A,FALSE,"Plan1";#N/A,#N/A,FALSE,"Plan2"}</definedName>
    <definedName name="adewr" localSheetId="7">{#N/A,#N/A,FALSE,"Plan1";#N/A,#N/A,FALSE,"Plan2"}</definedName>
    <definedName name="adf" localSheetId="7">{#N/A,#N/A,FALSE,"Plan1";#N/A,#N/A,FALSE,"Plan2"}</definedName>
    <definedName name="adsfr" localSheetId="7">{#N/A,#N/A,FALSE,"Plan1";#N/A,#N/A,FALSE,"Plan2"}</definedName>
    <definedName name="adssrgtg" localSheetId="7">{#N/A,#N/A,FALSE,"Plan1";#N/A,#N/A,FALSE,"Plan2"}</definedName>
    <definedName name="adtsetrr6t" localSheetId="7">{#N/A,#N/A,FALSE,"Plan1";#N/A,#N/A,FALSE,"Plan2"}</definedName>
    <definedName name="adwr" localSheetId="7">{#N/A,#N/A,FALSE,"Plan1";#N/A,#N/A,FALSE,"Plan2"}</definedName>
    <definedName name="aeiresft" localSheetId="7">{#N/A,#N/A,FALSE,"Plan1";#N/A,#N/A,FALSE,"Plan2"}</definedName>
    <definedName name="aEL3QE" localSheetId="7">{#N/A,#N/A,FALSE,"Plan1";#N/A,#N/A,FALSE,"Plan2"}</definedName>
    <definedName name="afeasfre" localSheetId="7">{#N/A,#N/A,FALSE,"Plan1";#N/A,#N/A,FALSE,"Plan2"}</definedName>
    <definedName name="agua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7">{#N/A,#N/A,FALSE,"CCTV"}</definedName>
    <definedName name="AQE" localSheetId="7">{"'장비'!$A$3:$M$12"}</definedName>
    <definedName name="ArComprimido" localSheetId="7">{"'Estimativa de Lançamento-JAN'!$A$1:$AI$85"}</definedName>
    <definedName name="area" localSheetId="7">{#N/A,#N/A,FALSE,"Plan1";#N/A,#N/A,FALSE,"Plan2"}</definedName>
    <definedName name="asawe3" localSheetId="7">{#N/A,#N/A,FALSE,"Plan1";#N/A,#N/A,FALSE,"Plan2"}</definedName>
    <definedName name="ASDA" localSheetId="7">{#N/A,#N/A,FALSE,"Plan1";#N/A,#N/A,FALSE,"Plan2"}</definedName>
    <definedName name="asdade" localSheetId="7">{#N/A,#N/A,FALSE,"Plan1";#N/A,#N/A,FALSE,"Plan2"}</definedName>
    <definedName name="asdas" localSheetId="7">{#N/A,#N/A,FALSE,"Plan1";#N/A,#N/A,FALSE,"Plan2"}</definedName>
    <definedName name="asdawed" localSheetId="7">{#N/A,#N/A,FALSE,"Plan1";#N/A,#N/A,FALSE,"Plan2"}</definedName>
    <definedName name="ASDER" localSheetId="7">{#N/A,#N/A,FALSE,"Plan1";#N/A,#N/A,FALSE,"Plan2"}</definedName>
    <definedName name="asderr" localSheetId="7">{#N/A,#N/A,FALSE,"Plan1";#N/A,#N/A,FALSE,"Plan2"}</definedName>
    <definedName name="asdesre" localSheetId="7">{#N/A,#N/A,FALSE,"Plan1";#N/A,#N/A,FALSE,"Plan2"}</definedName>
    <definedName name="asdewr" localSheetId="7">{#N/A,#N/A,FALSE,"Plan1";#N/A,#N/A,FALSE,"Plan2"}</definedName>
    <definedName name="ASDFASDFA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7">{#N/A,#N/A,FALSE,"Plan1";#N/A,#N/A,FALSE,"Plan2"}</definedName>
    <definedName name="asdg" localSheetId="7">{#N/A,#N/A,FALSE,"Plan1";#N/A,#N/A,FALSE,"Plan2"}</definedName>
    <definedName name="asdke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7">{#N/A,#N/A,FALSE,"Plan1";#N/A,#N/A,FALSE,"Plan2"}</definedName>
    <definedName name="asdqwe" localSheetId="7">{#N/A,#N/A,FALSE,"Plan1";#N/A,#N/A,FALSE,"Plan2"}</definedName>
    <definedName name="asdsa" localSheetId="7">{#N/A,#N/A,FALSE,"Plan1";#N/A,#N/A,FALSE,"Plan2"}</definedName>
    <definedName name="asdser" localSheetId="7">{#N/A,#N/A,FALSE,"Plan1";#N/A,#N/A,FALSE,"Plan2"}</definedName>
    <definedName name="asdwef" localSheetId="7">{#N/A,#N/A,FALSE,"Plan1";#N/A,#N/A,FALSE,"Plan2"}</definedName>
    <definedName name="ASET" localSheetId="7">{#N/A,#N/A,FALSE,"Plan1";#N/A,#N/A,FALSE,"Plan2"}</definedName>
    <definedName name="asfDSF" localSheetId="7">{#N/A,#N/A,FALSE,"Plan1";#N/A,#N/A,FALSE,"Plan2"}</definedName>
    <definedName name="ASFERTE" localSheetId="7">{#N/A,#N/A,FALSE,"Plan1";#N/A,#N/A,FALSE,"Plan2"}</definedName>
    <definedName name="asfl" localSheetId="7">{#N/A,#N/A,FALSE,"Plan1";#N/A,#N/A,FALSE,"Plan2"}</definedName>
    <definedName name="asfsz" localSheetId="7">{#N/A,#N/A,FALSE,"Plan1";#N/A,#N/A,FALSE,"Plan2"}</definedName>
    <definedName name="askserf" localSheetId="7">{#N/A,#N/A,FALSE,"Plan1";#N/A,#N/A,FALSE,"Plan2"}</definedName>
    <definedName name="ASSFSDF" localSheetId="7">{#N/A,#N/A,FALSE,"Plan1";#N/A,#N/A,FALSE,"Plan2"}</definedName>
    <definedName name="asw" localSheetId="7">{#N/A,#N/A,FALSE,"Plan1";#N/A,#N/A,FALSE,"Plan2"}</definedName>
    <definedName name="ATIVOS" localSheetId="7">{#N/A,#N/A,FALSE,"F-01"}</definedName>
    <definedName name="awdjw" localSheetId="7">{#N/A,#N/A,FALSE,"Plan1";#N/A,#N/A,FALSE,"Plan2"}</definedName>
    <definedName name="aweqw4" localSheetId="7">{#N/A,#N/A,FALSE,"Plan1";#N/A,#N/A,FALSE,"Plan2"}</definedName>
    <definedName name="awssdwaer" localSheetId="7">{#N/A,#N/A,FALSE,"Plan1";#N/A,#N/A,FALSE,"Plan2"}</definedName>
    <definedName name="bbbbbbbbbbbbbbb" localSheetId="7">{"'Edit'!$A$1:$V$2277"}</definedName>
    <definedName name="bdfjghf" localSheetId="7">{#N/A,#N/A,FALSE,"Plan1";#N/A,#N/A,FALSE,"Plan2"}</definedName>
    <definedName name="bdzbfbdr" localSheetId="7">{#N/A,#N/A,FALSE,"Plan1";#N/A,#N/A,FALSE,"Plan2"}</definedName>
    <definedName name="BGG" localSheetId="7">{#N/A,#N/A,FALSE,"Plan1";#N/A,#N/A,FALSE,"Plan2"}</definedName>
    <definedName name="bhjgfhfh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7">{#N/A,#N/A,FALSE,"Plan1";#N/A,#N/A,FALSE,"Plan2"}</definedName>
    <definedName name="bmdgghrtfde" localSheetId="7">{#N/A,#N/A,FALSE,"Plan1";#N/A,#N/A,FALSE,"Plan2"}</definedName>
    <definedName name="bnkjhjhdfxgt" localSheetId="7">{#N/A,#N/A,FALSE,"Plan1";#N/A,#N/A,FALSE,"Plan2"}</definedName>
    <definedName name="bxnzfmkzxbhdf" localSheetId="7">{#N/A,#N/A,FALSE,"Plan1";#N/A,#N/A,FALSE,"Plan2"}</definedName>
    <definedName name="caixas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çaos\ewapo" localSheetId="7" hidden="1">{#N/A,#N/A,FALSE,"Plan1";#N/A,#N/A,FALSE,"Plan2"}</definedName>
    <definedName name="CAT6_IP" localSheetId="7">{#N/A,#N/A,FALSE,"F-01"}</definedName>
    <definedName name="ççç" localSheetId="7">{#N/A,#N/A,FALSE,"Plan1";#N/A,#N/A,FALSE,"Plan2"}</definedName>
    <definedName name="cccc" localSheetId="7">{#N/A,#N/A,FALSE,"Plan1";#N/A,#N/A,FALSE,"Plan2"}</definedName>
    <definedName name="ççççççç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7">{"HW",#N/A,FALSE,"1998"}</definedName>
    <definedName name="çcklfjk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7">{#N/A,#N/A,FALSE,"Plan1";#N/A,#N/A,FALSE,"Plan2"}</definedName>
    <definedName name="CDSGHE" localSheetId="7">{#N/A,#N/A,FALSE,"Plan1";#N/A,#N/A,FALSE,"Plan2"}</definedName>
    <definedName name="çfhjglkjhkljyh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7">{#N/A,#N/A,FALSE,"Plan1";#N/A,#N/A,FALSE,"Plan2"}</definedName>
    <definedName name="chfch" localSheetId="7">{#N/A,#N/A,FALSE,"Plan1";#N/A,#N/A,FALSE,"Plan2"}</definedName>
    <definedName name="ÇJKRÇLFS" localSheetId="7">{"Econ Consolidado",#N/A,FALSE,"Econ Consol";"Fluxo de Caixa",#N/A,FALSE,"Fluxo Caixa";"Investimentos",#N/A,FALSE,"Investimentos"}</definedName>
    <definedName name="ÇJsrejtçe" localSheetId="7">{#N/A,#N/A,FALSE,"Plan1";#N/A,#N/A,FALSE,"Plan2"}</definedName>
    <definedName name="çkaçekow" localSheetId="7">{#N/A,#N/A,FALSE,"Plan1";#N/A,#N/A,FALSE,"Plan2"}</definedName>
    <definedName name="ÇKSDOEKR" localSheetId="7">{#N/A,#N/A,FALSE,"Plan1";#N/A,#N/A,FALSE,"Plan2"}</definedName>
    <definedName name="çl" localSheetId="7">{#N/A,#N/A,FALSE,"Plan1";#N/A,#N/A,FALSE,"Plan2"}</definedName>
    <definedName name="çlassde" localSheetId="7">{#N/A,#N/A,FALSE,"Plan1";#N/A,#N/A,FALSE,"Plan2"}</definedName>
    <definedName name="çlçlç" localSheetId="7">{#N/A,#N/A,FALSE,"Plan1";#N/A,#N/A,FALSE,"Plan2"}</definedName>
    <definedName name="çld" localSheetId="7">{#N/A,#N/A,FALSE,"Plan1";#N/A,#N/A,FALSE,"Plan2"}</definedName>
    <definedName name="çlererr" localSheetId="7">{#N/A,#N/A,FALSE,"Plan1";#N/A,#N/A,FALSE,"Plan2"}</definedName>
    <definedName name="çlertert" localSheetId="7">{#N/A,#N/A,FALSE,"Plan1";#N/A,#N/A,FALSE,"Plan2"}</definedName>
    <definedName name="çll" localSheetId="7">{#N/A,#N/A,FALSE,"Plan1";#N/A,#N/A,FALSE,"Plan2"}</definedName>
    <definedName name="CMC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7">{#N/A,#N/A,TRUE,"Quinzena 01 à 15-04-98 "}</definedName>
    <definedName name="cont" localSheetId="7">{#N/A,#N/A,FALSE,"Plan1";#N/A,#N/A,FALSE,"Plan2"}</definedName>
    <definedName name="Controle_Tecnologico" localSheetId="7">{#N/A,#N/A,FALSE,"Plan1";#N/A,#N/A,FALSE,"Plan2"}</definedName>
    <definedName name="ÇSAÇDFW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7">{#N/A,#N/A,FALSE,"Plan1";#N/A,#N/A,FALSE,"Plan2"}</definedName>
    <definedName name="CTH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lmo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7">{#N/A,#N/A,FALSE,"Plan1";#N/A,#N/A,FALSE,"Plan2"}</definedName>
    <definedName name="DÇDL" localSheetId="7">{#N/A,#N/A,FALSE,"Plan1";#N/A,#N/A,FALSE,"Plan2"}</definedName>
    <definedName name="dcnsfgdjkgb" localSheetId="7">{#N/A,#N/A,FALSE,"Plan1";#N/A,#N/A,FALSE,"Plan2"}</definedName>
    <definedName name="DÇWK" localSheetId="7">{#N/A,#N/A,FALSE,"Plan1";#N/A,#N/A,FALSE,"Plan2"}</definedName>
    <definedName name="DD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dd" localSheetId="7">{#N/A,#N/A,FALSE,"Plan1";#N/A,#N/A,FALSE,"Plan2"}</definedName>
    <definedName name="dde" localSheetId="7">{#N/A,#N/A,FALSE,"Plan1";#N/A,#N/A,FALSE,"Plan2"}</definedName>
    <definedName name="ddgfdvgd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7">{#N/A,#N/A,FALSE,"Plan1";#N/A,#N/A,FALSE,"Plan2"}</definedName>
    <definedName name="dede" localSheetId="7">{#N/A,#N/A,FALSE,"Plan1";#N/A,#N/A,FALSE,"Plan2"}</definedName>
    <definedName name="des" localSheetId="7">{#N/A,#N/A,FALSE,"Plan1";#N/A,#N/A,FALSE,"Plan2"}</definedName>
    <definedName name="desc" localSheetId="7">{#N/A,#N/A,FALSE,"Plan1";#N/A,#N/A,FALSE,"Plan2"}</definedName>
    <definedName name="d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7">{#N/A,#N/A,FALSE,"명세표"}</definedName>
    <definedName name="dfdfty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7">{#N/A,#N/A,FALSE,"Plan1";#N/A,#N/A,FALSE,"Plan2"}</definedName>
    <definedName name="dfdrtrr" localSheetId="7">{#N/A,#N/A,FALSE,"Plan1";#N/A,#N/A,FALSE,"Plan2"}</definedName>
    <definedName name="DFDSG" localSheetId="7">{#N/A,#N/A,FALSE,"Plan1";#N/A,#N/A,FALSE,"Plan2"}</definedName>
    <definedName name="dfer" localSheetId="7">{#N/A,#N/A,FALSE,"Plan1";#N/A,#N/A,FALSE,"Plan2"}</definedName>
    <definedName name="dffbty" localSheetId="7">{#N/A,#N/A,FALSE,"Plan1";#N/A,#N/A,FALSE,"Plan2"}</definedName>
    <definedName name="dffgk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7">{#N/A,#N/A,FALSE,"Plan1";#N/A,#N/A,FALSE,"Plan2"}</definedName>
    <definedName name="dfg" localSheetId="7">{#N/A,#N/A,FALSE,"Plan1";#N/A,#N/A,FALSE,"Plan2"}</definedName>
    <definedName name="dfgdf" localSheetId="7">{#N/A,#N/A,FALSE,"Plan1";#N/A,#N/A,FALSE,"Plan2"}</definedName>
    <definedName name="dfgdytygr" localSheetId="7">{#N/A,#N/A,FALSE,"Plan1";#N/A,#N/A,FALSE,"Plan2"}</definedName>
    <definedName name="dfgftrrdt5" localSheetId="7">{#N/A,#N/A,FALSE,"Plan1";#N/A,#N/A,FALSE,"Plan2"}</definedName>
    <definedName name="dfghjfhsg" localSheetId="7">{#N/A,#N/A,FALSE,"Plan1";#N/A,#N/A,FALSE,"Plan2"}</definedName>
    <definedName name="dfgj" localSheetId="7">{#N/A,#N/A,FALSE,"Plan1";#N/A,#N/A,FALSE,"Plan2"}</definedName>
    <definedName name="dfgjfttyd" localSheetId="7">{#N/A,#N/A,FALSE,"Plan1";#N/A,#N/A,FALSE,"Plan2"}</definedName>
    <definedName name="dfgjjtdrtg" localSheetId="7">{#N/A,#N/A,FALSE,"Plan1";#N/A,#N/A,FALSE,"Plan2"}</definedName>
    <definedName name="dfgt" localSheetId="7">{#N/A,#N/A,FALSE,"Plan1";#N/A,#N/A,FALSE,"Plan2"}</definedName>
    <definedName name="dfgtrkjhk" localSheetId="7">{#N/A,#N/A,FALSE,"Plan1";#N/A,#N/A,FALSE,"Plan2"}</definedName>
    <definedName name="dfgty" localSheetId="7">{#N/A,#N/A,FALSE,"Plan1";#N/A,#N/A,FALSE,"Plan2"}</definedName>
    <definedName name="dfhdgfdgf" localSheetId="7">{#N/A,#N/A,FALSE,"Plan1";#N/A,#N/A,FALSE,"Plan2"}</definedName>
    <definedName name="DFHDJGJFHJGF" localSheetId="7">{#N/A,#N/A,FALSE,"Plan1";#N/A,#N/A,FALSE,"Plan2"}</definedName>
    <definedName name="dfhdyg" localSheetId="7">{#N/A,#N/A,FALSE,"Plan1";#N/A,#N/A,FALSE,"Plan2"}</definedName>
    <definedName name="DFHGDHUR" localSheetId="7">{#N/A,#N/A,FALSE,"Plan1";#N/A,#N/A,FALSE,"Plan2"}</definedName>
    <definedName name="dfhgjfgdhfjdrf" localSheetId="7">{#N/A,#N/A,FALSE,"Plan1";#N/A,#N/A,FALSE,"Plan2"}</definedName>
    <definedName name="dfhgkhfut" localSheetId="7">{#N/A,#N/A,FALSE,"Plan1";#N/A,#N/A,FALSE,"Plan2"}</definedName>
    <definedName name="dfhguitrhfg" localSheetId="7">{#N/A,#N/A,FALSE,"Plan1";#N/A,#N/A,FALSE,"Plan2"}</definedName>
    <definedName name="DFHKHDGKJHDKS" localSheetId="7">{#N/A,#N/A,FALSE,"Plan1";#N/A,#N/A,FALSE,"Plan2"}</definedName>
    <definedName name="dfjgjfhykj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7">{#N/A,#N/A,FALSE,"Plan1";#N/A,#N/A,FALSE,"Plan2"}</definedName>
    <definedName name="dfkhgfg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7">{#N/A,#N/A,FALSE,"Plan1";#N/A,#N/A,FALSE,"Plan2"}</definedName>
    <definedName name="dfnert" localSheetId="7">{#N/A,#N/A,FALSE,"Plan1";#N/A,#N/A,FALSE,"Plan2"}</definedName>
    <definedName name="dfrt" localSheetId="7">{#N/A,#N/A,FALSE,"Plan1";#N/A,#N/A,FALSE,"Plan2"}</definedName>
    <definedName name="dfsdr5tt" localSheetId="7">{#N/A,#N/A,FALSE,"Plan1";#N/A,#N/A,FALSE,"Plan2"}</definedName>
    <definedName name="dfsd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7">{#N/A,#N/A,FALSE,"Plan1";#N/A,#N/A,FALSE,"Plan2"}</definedName>
    <definedName name="dfsf" localSheetId="7">{#N/A,#N/A,FALSE,"Plan1";#N/A,#N/A,FALSE,"Plan2"}</definedName>
    <definedName name="DFT" localSheetId="7">{#N/A,#N/A,FALSE,"Plan1";#N/A,#N/A,FALSE,"Plan2"}</definedName>
    <definedName name="DFTRTTY" localSheetId="7">{#N/A,#N/A,FALSE,"Plan1";#N/A,#N/A,FALSE,"Plan2"}</definedName>
    <definedName name="dfurghifdjyhits" localSheetId="7">{#N/A,#N/A,FALSE,"Plan1";#N/A,#N/A,FALSE,"Plan2"}</definedName>
    <definedName name="dfxgdrged" localSheetId="7">{#N/A,#N/A,FALSE,"Plan1";#N/A,#N/A,FALSE,"Plan2"}</definedName>
    <definedName name="dgfrtyt" localSheetId="7">{#N/A,#N/A,FALSE,"Plan1";#N/A,#N/A,FALSE,"Plan2"}</definedName>
    <definedName name="dggfdg" localSheetId="7">{#N/A,#N/A,FALSE,"Plan1";#N/A,#N/A,FALSE,"Plan2"}</definedName>
    <definedName name="dgldfhgkljslh" localSheetId="7">{#N/A,#N/A,FALSE,"Plan1";#N/A,#N/A,FALSE,"Plan2"}</definedName>
    <definedName name="dhfgdhrehrwe" localSheetId="7">{#N/A,#N/A,FALSE,"Plan1";#N/A,#N/A,FALSE,"Plan2"}</definedName>
    <definedName name="dhgfdgrfgdfgd" localSheetId="7">{#N/A,#N/A,FALSE,"Plan1";#N/A,#N/A,FALSE,"Plan2"}</definedName>
    <definedName name="dhkjfhdhfjdh" localSheetId="7">{#N/A,#N/A,FALSE,"Plan1";#N/A,#N/A,FALSE,"Plan2"}</definedName>
    <definedName name="DHTJRT" localSheetId="7">{#N/A,#N/A,FALSE,"Plan1";#N/A,#N/A,FALSE,"Plan2"}</definedName>
    <definedName name="dijghdhks" localSheetId="7">{#N/A,#N/A,FALSE,"Plan1";#N/A,#N/A,FALSE,"Plan2"}</definedName>
    <definedName name="djasdrjas" localSheetId="7">{#N/A,#N/A,FALSE,"Plan1";#N/A,#N/A,FALSE,"Plan2"}</definedName>
    <definedName name="dj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7">{#N/A,#N/A,FALSE,"Plan1";#N/A,#N/A,FALSE,"Plan2"}</definedName>
    <definedName name="djfkhsdkjhf" localSheetId="7">{#N/A,#N/A,FALSE,"Plan1";#N/A,#N/A,FALSE,"Plan2"}</definedName>
    <definedName name="djfldjsgljslkjtg" localSheetId="7">{#N/A,#N/A,FALSE,"Plan1";#N/A,#N/A,FALSE,"Plan2"}</definedName>
    <definedName name="djflkdjgdth" localSheetId="7">{#N/A,#N/A,FALSE,"Plan1";#N/A,#N/A,FALSE,"Plan2"}</definedName>
    <definedName name="DJFLKDJGKTJYJT" localSheetId="7">{#N/A,#N/A,FALSE,"Plan1";#N/A,#N/A,FALSE,"Plan2"}</definedName>
    <definedName name="djgkfjgtiyty" localSheetId="7">{#N/A,#N/A,FALSE,"Plan1";#N/A,#N/A,FALSE,"Plan2"}</definedName>
    <definedName name="djrkehrjfhng" localSheetId="7">{#N/A,#N/A,FALSE,"Plan1";#N/A,#N/A,FALSE,"Plan2"}</definedName>
    <definedName name="djtkjldfr" localSheetId="7">{#N/A,#N/A,FALSE,"Plan1";#N/A,#N/A,FALSE,"Plan2"}</definedName>
    <definedName name="DJXDLFGDFG" localSheetId="7">{#N/A,#N/A,FALSE,"Plan1";#N/A,#N/A,FALSE,"Plan2"}</definedName>
    <definedName name="dkdkdkdkd" localSheetId="7">{#N/A,#N/A,FALSE,"명세표"}</definedName>
    <definedName name="dkfhskgf" localSheetId="7">{#N/A,#N/A,FALSE,"Plan1";#N/A,#N/A,FALSE,"Plan2"}</definedName>
    <definedName name="dkjfk" localSheetId="7">{#N/A,#N/A,FALSE,"Plan1";#N/A,#N/A,FALSE,"Plan2"}</definedName>
    <definedName name="DKLD" localSheetId="7">{#N/A,#N/A,FALSE,"Plan1";#N/A,#N/A,FALSE,"Plan2"}</definedName>
    <definedName name="DKLFJDKFD" localSheetId="7">{#N/A,#N/A,FALSE,"Plan1";#N/A,#N/A,FALSE,"Plan2"}</definedName>
    <definedName name="dklfjgirtgid" localSheetId="7">{#N/A,#N/A,FALSE,"Plan1";#N/A,#N/A,FALSE,"Plan2"}</definedName>
    <definedName name="dklfm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7">{#N/A,#N/A,FALSE,"Plan1";#N/A,#N/A,FALSE,"Plan2"}</definedName>
    <definedName name="DNFJKDHTKRE" localSheetId="7">{#N/A,#N/A,FALSE,"Plan1";#N/A,#N/A,FALSE,"Plan2"}</definedName>
    <definedName name="dng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wr" localSheetId="7">{#N/A,#N/A,FALSE,"Plan1";#N/A,#N/A,FALSE,"Plan2"}</definedName>
    <definedName name="DRRJR" localSheetId="7">{#N/A,#N/A,FALSE,"Plan1";#N/A,#N/A,FALSE,"Plan2"}</definedName>
    <definedName name="drtrt" localSheetId="7">{"'Estimativa de Lançamento-JAN'!$A$1:$AI$85"}</definedName>
    <definedName name="dsdrf" localSheetId="7">{#N/A,#N/A,FALSE,"Plan1";#N/A,#N/A,FALSE,"Plan2"}</definedName>
    <definedName name="dsfdf" localSheetId="7">{#N/A,#N/A,FALSE,"Plan1";#N/A,#N/A,FALSE,"Plan2"}</definedName>
    <definedName name="dsfg" localSheetId="7">{#N/A,#N/A,FALSE,"Plan1";#N/A,#N/A,FALSE,"Plan2"}</definedName>
    <definedName name="DSFKDSKH" localSheetId="7">{#N/A,#N/A,FALSE,"Plan1";#N/A,#N/A,FALSE,"Plan2"}</definedName>
    <definedName name="DSFR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7">{#N/A,#N/A,FALSE,"Plan1";#N/A,#N/A,FALSE,"Plan2"}</definedName>
    <definedName name="DSFSAD" localSheetId="7">{#N/A,#N/A,FALSE,"Plan1";#N/A,#N/A,FALSE,"Plan2"}</definedName>
    <definedName name="dsfsdf" localSheetId="7">{#N/A,#N/A,FALSE,"Plan1";#N/A,#N/A,FALSE,"Plan2"}</definedName>
    <definedName name="dsfsdgfb" localSheetId="7">{#N/A,#N/A,FALSE,"Plan1";#N/A,#N/A,FALSE,"Plan2"}</definedName>
    <definedName name="dsgfr" localSheetId="7">{#N/A,#N/A,FALSE,"Plan1";#N/A,#N/A,FALSE,"Plan2"}</definedName>
    <definedName name="dshfkhkrhesru" localSheetId="7">{#N/A,#N/A,FALSE,"Plan1";#N/A,#N/A,FALSE,"Plan2"}</definedName>
    <definedName name="dsjkthkr" localSheetId="7">{#N/A,#N/A,FALSE,"Plan1";#N/A,#N/A,FALSE,"Plan2"}</definedName>
    <definedName name="DSLFJSLFJ" localSheetId="7">{#N/A,#N/A,FALSE,"Plan1";#N/A,#N/A,FALSE,"Plan2"}</definedName>
    <definedName name="dsrff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7">{#N/A,#N/A,FALSE,"Plan1";#N/A,#N/A,FALSE,"Plan2"}</definedName>
    <definedName name="dtgsrytt" localSheetId="7">{#N/A,#N/A,FALSE,"Plan1";#N/A,#N/A,FALSE,"Plan2"}</definedName>
    <definedName name="dtrjkhtrgkfh" localSheetId="7">{#N/A,#N/A,FALSE,"Plan1";#N/A,#N/A,FALSE,"Plan2"}</definedName>
    <definedName name="dttjuk" localSheetId="7">{#N/A,#N/A,FALSE,"Plan1";#N/A,#N/A,FALSE,"Plan2"}</definedName>
    <definedName name="dvtry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7">{#N/A,#N/A,FALSE,"Plan1";#N/A,#N/A,FALSE,"Plan2"}</definedName>
    <definedName name="DY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7">{#N/A,#N/A,FALSE,"Plan1";#N/A,#N/A,FALSE,"Plan2"}</definedName>
    <definedName name="dzdfr" localSheetId="7">{#N/A,#N/A,FALSE,"Plan1";#N/A,#N/A,FALSE,"Plan2"}</definedName>
    <definedName name="e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C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7">{#N/A,#N/A,FALSE,"F-01"}</definedName>
    <definedName name="ECEW_1" localSheetId="7">{#N/A,#N/A,FALSE,"F-01"}</definedName>
    <definedName name="ECS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7">{#N/A,#N/A,FALSE,"Plan1";#N/A,#N/A,FALSE,"Plan2"}</definedName>
    <definedName name="eee" localSheetId="7">{#N/A,#N/A,FALSE,"ET-CAPA";#N/A,#N/A,FALSE,"ET-PAG1";#N/A,#N/A,FALSE,"ET-PAG2";#N/A,#N/A,FALSE,"ET-PAG3";#N/A,#N/A,FALSE,"ET-PAG4";#N/A,#N/A,FALSE,"ET-PAG5"}</definedName>
    <definedName name="efestfr" localSheetId="7">{#N/A,#N/A,FALSE,"Plan1";#N/A,#N/A,FALSE,"Plan2"}</definedName>
    <definedName name="efrdrt" localSheetId="7">{#N/A,#N/A,FALSE,"Plan1";#N/A,#N/A,FALSE,"Plan2"}</definedName>
    <definedName name="efrg" localSheetId="7">{#N/A,#N/A,FALSE,"Plan1";#N/A,#N/A,FALSE,"Plan2"}</definedName>
    <definedName name="efsgfr" localSheetId="7">{#N/A,#N/A,FALSE,"Plan1";#N/A,#N/A,FALSE,"Plan2"}</definedName>
    <definedName name="ER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7">{#N/A,#N/A,FALSE,"Plan1";#N/A,#N/A,FALSE,"Plan2"}</definedName>
    <definedName name="ESGFDSFD" localSheetId="7">{#N/A,#N/A,FALSE,"Plan1";#N/A,#N/A,FALSE,"Plan2"}</definedName>
    <definedName name="EU" localSheetId="7">{#N/A,#N/A,FALSE,"Plan1";#N/A,#N/A,FALSE,"Plan2"}</definedName>
    <definedName name="EVL" localSheetId="7">{"Econ Consolidado",#N/A,FALSE,"Econ Consol";"Fluxo de Caixa",#N/A,FALSE,"Fluxo Caixa";"Investimentos",#N/A,FALSE,"Investimentos"}</definedName>
    <definedName name="Evol." localSheetId="7">{"Econ Consolidado",#N/A,FALSE,"Econ Consol";"Fluxo de Caixa",#N/A,FALSE,"Fluxo Caixa";"Investimentos",#N/A,FALSE,"Investimentos"}</definedName>
    <definedName name="ewfr" localSheetId="7">{#N/A,#N/A,FALSE,"Plan1";#N/A,#N/A,FALSE,"Plan2"}</definedName>
    <definedName name="eyruieyteta" localSheetId="7">{#N/A,#N/A,FALSE,"Plan1";#N/A,#N/A,FALSE,"Plan2"}</definedName>
    <definedName name="FAS" localSheetId="7">{"'Total'!$A$1","'Total'!$A$3"}</definedName>
    <definedName name="fasfasf" localSheetId="7">{#N/A,#N/A,TRUE,"Quinzena 01 à 15-04-98 "}</definedName>
    <definedName name="fddhght" localSheetId="7">{#N/A,#N/A,FALSE,"Plan1";#N/A,#N/A,FALSE,"Plan2"}</definedName>
    <definedName name="fdfgd" localSheetId="7">{#N/A,#N/A,FALSE,"Plan1";#N/A,#N/A,FALSE,"Plan2"}</definedName>
    <definedName name="fdfng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7">{#N/A,#N/A,FALSE,"Plan1";#N/A,#N/A,FALSE,"Plan2"}</definedName>
    <definedName name="fdgdf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7">{#N/A,#N/A,FALSE,"Plan1";#N/A,#N/A,FALSE,"Plan2"}</definedName>
    <definedName name="fdgfyhygfuj" localSheetId="7">{#N/A,#N/A,FALSE,"Plan1";#N/A,#N/A,FALSE,"Plan2"}</definedName>
    <definedName name="fdhgfdf" localSheetId="7">{#N/A,#N/A,FALSE,"Plan1";#N/A,#N/A,FALSE,"Plan2"}</definedName>
    <definedName name="fdjfgdfjg" localSheetId="7">{#N/A,#N/A,FALSE,"Plan1";#N/A,#N/A,FALSE,"Plan2"}</definedName>
    <definedName name="fdjghkshtygt" localSheetId="7">{#N/A,#N/A,FALSE,"Plan1";#N/A,#N/A,FALSE,"Plan2"}</definedName>
    <definedName name="fdnhgf" localSheetId="7">{"'Estimativa de Lançamento-JAN'!$A$1:$AI$85"}</definedName>
    <definedName name="fdsf" localSheetId="7">{#N/A,#N/A,FALSE,"Plan1";#N/A,#N/A,FALSE,"Plan2"}</definedName>
    <definedName name="fffff" localSheetId="7">{#N/A,#N/A,FALSE,"Plan1";#N/A,#N/A,FALSE,"Plan2"}</definedName>
    <definedName name="FFTY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7">{#N/A,#N/A,FALSE,"Plan1";#N/A,#N/A,FALSE,"Plan2"}</definedName>
    <definedName name="fgg" localSheetId="7">{"'장비'!$A$3:$M$12"}</definedName>
    <definedName name="fghfh" localSheetId="7">{"'Estimativa de Lançamento-JAN'!$A$1:$AI$85"}</definedName>
    <definedName name="fghgfh" localSheetId="7">{#N/A,#N/A,FALSE,"Plan1";#N/A,#N/A,FALSE,"Plan2"}</definedName>
    <definedName name="FGJHFGK" localSheetId="7">{#N/A,#N/A,FALSE,"Plan1";#N/A,#N/A,FALSE,"Plan2"}</definedName>
    <definedName name="fgktyhdf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7">{#N/A,#N/A,FALSE,"Plan1";#N/A,#N/A,FALSE,"Plan2"}</definedName>
    <definedName name="fhgjfgyt" localSheetId="7">{#N/A,#N/A,FALSE,"Plan1";#N/A,#N/A,FALSE,"Plan2"}</definedName>
    <definedName name="fhgjkhtrfg" localSheetId="7">{#N/A,#N/A,FALSE,"Plan1";#N/A,#N/A,FALSE,"Plan2"}</definedName>
    <definedName name="FHGTGSRSG" localSheetId="7">{#N/A,#N/A,FALSE,"Plan1";#N/A,#N/A,FALSE,"Plan2"}</definedName>
    <definedName name="FIELD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7">{#N/A,#N/A,TRUE,"Quinzena 01 à 15-04-98 "}</definedName>
    <definedName name="fjdhfgjdhtgu" localSheetId="7">{#N/A,#N/A,FALSE,"Plan1";#N/A,#N/A,FALSE,"Plan2"}</definedName>
    <definedName name="fjfjg" localSheetId="7">{#N/A,#N/A,FALSE,"명세표"}</definedName>
    <definedName name="FJGH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7">{#N/A,#N/A,FALSE,"Plan1";#N/A,#N/A,FALSE,"Plan2"}</definedName>
    <definedName name="fjtgfh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7">{#N/A,#N/A,FALSE,"Plan1";#N/A,#N/A,FALSE,"Plan2"}</definedName>
    <definedName name="frçt4r" localSheetId="7">{#N/A,#N/A,FALSE,"Plan1";#N/A,#N/A,FALSE,"Plan2"}</definedName>
    <definedName name="frdtty" localSheetId="7">{#N/A,#N/A,FALSE,"Plan1";#N/A,#N/A,FALSE,"Plan2"}</definedName>
    <definedName name="fsdfsf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7">{#N/A,#N/A,FALSE,"Plan1";#N/A,#N/A,FALSE,"Plan2"}</definedName>
    <definedName name="fxjghkfg" localSheetId="7">{#N/A,#N/A,FALSE,"Plan1";#N/A,#N/A,FALSE,"Plan2"}</definedName>
    <definedName name="galo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7">{#N/A,#N/A,FALSE,"Plan1";#N/A,#N/A,FALSE,"Plan2"}</definedName>
    <definedName name="gbdsjgsjfdgj" localSheetId="7">{#N/A,#N/A,FALSE,"Plan1";#N/A,#N/A,FALSE,"Plan2"}</definedName>
    <definedName name="gdfdhgfjgj" localSheetId="7">{#N/A,#N/A,FALSE,"Plan1";#N/A,#N/A,FALSE,"Plan2"}</definedName>
    <definedName name="gdfgdstggt" localSheetId="7">{#N/A,#N/A,FALSE,"Plan1";#N/A,#N/A,FALSE,"Plan2"}</definedName>
    <definedName name="GDFHGRJGFJDRF" localSheetId="7">{"Econ Consolidado",#N/A,FALSE,"Econ Consol";"Fluxo de Caixa",#N/A,FALSE,"Fluxo Caixa";"Investimentos",#N/A,FALSE,"Investimentos"}</definedName>
    <definedName name="gdfigfhuyuy" localSheetId="7">{#N/A,#N/A,FALSE,"Plan1";#N/A,#N/A,FALSE,"Plan2"}</definedName>
    <definedName name="gdfsgfew" localSheetId="7">{#N/A,#N/A,FALSE,"Plan1";#N/A,#N/A,FALSE,"Plan2"}</definedName>
    <definedName name="gdhfgdhfgf" localSheetId="7">{#N/A,#N/A,FALSE,"Plan1";#N/A,#N/A,FALSE,"Plan2"}</definedName>
    <definedName name="gdsfhefrwrw" localSheetId="7">{#N/A,#N/A,FALSE,"Plan1";#N/A,#N/A,FALSE,"Plan2"}</definedName>
    <definedName name="geshrjhed" localSheetId="7">{#N/A,#N/A,FALSE,"Plan1";#N/A,#N/A,FALSE,"Plan2"}</definedName>
    <definedName name="gfdcgnkf" localSheetId="7">{#N/A,#N/A,FALSE,"Plan1";#N/A,#N/A,FALSE,"Plan2"}</definedName>
    <definedName name="gfdjtgur" localSheetId="7">{#N/A,#N/A,FALSE,"Plan1";#N/A,#N/A,FALSE,"Plan2"}</definedName>
    <definedName name="gfgdhxgfdhf" localSheetId="7">{#N/A,#N/A,FALSE,"Plan1";#N/A,#N/A,FALSE,"Plan2"}</definedName>
    <definedName name="gfhfdtgjb" localSheetId="7">{#N/A,#N/A,FALSE,"Plan1";#N/A,#N/A,FALSE,"Plan2"}</definedName>
    <definedName name="gfjdshrtjhtged" localSheetId="7">{#N/A,#N/A,FALSE,"Plan1";#N/A,#N/A,FALSE,"Plan2"}</definedName>
    <definedName name="gfjgkddgfd" localSheetId="7">{#N/A,#N/A,FALSE,"Plan1";#N/A,#N/A,FALSE,"Plan2"}</definedName>
    <definedName name="gfsghjdgygr" localSheetId="7">{#N/A,#N/A,FALSE,"Plan1";#N/A,#N/A,FALSE,"Plan2"}</definedName>
    <definedName name="gftfy" localSheetId="7">{#N/A,#N/A,FALSE,"Plan1";#N/A,#N/A,FALSE,"Plan2"}</definedName>
    <definedName name="gfty" localSheetId="7">{#N/A,#N/A,FALSE,"Plan1";#N/A,#N/A,FALSE,"Plan2"}</definedName>
    <definedName name="GFUJU9" localSheetId="7">{#N/A,#N/A,FALSE,"Plan1";#N/A,#N/A,FALSE,"Plan2"}</definedName>
    <definedName name="ggg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7">{#N/A,#N/A,FALSE,"Plan1";#N/A,#N/A,FALSE,"Plan2"}</definedName>
    <definedName name="ggggggggg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7">{"'장비'!$A$3:$M$12"}</definedName>
    <definedName name="ghfgdfrtert" localSheetId="7">{#N/A,#N/A,FALSE,"Plan1";#N/A,#N/A,FALSE,"Plan2"}</definedName>
    <definedName name="ghfhghft" localSheetId="7">{#N/A,#N/A,FALSE,"Plan1";#N/A,#N/A,FALSE,"Plan2"}</definedName>
    <definedName name="ghjg" localSheetId="7">{"'Estimativa de Lançamento-JAN'!$A$1:$AI$85"}</definedName>
    <definedName name="ghkfhgh" localSheetId="7">{#N/A,#N/A,FALSE,"Plan1";#N/A,#N/A,FALSE,"Plan2"}</definedName>
    <definedName name="ghkjh" localSheetId="7">{#N/A,#N/A,FALSE,"ENG'G(보호계전기)"}</definedName>
    <definedName name="GJ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7">{#N/A,#N/A,FALSE,"Plan1";#N/A,#N/A,FALSE,"Plan2"}</definedName>
    <definedName name="GJ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7">{#N/A,#N/A,FALSE,"Plan1";#N/A,#N/A,FALSE,"Plan2"}</definedName>
    <definedName name="glgl" localSheetId="7">{#N/A,#N/A,FALSE,"Plan1";#N/A,#N/A,FALSE,"Plan2"}</definedName>
    <definedName name="gnfrth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7">{#N/A,#N/A,FALSE,"Plan1";#N/A,#N/A,FALSE,"Plan2"}</definedName>
    <definedName name="GUI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7">{#N/A,#N/A,FALSE,"CCTV"}</definedName>
    <definedName name="hcjfkhdghfktg" localSheetId="7">{#N/A,#N/A,FALSE,"Plan1";#N/A,#N/A,FALSE,"Plan2"}</definedName>
    <definedName name="hddfndgdfg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7">{#N/A,#N/A,FALSE,"Plan1";#N/A,#N/A,FALSE,"Plan2"}</definedName>
    <definedName name="HDFGJKHKFDHTY" localSheetId="7">{#N/A,#N/A,FALSE,"Plan1";#N/A,#N/A,FALSE,"Plan2"}</definedName>
    <definedName name="hdfhdhrtgd" localSheetId="7">{#N/A,#N/A,FALSE,"Plan1";#N/A,#N/A,FALSE,"Plan2"}</definedName>
    <definedName name="hdfhftde" localSheetId="7">{#N/A,#N/A,FALSE,"Plan1";#N/A,#N/A,FALSE,"Plan2"}</definedName>
    <definedName name="hdfhgkdhgtrf" localSheetId="7">{#N/A,#N/A,FALSE,"Plan1";#N/A,#N/A,FALSE,"Plan2"}</definedName>
    <definedName name="hdfjhdkzhgdr" localSheetId="7">{#N/A,#N/A,FALSE,"Plan1";#N/A,#N/A,FALSE,"Plan2"}</definedName>
    <definedName name="hdfjkgvjgtd" localSheetId="7">{#N/A,#N/A,FALSE,"Plan1";#N/A,#N/A,FALSE,"Plan2"}</definedName>
    <definedName name="hdfjkhdhrute" localSheetId="7">{#N/A,#N/A,FALSE,"Plan1";#N/A,#N/A,FALSE,"Plan2"}</definedName>
    <definedName name="HDFKGVF" localSheetId="7">{#N/A,#N/A,FALSE,"Plan1";#N/A,#N/A,FALSE,"Plan2"}</definedName>
    <definedName name="hdgfhdgtdrt" localSheetId="7">{#N/A,#N/A,FALSE,"Plan1";#N/A,#N/A,FALSE,"Plan2"}</definedName>
    <definedName name="hdghgtgtrgd" localSheetId="7">{#N/A,#N/A,FALSE,"Plan1";#N/A,#N/A,FALSE,"Plan2"}</definedName>
    <definedName name="HDHDGHTUHDTG" localSheetId="7">{#N/A,#N/A,FALSE,"Plan1";#N/A,#N/A,FALSE,"Plan2"}</definedName>
    <definedName name="hdhghfthrrhy" localSheetId="7">{#N/A,#N/A,FALSE,"Plan1";#N/A,#N/A,FALSE,"Plan2"}</definedName>
    <definedName name="hdkfjhydjh" localSheetId="7">{#N/A,#N/A,FALSE,"Plan1";#N/A,#N/A,FALSE,"Plan2"}</definedName>
    <definedName name="hdsgfgrrdgr" localSheetId="7">{#N/A,#N/A,FALSE,"Plan1";#N/A,#N/A,FALSE,"Plan2"}</definedName>
    <definedName name="hdtertkkdsa" localSheetId="7">{#N/A,#N/A,FALSE,"Plan1";#N/A,#N/A,FALSE,"Plan2"}</definedName>
    <definedName name="HEDHA" localSheetId="7">{#N/A,#N/A,FALSE,"Plan1";#N/A,#N/A,FALSE,"Plan2"}</definedName>
    <definedName name="heife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7">{#N/A,#N/A,FALSE,"Plan1";#N/A,#N/A,FALSE,"Plan2"}</definedName>
    <definedName name="hersdtretyt" localSheetId="7">{#N/A,#N/A,FALSE,"Plan1";#N/A,#N/A,FALSE,"Plan2"}</definedName>
    <definedName name="HFDJTHTRS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7">{#N/A,#N/A,FALSE,"Plan1";#N/A,#N/A,FALSE,"Plan2"}</definedName>
    <definedName name="hfdkhgkfdhtj" localSheetId="7">{#N/A,#N/A,FALSE,"Plan1";#N/A,#N/A,FALSE,"Plan2"}</definedName>
    <definedName name="hfgfktgkhyt" localSheetId="7">{#N/A,#N/A,FALSE,"Plan1";#N/A,#N/A,FALSE,"Plan2"}</definedName>
    <definedName name="hfghdkhrgkjg" localSheetId="7">{#N/A,#N/A,FALSE,"Plan1";#N/A,#N/A,FALSE,"Plan2"}</definedName>
    <definedName name="hfighfth" localSheetId="7">{#N/A,#N/A,FALSE,"Plan1";#N/A,#N/A,FALSE,"Plan2"}</definedName>
    <definedName name="hfjghtfuyrf" localSheetId="7">{#N/A,#N/A,FALSE,"Plan1";#N/A,#N/A,FALSE,"Plan2"}</definedName>
    <definedName name="HFKJHDJGHFJ" localSheetId="7">{#N/A,#N/A,FALSE,"Plan1";#N/A,#N/A,FALSE,"Plan2"}</definedName>
    <definedName name="hgdesgfgsj" localSheetId="7">{#N/A,#N/A,FALSE,"Plan1";#N/A,#N/A,FALSE,"Plan2"}</definedName>
    <definedName name="hgdgfd" localSheetId="7">{#N/A,#N/A,FALSE,"Plan1";#N/A,#N/A,FALSE,"Plan2"}</definedName>
    <definedName name="hgfhjkdfhj" localSheetId="7">{#N/A,#N/A,FALSE,"Plan1";#N/A,#N/A,FALSE,"Plan2"}</definedName>
    <definedName name="hgg" localSheetId="7">{#N/A,#N/A,FALSE,"Plan1";#N/A,#N/A,FALSE,"Plan2"}</definedName>
    <definedName name="hgjdfgghg" localSheetId="7">{#N/A,#N/A,FALSE,"Plan1";#N/A,#N/A,FALSE,"Plan2"}</definedName>
    <definedName name="hgjkfdhg" localSheetId="7">{#N/A,#N/A,FALSE,"Plan1";#N/A,#N/A,FALSE,"Plan2"}</definedName>
    <definedName name="hgkdfhkfk" localSheetId="7">{#N/A,#N/A,FALSE,"Plan1";#N/A,#N/A,FALSE,"Plan2"}</definedName>
    <definedName name="hgkjhdfhtrdyt" localSheetId="7">{#N/A,#N/A,FALSE,"Plan1";#N/A,#N/A,FALSE,"Plan2"}</definedName>
    <definedName name="hgkjhdfkhgtfhg" localSheetId="7">{#N/A,#N/A,FALSE,"Plan1";#N/A,#N/A,FALSE,"Plan2"}</definedName>
    <definedName name="hgkjhkfhsdkdhgk" localSheetId="7">{#N/A,#N/A,FALSE,"Plan1";#N/A,#N/A,FALSE,"Plan2"}</definedName>
    <definedName name="hgsufgdhghd" localSheetId="7">{#N/A,#N/A,FALSE,"Plan1";#N/A,#N/A,FALSE,"Plan2"}</definedName>
    <definedName name="HHGFHTYUT" localSheetId="7">{#N/A,#N/A,FALSE,"Plan1";#N/A,#N/A,FALSE,"Plan2"}</definedName>
    <definedName name="hhh" localSheetId="7">{"'Total'!$A$1","'Total'!$A$3"}</definedName>
    <definedName name="hik" localSheetId="7">{#N/A,#N/A,FALSE,"TABLE"}</definedName>
    <definedName name="hjdgtjdjxrfg" localSheetId="7">{#N/A,#N/A,FALSE,"Plan1";#N/A,#N/A,FALSE,"Plan2"}</definedName>
    <definedName name="HJFDGD" localSheetId="7">{#N/A,#N/A,FALSE,"Plan1";#N/A,#N/A,FALSE,"Plan2"}</definedName>
    <definedName name="HJGASD" localSheetId="7">{#N/A,#N/A,FALSE,"Plan1";#N/A,#N/A,FALSE,"Plan2"}</definedName>
    <definedName name="HJGFGTFDG" localSheetId="7">{#N/A,#N/A,FALSE,"Plan1";#N/A,#N/A,FALSE,"Plan2"}</definedName>
    <definedName name="hjgfhdsgfhsd" localSheetId="7">{#N/A,#N/A,FALSE,"Plan1";#N/A,#N/A,FALSE,"Plan2"}</definedName>
    <definedName name="hjgxfjgdjyftr" localSheetId="7">{#N/A,#N/A,FALSE,"Plan1";#N/A,#N/A,FALSE,"Plan2"}</definedName>
    <definedName name="hjgyugasd" localSheetId="7">{#N/A,#N/A,FALSE,"Plan1";#N/A,#N/A,FALSE,"Plan2"}</definedName>
    <definedName name="hjjfyfy" localSheetId="7">{#N/A,#N/A,FALSE,"Plan1";#N/A,#N/A,FALSE,"Plan2"}</definedName>
    <definedName name="hjkchkvjhdjkgh" localSheetId="7">{#N/A,#N/A,FALSE,"Plan1";#N/A,#N/A,FALSE,"Plan2"}</definedName>
    <definedName name="hjkfjdyht" localSheetId="7">{#N/A,#N/A,FALSE,"Plan1";#N/A,#N/A,FALSE,"Plan2"}</definedName>
    <definedName name="hjsdffe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7">{#N/A,#N/A,FALSE,"Plan1";#N/A,#N/A,FALSE,"Plan2"}</definedName>
    <definedName name="hjsrdfre" localSheetId="7">{"Econ Consolidado",#N/A,FALSE,"Econ Consol";"Fluxo de Caixa",#N/A,FALSE,"Fluxo Caixa";"Investimentos",#N/A,FALSE,"Investimentos"}</definedName>
    <definedName name="HKewewsr" localSheetId="7">{#N/A,#N/A,FALSE,"Plan1";#N/A,#N/A,FALSE,"Plan2"}</definedName>
    <definedName name="hkhdskacd" localSheetId="7">{#N/A,#N/A,FALSE,"Plan1";#N/A,#N/A,FALSE,"Plan2"}</definedName>
    <definedName name="hkjfgfhgfh" localSheetId="7">{#N/A,#N/A,FALSE,"Plan1";#N/A,#N/A,FALSE,"Plan2"}</definedName>
    <definedName name="hkjfhgjkfhghfg" localSheetId="7">{#N/A,#N/A,FALSE,"Plan1";#N/A,#N/A,FALSE,"Plan2"}</definedName>
    <definedName name="HKLZHFRH" localSheetId="7">{#N/A,#N/A,FALSE,"Plan1";#N/A,#N/A,FALSE,"Plan2"}</definedName>
    <definedName name="ho" localSheetId="7">{#N/A,#N/A,FALSE,"TABLE"}</definedName>
    <definedName name="hrterte" localSheetId="7">{#N/A,#N/A,FALSE,"Plan1";#N/A,#N/A,FALSE,"Plan2"}</definedName>
    <definedName name="hsdf" localSheetId="7">{#N/A,#N/A,FALSE,"Plan1";#N/A,#N/A,FALSE,"Plan2"}</definedName>
    <definedName name="hsdfgdgudrt" localSheetId="7">{#N/A,#N/A,FALSE,"Plan1";#N/A,#N/A,FALSE,"Plan2"}</definedName>
    <definedName name="hsdfjkdhur" localSheetId="7">{#N/A,#N/A,FALSE,"Plan1";#N/A,#N/A,FALSE,"Plan2"}</definedName>
    <definedName name="hsdgftdht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7">{#N/A,#N/A,FALSE,"Plan1";#N/A,#N/A,FALSE,"Plan2"}</definedName>
    <definedName name="hsdjffe" localSheetId="7">{#N/A,#N/A,FALSE,"Plan1";#N/A,#N/A,FALSE,"Plan2"}</definedName>
    <definedName name="HSFIHDTR" localSheetId="7">{"Econ Consolidado",#N/A,FALSE,"Econ Consol";"Fluxo de Caixa",#N/A,FALSE,"Fluxo Caixa";"Investimentos",#N/A,FALSE,"Investimentos"}</definedName>
    <definedName name="hsfjkdshrgf" localSheetId="7">{#N/A,#N/A,FALSE,"Plan1";#N/A,#N/A,FALSE,"Plan2"}</definedName>
    <definedName name="hthhrtetdre" localSheetId="7">{#N/A,#N/A,FALSE,"Plan1";#N/A,#N/A,FALSE,"Plan2"}</definedName>
    <definedName name="HTML_Control" localSheetId="7">{"'장비'!$A$3:$M$12"}</definedName>
    <definedName name="HTML2_CONTROL" localSheetId="7">{"'Estimativa de Lançamento-JAN'!$A$1:$AI$85"}</definedName>
    <definedName name="HTML3_CONTROL" localSheetId="7">{"'Estimativa de Lançamento-JAN'!$A$1:$AI$85"}</definedName>
    <definedName name="HTMLControl" localSheetId="7">{"'Edit'!$A$1:$V$2277"}</definedName>
    <definedName name="HVJKHGKFXHFD" localSheetId="7">{#N/A,#N/A,FALSE,"Plan1";#N/A,#N/A,FALSE,"Plan2"}</definedName>
    <definedName name="hwekjhekhf" localSheetId="7">{#N/A,#N/A,FALSE,"Plan1";#N/A,#N/A,FALSE,"Plan2"}</definedName>
    <definedName name="HXFRE" localSheetId="7">{#N/A,#N/A,FALSE,"Plan1";#N/A,#N/A,FALSE,"Plan2"}</definedName>
    <definedName name="HXKJFGDKHG" localSheetId="7">{#N/A,#N/A,FALSE,"Plan1";#N/A,#N/A,FALSE,"Plan2"}</definedName>
    <definedName name="idfhgkjhfkthy" localSheetId="7">{#N/A,#N/A,FALSE,"Plan1";#N/A,#N/A,FALSE,"Plan2"}</definedName>
    <definedName name="ieroweft" localSheetId="7">{#N/A,#N/A,FALSE,"Plan1";#N/A,#N/A,FALSE,"Plan2"}</definedName>
    <definedName name="iewpotqi5poejy" localSheetId="7">{#N/A,#N/A,FALSE,"Plan1";#N/A,#N/A,FALSE,"Plan2"}</definedName>
    <definedName name="ihdfifguhgfuiyh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7">{#N/A,#N/A,FALSE,"Plan1";#N/A,#N/A,FALSE,"Plan2"}</definedName>
    <definedName name="ihrtetw4r" localSheetId="7">{#N/A,#N/A,FALSE,"Plan1";#N/A,#N/A,FALSE,"Plan2"}</definedName>
    <definedName name="IIASDSAWE" localSheetId="7">{"Econ Consolidado",#N/A,FALSE,"Econ Consol";"Fluxo de Caixa",#N/A,FALSE,"Fluxo Caixa";"Investimentos",#N/A,FALSE,"Investimentos"}</definedName>
    <definedName name="iinstalações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7">{#N/A,#N/A,FALSE,"Plan1";#N/A,#N/A,FALSE,"Plan2"}</definedName>
    <definedName name="ilsdr4wf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7">{"'Edit'!$A$1:$V$2277"}</definedName>
    <definedName name="ioeriotyt" localSheetId="7">{#N/A,#N/A,FALSE,"Plan1";#N/A,#N/A,FALSE,"Plan2"}</definedName>
    <definedName name="iohudtorh" localSheetId="7">{#N/A,#N/A,FALSE,"Plan1";#N/A,#N/A,FALSE,"Plan2"}</definedName>
    <definedName name="iojtkheayed" localSheetId="7">{#N/A,#N/A,FALSE,"Plan1";#N/A,#N/A,FALSE,"Plan2"}</definedName>
    <definedName name="iouweroieuw4" localSheetId="7">{#N/A,#N/A,FALSE,"Plan1";#N/A,#N/A,FALSE,"Plan2"}</definedName>
    <definedName name="iphifpgh" localSheetId="7">{#N/A,#N/A,FALSE,"Plan1";#N/A,#N/A,FALSE,"Plan2"}</definedName>
    <definedName name="ipodsifgpds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7">{#N/A,#N/A,FALSE,"Plan1";#N/A,#N/A,FALSE,"Plan2"}</definedName>
    <definedName name="ITEM별상세업무분장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7">{#N/A,#N/A,FALSE,"Plan1";#N/A,#N/A,FALSE,"Plan2"}</definedName>
    <definedName name="iyuyheturtd" localSheetId="7">{#N/A,#N/A,FALSE,"Plan1";#N/A,#N/A,FALSE,"Plan2"}</definedName>
    <definedName name="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7">{#N/A,#N/A,FALSE,"Plan1";#N/A,#N/A,FALSE,"Plan2"}</definedName>
    <definedName name="JASDJS" localSheetId="7">{#N/A,#N/A,FALSE,"Plan1";#N/A,#N/A,FALSE,"Plan2"}</definedName>
    <definedName name="jaskldjlse" localSheetId="7">{#N/A,#N/A,FALSE,"Plan1";#N/A,#N/A,FALSE,"Plan2"}</definedName>
    <definedName name="JASLDKLD" localSheetId="7">{#N/A,#N/A,FALSE,"Plan1";#N/A,#N/A,FALSE,"Plan2"}</definedName>
    <definedName name="JÇDFHDF" localSheetId="7">{"Econ Consolidado",#N/A,FALSE,"Econ Consol";"Fluxo de Caixa",#N/A,FALSE,"Fluxo Caixa";"Investimentos",#N/A,FALSE,"Investimentos"}</definedName>
    <definedName name="jdbgftbhr" localSheetId="7">{#N/A,#N/A,FALSE,"Plan1";#N/A,#N/A,FALSE,"Plan2"}</definedName>
    <definedName name="jdfgldfjgklh" localSheetId="7">{#N/A,#N/A,FALSE,"Plan1";#N/A,#N/A,FALSE,"Plan2"}</definedName>
    <definedName name="jdfhjkdrhjtkg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7">{#N/A,#N/A,FALSE,"Plan1";#N/A,#N/A,FALSE,"Plan2"}</definedName>
    <definedName name="JDFJLDJR" localSheetId="7">{#N/A,#N/A,FALSE,"Plan1";#N/A,#N/A,FALSE,"Plan2"}</definedName>
    <definedName name="jdfkgitfgdrtt" localSheetId="7">{#N/A,#N/A,FALSE,"Plan1";#N/A,#N/A,FALSE,"Plan2"}</definedName>
    <definedName name="JDFKHFKJ" localSheetId="7">{#N/A,#N/A,FALSE,"Plan1";#N/A,#N/A,FALSE,"Plan2"}</definedName>
    <definedName name="jdfklgtdtr" localSheetId="7">{#N/A,#N/A,FALSE,"Plan1";#N/A,#N/A,FALSE,"Plan2"}</definedName>
    <definedName name="JDFKTHRT" localSheetId="7">{#N/A,#N/A,FALSE,"Plan1";#N/A,#N/A,FALSE,"Plan2"}</definedName>
    <definedName name="JDFLKJDRF" localSheetId="7">{#N/A,#N/A,FALSE,"Plan1";#N/A,#N/A,FALSE,"Plan2"}</definedName>
    <definedName name="jdfzlkjgfdht" localSheetId="7">{#N/A,#N/A,FALSE,"Plan1";#N/A,#N/A,FALSE,"Plan2"}</definedName>
    <definedName name="jdglhfghkt" localSheetId="7">{#N/A,#N/A,FALSE,"Plan1";#N/A,#N/A,FALSE,"Plan2"}</definedName>
    <definedName name="jdhfjdhgfd" localSheetId="7">{#N/A,#N/A,FALSE,"Plan1";#N/A,#N/A,FALSE,"Plan2"}</definedName>
    <definedName name="jdjdjdjd" localSheetId="7">{#N/A,#N/A,FALSE,"명세표"}</definedName>
    <definedName name="jdkfhgjhf" localSheetId="7">{#N/A,#N/A,FALSE,"Plan1";#N/A,#N/A,FALSE,"Plan2"}</definedName>
    <definedName name="jdkfjdtr" localSheetId="7">{#N/A,#N/A,FALSE,"Plan1";#N/A,#N/A,FALSE,"Plan2"}</definedName>
    <definedName name="jdljgftldjti5r" localSheetId="7">{#N/A,#N/A,FALSE,"Plan1";#N/A,#N/A,FALSE,"Plan2"}</definedName>
    <definedName name="JDLKJDASGF" localSheetId="7">{#N/A,#N/A,FALSE,"Plan1";#N/A,#N/A,FALSE,"Plan2"}</definedName>
    <definedName name="jdrfkdjfghrtfjg" localSheetId="7">{#N/A,#N/A,FALSE,"Plan1";#N/A,#N/A,FALSE,"Plan2"}</definedName>
    <definedName name="jdskfhdk" localSheetId="7">{#N/A,#N/A,FALSE,"Plan1";#N/A,#N/A,FALSE,"Plan2"}</definedName>
    <definedName name="JDSKLGKDRHGGF" localSheetId="7">{#N/A,#N/A,FALSE,"Plan1";#N/A,#N/A,FALSE,"Plan2"}</definedName>
    <definedName name="jefsgfr" localSheetId="7">{#N/A,#N/A,FALSE,"Plan1";#N/A,#N/A,FALSE,"Plan2"}</definedName>
    <definedName name="JERHIEHYURE" localSheetId="7">{#N/A,#N/A,FALSE,"Plan1";#N/A,#N/A,FALSE,"Plan2"}</definedName>
    <definedName name="jfddlsrtyty" localSheetId="7">{#N/A,#N/A,FALSE,"Plan1";#N/A,#N/A,FALSE,"Plan2"}</definedName>
    <definedName name="jfdjtgdjghitfyh" localSheetId="7">{#N/A,#N/A,FALSE,"Plan1";#N/A,#N/A,FALSE,"Plan2"}</definedName>
    <definedName name="jfdkgkftftg" localSheetId="7">{#N/A,#N/A,FALSE,"Plan1";#N/A,#N/A,FALSE,"Plan2"}</definedName>
    <definedName name="jfghjkfdhtkyru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7">{#N/A,#N/A,FALSE,"Plan1";#N/A,#N/A,FALSE,"Plan2"}</definedName>
    <definedName name="jfgkflcnjkglc" localSheetId="7">{#N/A,#N/A,FALSE,"Plan1";#N/A,#N/A,FALSE,"Plan2"}</definedName>
    <definedName name="JFHRE" localSheetId="7">{#N/A,#N/A,FALSE,"Plan1";#N/A,#N/A,FALSE,"Plan2"}</definedName>
    <definedName name="jfkdls5jtirjd" localSheetId="7">{#N/A,#N/A,FALSE,"Plan1";#N/A,#N/A,FALSE,"Plan2"}</definedName>
    <definedName name="jfkljdkfcj" localSheetId="7">{#N/A,#N/A,FALSE,"Plan1";#N/A,#N/A,FALSE,"Plan2"}</definedName>
    <definedName name="jfkrhdtghdut" localSheetId="7">{#N/A,#N/A,FALSE,"Plan1";#N/A,#N/A,FALSE,"Plan2"}</definedName>
    <definedName name="JFRESR" localSheetId="7">{#N/A,#N/A,FALSE,"Plan1";#N/A,#N/A,FALSE,"Plan2"}</definedName>
    <definedName name="jgdfdgfjgdj" localSheetId="7">{#N/A,#N/A,FALSE,"Plan1";#N/A,#N/A,FALSE,"Plan2"}</definedName>
    <definedName name="jgdfght" localSheetId="7">{#N/A,#N/A,FALSE,"Plan1";#N/A,#N/A,FALSE,"Plan2"}</definedName>
    <definedName name="jgfgdsgfdhrf" localSheetId="7">{#N/A,#N/A,FALSE,"Plan1";#N/A,#N/A,FALSE,"Plan2"}</definedName>
    <definedName name="JGFJGTFT" localSheetId="7">{#N/A,#N/A,FALSE,"Plan1";#N/A,#N/A,FALSE,"Plan2"}</definedName>
    <definedName name="jgkjkhjuftgi" localSheetId="7">{#N/A,#N/A,FALSE,"Plan1";#N/A,#N/A,FALSE,"Plan2"}</definedName>
    <definedName name="jh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7">{#N/A,#N/A,FALSE,"Plan1";#N/A,#N/A,FALSE,"Plan2"}</definedName>
    <definedName name="jhdfjkhtrdhf" localSheetId="7">{#N/A,#N/A,FALSE,"Plan1";#N/A,#N/A,FALSE,"Plan2"}</definedName>
    <definedName name="jhdfuthr" localSheetId="7">{#N/A,#N/A,FALSE,"Plan1";#N/A,#N/A,FALSE,"Plan2"}</definedName>
    <definedName name="JHDFZGRDHF" localSheetId="7">{"Econ Consolidado",#N/A,FALSE,"Econ Consol";"Fluxo de Caixa",#N/A,FALSE,"Fluxo Caixa";"Investimentos",#N/A,FALSE,"Investimentos"}</definedName>
    <definedName name="JHERKHKFGH" localSheetId="7">{#N/A,#N/A,FALSE,"Plan1";#N/A,#N/A,FALSE,"Plan2"}</definedName>
    <definedName name="JHGKJFJFJGL" localSheetId="7">{#N/A,#N/A,FALSE,"Plan1";#N/A,#N/A,FALSE,"Plan2"}</definedName>
    <definedName name="jhsdjkhfuks" localSheetId="7">{#N/A,#N/A,FALSE,"Plan1";#N/A,#N/A,FALSE,"Plan2"}</definedName>
    <definedName name="jisdrkje" localSheetId="7">{#N/A,#N/A,FALSE,"Plan1";#N/A,#N/A,FALSE,"Plan2"}</definedName>
    <definedName name="jishfrieyhtau" localSheetId="7">{#N/A,#N/A,FALSE,"Plan1";#N/A,#N/A,FALSE,"Plan2"}</definedName>
    <definedName name="jiu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7">{"'Apr-00'!$B$4:$AD$44"}</definedName>
    <definedName name="jjfdsktyhhy" localSheetId="7">{#N/A,#N/A,FALSE,"Plan1";#N/A,#N/A,FALSE,"Plan2"}</definedName>
    <definedName name="jjkjkjk" localSheetId="7">{#N/A,#N/A,FALSE,"Plan1";#N/A,#N/A,FALSE,"Plan2"}</definedName>
    <definedName name="JKDCK" localSheetId="7">{#N/A,#N/A,FALSE,"Plan1";#N/A,#N/A,FALSE,"Plan2"}</definedName>
    <definedName name="JKDFHKHFR" localSheetId="7">{#N/A,#N/A,FALSE,"Plan1";#N/A,#N/A,FALSE,"Plan2"}</definedName>
    <definedName name="JKDFTRDRJ" localSheetId="7">{#N/A,#N/A,FALSE,"Plan1";#N/A,#N/A,FALSE,"Plan2"}</definedName>
    <definedName name="jkdhfukhddf" localSheetId="7">{#N/A,#N/A,FALSE,"Plan1";#N/A,#N/A,FALSE,"Plan2"}</definedName>
    <definedName name="JKDRKGJHTDR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7">{#N/A,#N/A,FALSE,"Plan1";#N/A,#N/A,FALSE,"Plan2"}</definedName>
    <definedName name="jkfhjgkfhghh" localSheetId="7">{#N/A,#N/A,FALSE,"Plan1";#N/A,#N/A,FALSE,"Plan2"}</definedName>
    <definedName name="jkhderjkhes" localSheetId="7">{#N/A,#N/A,FALSE,"Plan1";#N/A,#N/A,FALSE,"Plan2"}</definedName>
    <definedName name="jkhdfhfd" localSheetId="7">{#N/A,#N/A,FALSE,"Plan1";#N/A,#N/A,FALSE,"Plan2"}</definedName>
    <definedName name="jkhfhest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7">{#N/A,#N/A,FALSE,"Plan1";#N/A,#N/A,FALSE,"Plan2"}</definedName>
    <definedName name="JKHGDHFUHTG" localSheetId="7">{#N/A,#N/A,FALSE,"Plan1";#N/A,#N/A,FALSE,"Plan2"}</definedName>
    <definedName name="jkhsdzjkfyiu" localSheetId="7">{#N/A,#N/A,FALSE,"Plan1";#N/A,#N/A,FALSE,"Plan2"}</definedName>
    <definedName name="jkjsdkhfdhrf" localSheetId="7">{#N/A,#N/A,FALSE,"Plan1";#N/A,#N/A,FALSE,"Plan2"}</definedName>
    <definedName name="jklgfsjgtjtg" localSheetId="7">{#N/A,#N/A,FALSE,"Plan1";#N/A,#N/A,FALSE,"Plan2"}</definedName>
    <definedName name="jksldfjsdhf" localSheetId="7">{#N/A,#N/A,FALSE,"Plan1";#N/A,#N/A,FALSE,"Plan2"}</definedName>
    <definedName name="jkxhcjkhfr" localSheetId="7">{#N/A,#N/A,FALSE,"Plan1";#N/A,#N/A,FALSE,"Plan2"}</definedName>
    <definedName name="JNGCKFKJFGH" localSheetId="7">{#N/A,#N/A,FALSE,"Plan1";#N/A,#N/A,FALSE,"Plan2"}</definedName>
    <definedName name="JREJRW" localSheetId="7">{#N/A,#N/A,FALSE,"Plan1";#N/A,#N/A,FALSE,"Plan2"}</definedName>
    <definedName name="JSADKAH" localSheetId="7">{"Econ Consolidado",#N/A,FALSE,"Econ Consol";"Fluxo de Caixa",#N/A,FALSE,"Fluxo Caixa";"Investimentos",#N/A,FALSE,"Investimentos"}</definedName>
    <definedName name="JSDAJRE" localSheetId="7">{#N/A,#N/A,FALSE,"Plan1";#N/A,#N/A,FALSE,"Plan2"}</definedName>
    <definedName name="jsdffse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7">{#N/A,#N/A,FALSE,"Plan1";#N/A,#N/A,FALSE,"Plan2"}</definedName>
    <definedName name="jsdfsdfd" localSheetId="7">{#N/A,#N/A,FALSE,"Plan1";#N/A,#N/A,FALSE,"Plan2"}</definedName>
    <definedName name="jsdljficd" localSheetId="7">{#N/A,#N/A,FALSE,"Plan1";#N/A,#N/A,FALSE,"Plan2"}</definedName>
    <definedName name="JSDTLFJDRG" localSheetId="7">{#N/A,#N/A,FALSE,"Plan1";#N/A,#N/A,FALSE,"Plan2"}</definedName>
    <definedName name="jsfjsjferwea" localSheetId="7">{#N/A,#N/A,FALSE,"Plan1";#N/A,#N/A,FALSE,"Plan2"}</definedName>
    <definedName name="jslrjer" localSheetId="7">{#N/A,#N/A,FALSE,"Plan1";#N/A,#N/A,FALSE,"Plan2"}</definedName>
    <definedName name="juklhkhdf" localSheetId="7">{#N/A,#N/A,FALSE,"Plan1";#N/A,#N/A,FALSE,"Plan2"}</definedName>
    <definedName name="JULHO99" localSheetId="7">{#N/A,#N/A,TRUE,"Quinzena 01 à 15-04-98 "}</definedName>
    <definedName name="jwekljd" localSheetId="7">{#N/A,#N/A,FALSE,"Plan1";#N/A,#N/A,FALSE,"Plan2"}</definedName>
    <definedName name="JWEOITORU5Y" localSheetId="7">{#N/A,#N/A,FALSE,"Plan1";#N/A,#N/A,FALSE,"Plan2"}</definedName>
    <definedName name="jxdfjsrf" localSheetId="7">{#N/A,#N/A,FALSE,"Plan1";#N/A,#N/A,FALSE,"Plan2"}</definedName>
    <definedName name="jxdklfjv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7">{#N/A,#N/A,FALSE,"Plan1";#N/A,#N/A,FALSE,"Plan2"}</definedName>
    <definedName name="JZXFKLJLDJF" localSheetId="7">{#N/A,#N/A,FALSE,"Plan1";#N/A,#N/A,FALSE,"Plan2"}</definedName>
    <definedName name="jzxklfdlvgfg" localSheetId="7">{#N/A,#N/A,FALSE,"Plan1";#N/A,#N/A,FALSE,"Plan2"}</definedName>
    <definedName name="k" localSheetId="7">{#N/A,#N/A,FALSE,"Plan1";#N/A,#N/A,FALSE,"Plan2"}</definedName>
    <definedName name="kaedkroswr" localSheetId="7">{"Econ Consolidado",#N/A,FALSE,"Econ Consol";"Fluxo de Caixa",#N/A,FALSE,"Fluxo Caixa";"Investimentos",#N/A,FALSE,"Investimentos"}</definedName>
    <definedName name="kç\lKçaksdçaqew" localSheetId="7" hidden="1">{#N/A,#N/A,FALSE,"Plan1";#N/A,#N/A,FALSE,"Plan2"}</definedName>
    <definedName name="kçdasekr" localSheetId="7">{#N/A,#N/A,FALSE,"Plan1";#N/A,#N/A,FALSE,"Plan2"}</definedName>
    <definedName name="kçfdljtredr" localSheetId="7">{#N/A,#N/A,FALSE,"Plan1";#N/A,#N/A,FALSE,"Plan2"}</definedName>
    <definedName name="kclçkglf" localSheetId="7">{#N/A,#N/A,FALSE,"Plan1";#N/A,#N/A,FALSE,"Plan2"}</definedName>
    <definedName name="kçlkasçkere" localSheetId="7">{#N/A,#N/A,FALSE,"Plan1";#N/A,#N/A,FALSE,"Plan2"}</definedName>
    <definedName name="kdfbngtjkbf" localSheetId="7">{#N/A,#N/A,FALSE,"Plan1";#N/A,#N/A,FALSE,"Plan2"}</definedName>
    <definedName name="kdfhkghkrh" localSheetId="7">{#N/A,#N/A,FALSE,"Plan1";#N/A,#N/A,FALSE,"Plan2"}</definedName>
    <definedName name="kdfier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7">{#N/A,#N/A,FALSE,"Plan1";#N/A,#N/A,FALSE,"Plan2"}</definedName>
    <definedName name="kdfljlfr" localSheetId="7">{#N/A,#N/A,FALSE,"Plan1";#N/A,#N/A,FALSE,"Plan2"}</definedName>
    <definedName name="kdhfgkdfhytgu" localSheetId="7">{#N/A,#N/A,FALSE,"Plan1";#N/A,#N/A,FALSE,"Plan2"}</definedName>
    <definedName name="kdhgftfg" localSheetId="7">{#N/A,#N/A,FALSE,"Plan1";#N/A,#N/A,FALSE,"Plan2"}</definedName>
    <definedName name="KDHKFGKKHGF" localSheetId="7">{#N/A,#N/A,FALSE,"Plan1";#N/A,#N/A,FALSE,"Plan2"}</definedName>
    <definedName name="kdjgkfjgd" localSheetId="7">{#N/A,#N/A,FALSE,"Plan1";#N/A,#N/A,FALSE,"Plan2"}</definedName>
    <definedName name="kdjglkdlgjd" localSheetId="7">{#N/A,#N/A,FALSE,"Plan1";#N/A,#N/A,FALSE,"Plan2"}</definedName>
    <definedName name="kdjsfkldjgkty" localSheetId="7">{#N/A,#N/A,FALSE,"Plan1";#N/A,#N/A,FALSE,"Plan2"}</definedName>
    <definedName name="KDJU" localSheetId="7">{"'장비'!$A$3:$M$12"}</definedName>
    <definedName name="kdkjhgdkfhjk" localSheetId="7">{#N/A,#N/A,FALSE,"Plan1";#N/A,#N/A,FALSE,"Plan2"}</definedName>
    <definedName name="kdsf" localSheetId="7">{#N/A,#N/A,FALSE,"Plan1";#N/A,#N/A,FALSE,"Plan2"}</definedName>
    <definedName name="kdsr" localSheetId="7">{#N/A,#N/A,FALSE,"Plan1";#N/A,#N/A,FALSE,"Plan2"}</definedName>
    <definedName name="kergtfdstr" localSheetId="7">{#N/A,#N/A,FALSE,"Plan1";#N/A,#N/A,FALSE,"Plan2"}</definedName>
    <definedName name="KFDKTHGT" localSheetId="7">{#N/A,#N/A,FALSE,"Plan1";#N/A,#N/A,FALSE,"Plan2"}</definedName>
    <definedName name="kfdxlfdzs" localSheetId="7">{"Econ Consolidado",#N/A,FALSE,"Econ Consol";"Fluxo de Caixa",#N/A,FALSE,"Fluxo Caixa";"Investimentos",#N/A,FALSE,"Investimentos"}</definedName>
    <definedName name="kfgkhjkjhy" localSheetId="7">{#N/A,#N/A,FALSE,"Plan1";#N/A,#N/A,FALSE,"Plan2"}</definedName>
    <definedName name="KFJFDSDF" localSheetId="7">{#N/A,#N/A,FALSE,"Plan1";#N/A,#N/A,FALSE,"Plan2"}</definedName>
    <definedName name="kfnkeasd" localSheetId="7">{#N/A,#N/A,FALSE,"Plan1";#N/A,#N/A,FALSE,"Plan2"}</definedName>
    <definedName name="khdjkfkjhtg" localSheetId="7">{#N/A,#N/A,FALSE,"Plan1";#N/A,#N/A,FALSE,"Plan2"}</definedName>
    <definedName name="khdkfjhhfsdg" localSheetId="7">{#N/A,#N/A,FALSE,"Plan1";#N/A,#N/A,FALSE,"Plan2"}</definedName>
    <definedName name="khdkjfhgudytu" localSheetId="7">{#N/A,#N/A,FALSE,"Plan1";#N/A,#N/A,FALSE,"Plan2"}</definedName>
    <definedName name="khfdghhhgd" localSheetId="7">{#N/A,#N/A,FALSE,"Plan1";#N/A,#N/A,FALSE,"Plan2"}</definedName>
    <definedName name="khfdkjhsdjf" localSheetId="7">{#N/A,#N/A,FALSE,"Plan1";#N/A,#N/A,FALSE,"Plan2"}</definedName>
    <definedName name="khgdkftfy" localSheetId="7">{#N/A,#N/A,FALSE,"Plan1";#N/A,#N/A,FALSE,"Plan2"}</definedName>
    <definedName name="khgfhhtuhf" localSheetId="7">{#N/A,#N/A,FALSE,"Plan1";#N/A,#N/A,FALSE,"Plan2"}</definedName>
    <definedName name="khjkh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7">{#N/A,#N/A,FALSE,"Plan1";#N/A,#N/A,FALSE,"Plan2"}</definedName>
    <definedName name="kieret" localSheetId="7">{#N/A,#N/A,FALSE,"Plan1";#N/A,#N/A,FALSE,"Plan2"}</definedName>
    <definedName name="kjchkfhsezk" localSheetId="7">{#N/A,#N/A,FALSE,"Plan1";#N/A,#N/A,FALSE,"Plan2"}</definedName>
    <definedName name="kjdghksef" localSheetId="7">{#N/A,#N/A,FALSE,"Plan1";#N/A,#N/A,FALSE,"Plan2"}</definedName>
    <definedName name="kjdkftyhtert" localSheetId="7">{#N/A,#N/A,FALSE,"Plan1";#N/A,#N/A,FALSE,"Plan2"}</definedName>
    <definedName name="kjdlfkjds" localSheetId="7">{#N/A,#N/A,FALSE,"Plan1";#N/A,#N/A,FALSE,"Plan2"}</definedName>
    <definedName name="kjdzhfytrfy" localSheetId="7">{#N/A,#N/A,FALSE,"Plan1";#N/A,#N/A,FALSE,"Plan2"}</definedName>
    <definedName name="kjhdfgjthdft" localSheetId="7">{#N/A,#N/A,FALSE,"Plan1";#N/A,#N/A,FALSE,"Plan2"}</definedName>
    <definedName name="kjhsdfk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7">{#N/A,#N/A,FALSE,"Plan1";#N/A,#N/A,FALSE,"Plan2"}</definedName>
    <definedName name="KJ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7">{#N/A,#N/A,FALSE,"Plan1";#N/A,#N/A,FALSE,"Plan2"}</definedName>
    <definedName name="kjl" localSheetId="7">{#N/A,#N/A,FALSE,"ENG'G(보호계전기)"}</definedName>
    <definedName name="KJOI" localSheetId="7">{#N/A,#N/A,FALSE,"Plan1";#N/A,#N/A,FALSE,"Plan2"}</definedName>
    <definedName name="kjqwerw" localSheetId="7">{#N/A,#N/A,FALSE,"Plan1";#N/A,#N/A,FALSE,"Plan2"}</definedName>
    <definedName name="kjsfert" localSheetId="7">{#N/A,#N/A,FALSE,"Plan1";#N/A,#N/A,FALSE,"Plan2"}</definedName>
    <definedName name="KJXCFKR" localSheetId="7">{#N/A,#N/A,FALSE,"Plan1";#N/A,#N/A,FALSE,"Plan2"}</definedName>
    <definedName name="KJXDFD" localSheetId="7">{#N/A,#N/A,FALSE,"Plan1";#N/A,#N/A,FALSE,"Plan2"}</definedName>
    <definedName name="kk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7">{#N/A,#N/A,FALSE,"Plan1";#N/A,#N/A,FALSE,"Plan2"}</definedName>
    <definedName name="kkkkk" localSheetId="7">{#N/A,#N/A,FALSE,"Plan1";#N/A,#N/A,FALSE,"Plan2"}</definedName>
    <definedName name="kkkkkk" localSheetId="7">{#N/A,#N/A,FALSE,"Plan1";#N/A,#N/A,FALSE,"Plan2"}</definedName>
    <definedName name="kko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7">{#N/A,#N/A,FALSE,"Plan1";#N/A,#N/A,FALSE,"Plan2"}</definedName>
    <definedName name="kksarde" localSheetId="7">{#N/A,#N/A,FALSE,"Plan1";#N/A,#N/A,FALSE,"Plan2"}</definedName>
    <definedName name="klaskldjsw" localSheetId="7">{#N/A,#N/A,FALSE,"Plan1";#N/A,#N/A,FALSE,"Plan2"}</definedName>
    <definedName name="klçkop" localSheetId="7">{#N/A,#N/A,FALSE,"Plan1";#N/A,#N/A,FALSE,"Plan2"}</definedName>
    <definedName name="KLDFNTRDT" localSheetId="7">{#N/A,#N/A,FALSE,"Plan1";#N/A,#N/A,FALSE,"Plan2"}</definedName>
    <definedName name="klhjsdklhdf" localSheetId="7">{#N/A,#N/A,FALSE,"Plan1";#N/A,#N/A,FALSE,"Plan2"}</definedName>
    <definedName name="KLHSKLRHWE" localSheetId="7">{#N/A,#N/A,FALSE,"Plan1";#N/A,#N/A,FALSE,"Plan2"}</definedName>
    <definedName name="KLJASKJD" localSheetId="7">{#N/A,#N/A,FALSE,"Plan1";#N/A,#N/A,FALSE,"Plan2"}</definedName>
    <definedName name="KLJDXLG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7">{#N/A,#N/A,FALSE,"Plan1";#N/A,#N/A,FALSE,"Plan2"}</definedName>
    <definedName name="kljflgjrf" localSheetId="7">{#N/A,#N/A,FALSE,"Plan1";#N/A,#N/A,FALSE,"Plan2"}</definedName>
    <definedName name="kljgfdfr" localSheetId="7">{#N/A,#N/A,FALSE,"Plan1";#N/A,#N/A,FALSE,"Plan2"}</definedName>
    <definedName name="kljgfjrt" localSheetId="7">{#N/A,#N/A,FALSE,"Plan1";#N/A,#N/A,FALSE,"Plan2"}</definedName>
    <definedName name="kljlkdfj" localSheetId="7">{#N/A,#N/A,FALSE,"Plan1";#N/A,#N/A,FALSE,"Plan2"}</definedName>
    <definedName name="kljsakjfr" localSheetId="7">{#N/A,#N/A,FALSE,"Plan1";#N/A,#N/A,FALSE,"Plan2"}</definedName>
    <definedName name="kljsdje" localSheetId="7">{#N/A,#N/A,FALSE,"Plan1";#N/A,#N/A,FALSE,"Plan2"}</definedName>
    <definedName name="kljsfwe" localSheetId="7">{#N/A,#N/A,FALSE,"Plan1";#N/A,#N/A,FALSE,"Plan2"}</definedName>
    <definedName name="klk" localSheetId="7">{#N/A,#N/A,FALSE,"Plan1";#N/A,#N/A,FALSE,"Plan2"}</definedName>
    <definedName name="KLKKLKÇJÇ" localSheetId="7">{#N/A,#N/A,FALSE,"Plan1";#N/A,#N/A,FALSE,"Plan2"}</definedName>
    <definedName name="KLSDFT" localSheetId="7">{#N/A,#N/A,FALSE,"Plan1";#N/A,#N/A,FALSE,"Plan2"}</definedName>
    <definedName name="KLSDHSJKHF" localSheetId="7">{#N/A,#N/A,FALSE,"Plan1";#N/A,#N/A,FALSE,"Plan2"}</definedName>
    <definedName name="klsdkre" localSheetId="7">{#N/A,#N/A,FALSE,"Plan1";#N/A,#N/A,FALSE,"Plan2"}</definedName>
    <definedName name="KLSIDJE" localSheetId="7">{#N/A,#N/A,FALSE,"Plan1";#N/A,#N/A,FALSE,"Plan2"}</definedName>
    <definedName name="klsjarsf" localSheetId="7">{#N/A,#N/A,FALSE,"Plan1";#N/A,#N/A,FALSE,"Plan2"}</definedName>
    <definedName name="klxhjfdkhser" localSheetId="7">{#N/A,#N/A,FALSE,"Plan1";#N/A,#N/A,FALSE,"Plan2"}</definedName>
    <definedName name="kopipnsdfne" localSheetId="7">{#N/A,#N/A,FALSE,"Plan1";#N/A,#N/A,FALSE,"Plan2"}</definedName>
    <definedName name="kp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7">{#N/A,#N/A,FALSE,"Plan1";#N/A,#N/A,FALSE,"Plan2"}</definedName>
    <definedName name="ksdlkfsçzd" localSheetId="7">{#N/A,#N/A,FALSE,"Plan1";#N/A,#N/A,FALSE,"Plan2"}</definedName>
    <definedName name="ksdoçierfe" localSheetId="7">{#N/A,#N/A,FALSE,"Plan1";#N/A,#N/A,FALSE,"Plan2"}</definedName>
    <definedName name="ksdtrdrkf" localSheetId="7">{#N/A,#N/A,FALSE,"Plan1";#N/A,#N/A,FALSE,"Plan2"}</definedName>
    <definedName name="KSFÇJDFJL" localSheetId="7">{#N/A,#N/A,FALSE,"Plan1";#N/A,#N/A,FALSE,"Plan2"}</definedName>
    <definedName name="ksfhse" localSheetId="7">{#N/A,#N/A,FALSE,"Plan1";#N/A,#N/A,FALSE,"Plan2"}</definedName>
    <definedName name="KSRKOE" localSheetId="7">{#N/A,#N/A,FALSE,"Plan1";#N/A,#N/A,FALSE,"Plan2"}</definedName>
    <definedName name="KSWKE" localSheetId="7">{#N/A,#N/A,FALSE,"Plan1";#N/A,#N/A,FALSE,"Plan2"}</definedName>
    <definedName name="kysdusf" localSheetId="7">{#N/A,#N/A,FALSE,"Plan1";#N/A,#N/A,FALSE,"Plan2"}</definedName>
    <definedName name="kzslçdkçle" localSheetId="7">{#N/A,#N/A,FALSE,"Plan1";#N/A,#N/A,FALSE,"Plan2"}</definedName>
    <definedName name="LAEKWRK" localSheetId="7">{#N/A,#N/A,FALSE,"Plan1";#N/A,#N/A,FALSE,"Plan2"}</definedName>
    <definedName name="LAKDEWRF" localSheetId="7">{#N/A,#N/A,FALSE,"Plan1";#N/A,#N/A,FALSE,"Plan2"}</definedName>
    <definedName name="LASÇDSRLF" localSheetId="7">{#N/A,#N/A,FALSE,"Plan1";#N/A,#N/A,FALSE,"Plan2"}</definedName>
    <definedName name="lasrlswer" localSheetId="7">{#N/A,#N/A,FALSE,"Plan1";#N/A,#N/A,FALSE,"Plan2"}</definedName>
    <definedName name="lçadple4r" localSheetId="7">{#N/A,#N/A,FALSE,"Plan1";#N/A,#N/A,FALSE,"Plan2"}</definedName>
    <definedName name="lçasser" localSheetId="7">{#N/A,#N/A,FALSE,"Plan1";#N/A,#N/A,FALSE,"Plan2"}</definedName>
    <definedName name="lcdgjtklfrn" localSheetId="7">{#N/A,#N/A,FALSE,"Plan1";#N/A,#N/A,FALSE,"Plan2"}</definedName>
    <definedName name="lçfklsdkçaer" localSheetId="7">{#N/A,#N/A,FALSE,"Plan1";#N/A,#N/A,FALSE,"Plan2"}</definedName>
    <definedName name="lçjkgf" localSheetId="7">{#N/A,#N/A,FALSE,"Plan1";#N/A,#N/A,FALSE,"Plan2"}</definedName>
    <definedName name="LÇJSLDFJ" localSheetId="7">{#N/A,#N/A,FALSE,"Plan1";#N/A,#N/A,FALSE,"Plan2"}</definedName>
    <definedName name="LÇKÇSDRLK" localSheetId="7">{#N/A,#N/A,FALSE,"Plan1";#N/A,#N/A,FALSE,"Plan2"}</definedName>
    <definedName name="lçkl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7">{#N/A,#N/A,FALSE,"Plan1";#N/A,#N/A,FALSE,"Plan2"}</definedName>
    <definedName name="lçslrr4r" localSheetId="7">{#N/A,#N/A,FALSE,"Plan1";#N/A,#N/A,FALSE,"Plan2"}</definedName>
    <definedName name="ldfjgry" localSheetId="7">{#N/A,#N/A,FALSE,"Plan1";#N/A,#N/A,FALSE,"Plan2"}</definedName>
    <definedName name="ldfjgtilrf" localSheetId="7">{#N/A,#N/A,FALSE,"Plan1";#N/A,#N/A,FALSE,"Plan2"}</definedName>
    <definedName name="ldk" localSheetId="7">{#N/A,#N/A,FALSE,"Plan1";#N/A,#N/A,FALSE,"Plan2"}</definedName>
    <definedName name="ldkgkdfjgkh" localSheetId="7">{#N/A,#N/A,FALSE,"Plan1";#N/A,#N/A,FALSE,"Plan2"}</definedName>
    <definedName name="LDTJGR" localSheetId="7">{#N/A,#N/A,FALSE,"Plan1";#N/A,#N/A,FALSE,"Plan2"}</definedName>
    <definedName name="LEKG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7">{#N/A,#N/A,FALSE,"Plan1";#N/A,#N/A,FALSE,"Plan2"}</definedName>
    <definedName name="lidfjgklruf" localSheetId="7">{#N/A,#N/A,FALSE,"Plan1";#N/A,#N/A,FALSE,"Plan2"}</definedName>
    <definedName name="list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7">{#N/A,#N/A,FALSE,"Plan1";#N/A,#N/A,FALSE,"Plan2"}</definedName>
    <definedName name="LJDFLJRL" localSheetId="7">{#N/A,#N/A,FALSE,"Plan1";#N/A,#N/A,FALSE,"Plan2"}</definedName>
    <definedName name="ljsdfrd" localSheetId="7">{#N/A,#N/A,FALSE,"Plan1";#N/A,#N/A,FALSE,"Plan2"}</definedName>
    <definedName name="LK" localSheetId="7">{#N/A,#N/A,TRUE,"Quinzena 01 à 15-04-98 "}</definedName>
    <definedName name="lkasdkeo" localSheetId="7">{#N/A,#N/A,FALSE,"Plan1";#N/A,#N/A,FALSE,"Plan2"}</definedName>
    <definedName name="lkdeas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7">{#N/A,#N/A,FALSE,"Plan1";#N/A,#N/A,FALSE,"Plan2"}</definedName>
    <definedName name="lkfdkçtktr" localSheetId="7">{#N/A,#N/A,FALSE,"Plan1";#N/A,#N/A,FALSE,"Plan2"}</definedName>
    <definedName name="LKSSDKÇ\E" localSheetId="7" hidden="1">{#N/A,#N/A,FALSE,"Plan1";#N/A,#N/A,FALSE,"Plan2"}</definedName>
    <definedName name="lkt" localSheetId="7">{#N/A,#N/A,FALSE,"Plan1";#N/A,#N/A,FALSE,"Plan2"}</definedName>
    <definedName name="lktlyklt" localSheetId="7">{#N/A,#N/A,FALSE,"Plan1";#N/A,#N/A,FALSE,"Plan2"}</definedName>
    <definedName name="LKTTYT" localSheetId="7">{#N/A,#N/A,FALSE,"Plan1";#N/A,#N/A,FALSE,"Plan2"}</definedName>
    <definedName name="llgg" localSheetId="7">{#N/A,#N/A,FALSE,"Plan1";#N/A,#N/A,FALSE,"Plan2"}</definedName>
    <definedName name="LLL" localSheetId="7">{#N/A,#N/A,FALSE,"Plan1";#N/A,#N/A,FALSE,"Plan2"}</definedName>
    <definedName name="LM_AR" localSheetId="7">{#N/A,#N/A,FALSE,"F-01"}</definedName>
    <definedName name="LM_AT" localSheetId="7">{#N/A,#N/A,FALSE,"F-01"}</definedName>
    <definedName name="LM_INC" localSheetId="7">{#N/A,#N/A,FALSE,"F-01"}</definedName>
    <definedName name="LMPAS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FKLDKFTR" localSheetId="7">{#N/A,#N/A,FALSE,"Plan1";#N/A,#N/A,FALSE,"Plan2"}</definedName>
    <definedName name="lsdjs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7">{#N/A,#N/A,FALSE,"Plan1";#N/A,#N/A,FALSE,"Plan2"}</definedName>
    <definedName name="lsdsder" localSheetId="7">{#N/A,#N/A,FALSE,"Plan1";#N/A,#N/A,FALSE,"Plan2"}</definedName>
    <definedName name="ltj6ljyhdjhngças" localSheetId="7">{#N/A,#N/A,FALSE,"Plan1";#N/A,#N/A,FALSE,"Plan2"}</definedName>
    <definedName name="m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7">{#N/A,#N/A,FALSE,"Plan1";#N/A,#N/A,FALSE,"Plan2"}</definedName>
    <definedName name="MANTO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7">{#N/A,#N/A,FALSE,"Plan1";#N/A,#N/A,FALSE,"Plan2"}</definedName>
    <definedName name="MC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7">{#N/A,#N/A,FALSE,"Plan1";#N/A,#N/A,FALSE,"Plan2"}</definedName>
    <definedName name="MDSÇLFJKJSD" localSheetId="7">{#N/A,#N/A,FALSE,"Plan1";#N/A,#N/A,FALSE,"Plan2"}</definedName>
    <definedName name="ME" localSheetId="7">{"HW",#N/A,FALSE,"1998"}</definedName>
    <definedName name="MESTRE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7">{#N/A,#N/A,FALSE,"Plan1";#N/A,#N/A,FALSE,"Plan2"}</definedName>
    <definedName name="MM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7">{"tabela",#N/A,FALSE,"Tabela";"decoração",#N/A,FALSE,"Decor.";"Informações",#N/A,FALSE,"Inform."}</definedName>
    <definedName name="mmmmmmm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 localSheetId="7">{#N/A,#N/A,FALSE,"Plan1";#N/A,#N/A,FALSE,"Plan2"}</definedName>
    <definedName name="mncvbgcvmc" localSheetId="7">{#N/A,#N/A,FALSE,"Plan1";#N/A,#N/A,FALSE,"Plan2"}</definedName>
    <definedName name="MNDKZSFNCEA" localSheetId="7">{#N/A,#N/A,FALSE,"Plan1";#N/A,#N/A,FALSE,"Plan2"}</definedName>
    <definedName name="mnhdshfgfhd" localSheetId="7">{#N/A,#N/A,FALSE,"Plan1";#N/A,#N/A,FALSE,"Plan2"}</definedName>
    <definedName name="mobra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7">{#N/A,#N/A,FALSE,"cdi";#N/A,#N/A,FALSE,"debent";#N/A,#N/A,FALSE,"fdos";#N/A,#N/A,FALSE,"resumo"}</definedName>
    <definedName name="Modelo1a" localSheetId="7">{#N/A,#N/A,FALSE,"cdi";#N/A,#N/A,FALSE,"debent";#N/A,#N/A,FALSE,"fdos";#N/A,#N/A,FALSE,"resumo"}</definedName>
    <definedName name="Modelo2" localSheetId="7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7">{#N/A,#N/A,FALSE,"CCTV"}</definedName>
    <definedName name="MSDRFSWER" localSheetId="7">{"Econ Consolidado",#N/A,FALSE,"Econ Consol";"Fluxo de Caixa",#N/A,FALSE,"Fluxo Caixa";"Investimentos",#N/A,FALSE,"Investimentos"}</definedName>
    <definedName name="mzshdjshjs" localSheetId="7">{#N/A,#N/A,FALSE,"Plan1";#N/A,#N/A,FALSE,"Plan2"}</definedName>
    <definedName name="na" localSheetId="7">{#N/A,#N/A,FALSE,"$170M Cash";#N/A,#N/A,FALSE,"$250M Cash";#N/A,#N/A,FALSE,"$325M Cash"}</definedName>
    <definedName name="ncdgrdhrtg" localSheetId="7">{#N/A,#N/A,FALSE,"Plan1";#N/A,#N/A,FALSE,"Plan2"}</definedName>
    <definedName name="nchngdfhgdh" localSheetId="7">{#N/A,#N/A,FALSE,"Plan1";#N/A,#N/A,FALSE,"Plan2"}</definedName>
    <definedName name="NCJFKNGJHF" localSheetId="7">{#N/A,#N/A,FALSE,"Plan1";#N/A,#N/A,FALSE,"Plan2"}</definedName>
    <definedName name="ndcxhgdhf" localSheetId="7">{#N/A,#N/A,FALSE,"Plan1";#N/A,#N/A,FALSE,"Plan2"}</definedName>
    <definedName name="ndfjnjkrhdgt" localSheetId="7">{#N/A,#N/A,FALSE,"Plan1";#N/A,#N/A,FALSE,"Plan2"}</definedName>
    <definedName name="ndfkghkjthfyst" localSheetId="7">{#N/A,#N/A,FALSE,"Plan1";#N/A,#N/A,FALSE,"Plan2"}</definedName>
    <definedName name="NDJGKFKGHUFG" localSheetId="7">{#N/A,#N/A,FALSE,"Plan1";#N/A,#N/A,FALSE,"Plan2"}</definedName>
    <definedName name="ndrjkt" localSheetId="7">{#N/A,#N/A,FALSE,"Plan1";#N/A,#N/A,FALSE,"Plan2"}</definedName>
    <definedName name="new" localSheetId="7">{#N/A,#N/A,FALSE,"Global by BU";#N/A,#N/A,FALSE,"U.S. by BU";#N/A,#N/A,FALSE,"Canada by BU";#N/A,#N/A,FALSE,"Europe by BU";#N/A,#N/A,FALSE,"Asia by BU";#N/A,#N/A,FALSE,"Cala by BU"}</definedName>
    <definedName name="NEWNAME" localSheetId="7">{#N/A,#N/A,FALSE,"CCTV"}</definedName>
    <definedName name="nfgjkhvhfghn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7">{#N/A,#N/A,FALSE,"Plan1";#N/A,#N/A,FALSE,"Plan2"}</definedName>
    <definedName name="nh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7">{#N/A,#N/A,FALSE,"Plan1";#N/A,#N/A,FALSE,"Plan2"}</definedName>
    <definedName name="NJSDFHERTG" localSheetId="7">{#N/A,#N/A,FALSE,"Plan1";#N/A,#N/A,FALSE,"Plan2"}</definedName>
    <definedName name="nkfnsskdn" localSheetId="7">{#N/A,#N/A,FALSE,"Plan1";#N/A,#N/A,FALSE,"Plan2"}</definedName>
    <definedName name="NKJL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7">{#N/A,#N/A,FALSE,"Plan1";#N/A,#N/A,FALSE,"Plan2"}</definedName>
    <definedName name="nljsdfljfdsfr" localSheetId="7">{#N/A,#N/A,FALSE,"Plan1";#N/A,#N/A,FALSE,"Plan2"}</definedName>
    <definedName name="nmjdfhxj" localSheetId="7">{#N/A,#N/A,FALSE,"Plan1";#N/A,#N/A,FALSE,"Plan2"}</definedName>
    <definedName name="nnmn" localSheetId="7">{#N/A,#N/A,FALSE,"Plan1";#N/A,#N/A,FALSE,"Plan2"}</definedName>
    <definedName name="nnn" localSheetId="7">{#N/A,#N/A,FALSE,"Plan1";#N/A,#N/A,FALSE,"Plan2"}</definedName>
    <definedName name="nnnnnnnnnnn" localSheetId="7">{"HW",#N/A,FALSE,"1998"}</definedName>
    <definedName name="NNNNNNNNNNNNNNN" localSheetId="7">{#N/A,#N/A,FALSE,"Plan1";#N/A,#N/A,FALSE,"Plan2"}</definedName>
    <definedName name="nnnnnnnnnnnnnnnnnnnn" localSheetId="7">{#N/A,#N/A,FALSE,"Plan1";#N/A,#N/A,FALSE,"Plan2"}</definedName>
    <definedName name="NNXFT" localSheetId="7">{#N/A,#N/A,FALSE,"Plan1";#N/A,#N/A,FALSE,"Plan2"}</definedName>
    <definedName name="nsdkfndgfdnatf" localSheetId="7">{#N/A,#N/A,FALSE,"Plan1";#N/A,#N/A,FALSE,"Plan2"}</definedName>
    <definedName name="nsfljdiljrf" localSheetId="7">{#N/A,#N/A,FALSE,"Plan1";#N/A,#N/A,FALSE,"Plan2"}</definedName>
    <definedName name="nzxcnnjkd" localSheetId="7">{#N/A,#N/A,FALSE,"Plan1";#N/A,#N/A,FALSE,"Plan2"}</definedName>
    <definedName name="odfuudor" localSheetId="7">{#N/A,#N/A,FALSE,"Plan1";#N/A,#N/A,FALSE,"Plan2"}</definedName>
    <definedName name="oiditrot" localSheetId="7">{#N/A,#N/A,FALSE,"Plan1";#N/A,#N/A,FALSE,"Plan2"}</definedName>
    <definedName name="oio" localSheetId="7">{#N/A,#N/A,FALSE,"Plan1";#N/A,#N/A,FALSE,"Plan2"}</definedName>
    <definedName name="OJÇLJ" localSheetId="7">{#N/A,#N/A,FALSE,"Plan1";#N/A,#N/A,FALSE,"Plan2"}</definedName>
    <definedName name="ojkdfit" localSheetId="7">{#N/A,#N/A,FALSE,"Plan1";#N/A,#N/A,FALSE,"Plan2"}</definedName>
    <definedName name="ooo" localSheetId="7">{#N/A,#N/A,FALSE,"Plan1";#N/A,#N/A,FALSE,"Plan2"}</definedName>
    <definedName name="OPASEDWED" localSheetId="7">{"Econ Consolidado",#N/A,FALSE,"Econ Consol";"Fluxo de Caixa",#N/A,FALSE,"Fluxo Caixa";"Investimentos",#N/A,FALSE,"Investimentos"}</definedName>
    <definedName name="opiwre" localSheetId="7">{#N/A,#N/A,FALSE,"Plan1";#N/A,#N/A,FALSE,"Plan2"}</definedName>
    <definedName name="os" localSheetId="7">{#N/A,#N/A,FALSE,"TABLE"}</definedName>
    <definedName name="otodgkrjglsrd" localSheetId="7">{#N/A,#N/A,FALSE,"Plan1";#N/A,#N/A,FALSE,"Plan2"}</definedName>
    <definedName name="OUERWRSR" localSheetId="7">{#N/A,#N/A,FALSE,"Plan1";#N/A,#N/A,FALSE,"Plan2"}</definedName>
    <definedName name="overhaul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7">ROW()-Linha_Cabeçalho</definedName>
    <definedName name="Pendencias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CAS" localSheetId="7">{#N/A,#N/A,TRUE,"Quinzena 01 à 15-04-98 "}</definedName>
    <definedName name="Placas_Areas" localSheetId="7">{#N/A,#N/A,TRUE,"Quinzena 01 à 15-04-98 "}</definedName>
    <definedName name="plan2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7">{#N/A,#N/A,FALSE,"Plan1";#N/A,#N/A,FALSE,"Plan2"}</definedName>
    <definedName name="plaslrswe" localSheetId="7">{#N/A,#N/A,FALSE,"Plan1";#N/A,#N/A,FALSE,"Plan2"}</definedName>
    <definedName name="plsearpef" localSheetId="7">{#N/A,#N/A,FALSE,"Plan1";#N/A,#N/A,FALSE,"Plan2"}</definedName>
    <definedName name="plss" localSheetId="7">{#N/A,#N/A,FALSE,"Plan1";#N/A,#N/A,FALSE,"Plan2"}</definedName>
    <definedName name="PN2건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eço" localSheetId="7">ROW()-Linha_Cabeçalho</definedName>
    <definedName name="print" localSheetId="7">{#N/A,#N/A,FALSE,"$170M Cash";#N/A,#N/A,FALSE,"$250M Cash";#N/A,#N/A,FALSE,"$325M Cash"}</definedName>
    <definedName name="ptirigyiotut" localSheetId="7">{#N/A,#N/A,FALSE,"Plan1";#N/A,#N/A,FALSE,"Plan2"}</definedName>
    <definedName name="PWER3" localSheetId="7">{#N/A,#N/A,FALSE,"Plan1";#N/A,#N/A,FALSE,"Plan2"}</definedName>
    <definedName name="qkqh1" localSheetId="7">{#N/A,#N/A,FALSE,"명세표"}</definedName>
    <definedName name="QQ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7">{#N/A,#N/A,FALSE,"Plan1";#N/A,#N/A,FALSE,"Plan2"}</definedName>
    <definedName name="qwdqw" localSheetId="7">{#N/A,#N/A,FALSE,"Plan1";#N/A,#N/A,FALSE,"Plan2"}</definedName>
    <definedName name="qweqwe" localSheetId="7">{#N/A,#N/A,FALSE,"Plan1";#N/A,#N/A,FALSE,"Plan2"}</definedName>
    <definedName name="qweqwe4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7">{"HW",#N/A,FALSE,"1998"}</definedName>
    <definedName name="RE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sum" localSheetId="7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7">{#N/A,#N/A,TRUE,"Quinzena 01 à 15-04-98 "}</definedName>
    <definedName name="RF" localSheetId="7">{#N/A,#N/A,FALSE,"CCTV"}</definedName>
    <definedName name="rgedrfrgfdg" localSheetId="7">{#N/A,#N/A,FALSE,"Plan1";#N/A,#N/A,FALSE,"Plan2"}</definedName>
    <definedName name="rhdrmq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7">{"'장비'!$A$3:$M$12"}</definedName>
    <definedName name="rrrrrrrr" localSheetId="7">{"'장비'!$A$3:$M$12"}</definedName>
    <definedName name="rrrrrrrrrrr" localSheetId="7">{#N/A,#N/A,TRUE,"Quinzena 01 à 15-04-98 "}</definedName>
    <definedName name="RTYE" localSheetId="7">{"'장비'!$A$3:$M$12"}</definedName>
    <definedName name="sa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7">{#N/A,#N/A,FALSE,"Plan1";#N/A,#N/A,FALSE,"Plan2"}</definedName>
    <definedName name="sadke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7">{#N/A,#N/A,FALSE,"Plan1";#N/A,#N/A,FALSE,"Plan2"}</definedName>
    <definedName name="SADSRTR" localSheetId="7">{#N/A,#N/A,FALSE,"Plan1";#N/A,#N/A,FALSE,"Plan2"}</definedName>
    <definedName name="sadwde" localSheetId="7">{#N/A,#N/A,FALSE,"Plan1";#N/A,#N/A,FALSE,"Plan2"}</definedName>
    <definedName name="sanjay" localSheetId="7">{#N/A,#N/A,FALSE,"TABLE"}</definedName>
    <definedName name="SAS" localSheetId="7">{#N/A,#N/A,FALSE,"Plan1";#N/A,#N/A,FALSE,"Plan2"}</definedName>
    <definedName name="sasads" localSheetId="7">{#N/A,#N/A,FALSE,"Plan1";#N/A,#N/A,FALSE,"Plan2"}</definedName>
    <definedName name="sda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7">{#N/A,#N/A,FALSE,"Plan1";#N/A,#N/A,FALSE,"Plan2"}</definedName>
    <definedName name="sdckd" localSheetId="7">{#N/A,#N/A,FALSE,"Plan1";#N/A,#N/A,FALSE,"Plan2"}</definedName>
    <definedName name="SDDFKSEDE" localSheetId="7">{#N/A,#N/A,FALSE,"Plan1";#N/A,#N/A,FALSE,"Plan2"}</definedName>
    <definedName name="sddkslker" localSheetId="7">{#N/A,#N/A,FALSE,"Plan1";#N/A,#N/A,FALSE,"Plan2"}</definedName>
    <definedName name="sdefr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7">{#N/A,#N/A,FALSE,"Plan1";#N/A,#N/A,FALSE,"Plan2"}</definedName>
    <definedName name="sdfdfc" localSheetId="7">{#N/A,#N/A,FALSE,"Plan1";#N/A,#N/A,FALSE,"Plan2"}</definedName>
    <definedName name="sdfdf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7">{#N/A,#N/A,FALSE,"Plan1";#N/A,#N/A,FALSE,"Plan2"}</definedName>
    <definedName name="sdfdsf" localSheetId="7">{#N/A,#N/A,FALSE,"Plan1";#N/A,#N/A,FALSE,"Plan2"}</definedName>
    <definedName name="sdfdsf\da" localSheetId="7" hidden="1">{#N/A,#N/A,FALSE,"Plan1";#N/A,#N/A,FALSE,"Plan2"}</definedName>
    <definedName name="SDFEDRT" localSheetId="7">{#N/A,#N/A,FALSE,"Plan1";#N/A,#N/A,FALSE,"Plan2"}</definedName>
    <definedName name="sdfer" localSheetId="7">{#N/A,#N/A,FALSE,"Plan1";#N/A,#N/A,FALSE,"Plan2"}</definedName>
    <definedName name="sdferr" localSheetId="7">{#N/A,#N/A,FALSE,"Plan1";#N/A,#N/A,FALSE,"Plan2"}</definedName>
    <definedName name="sdfe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7">{#N/A,#N/A,FALSE,"Plan1";#N/A,#N/A,FALSE,"Plan2"}</definedName>
    <definedName name="sdfgtr" localSheetId="7">{#N/A,#N/A,FALSE,"Plan1";#N/A,#N/A,FALSE,"Plan2"}</definedName>
    <definedName name="sdfjdetrt" localSheetId="7">{#N/A,#N/A,FALSE,"Plan1";#N/A,#N/A,FALSE,"Plan2"}</definedName>
    <definedName name="SDFJDRTJEIDR" localSheetId="7">{#N/A,#N/A,FALSE,"Plan1";#N/A,#N/A,FALSE,"Plan2"}</definedName>
    <definedName name="sdfjergtij" localSheetId="7">{#N/A,#N/A,FALSE,"Plan1";#N/A,#N/A,FALSE,"Plan2"}</definedName>
    <definedName name="SDFOPJKWE" localSheetId="7">{#N/A,#N/A,FALSE,"Plan1";#N/A,#N/A,FALSE,"Plan2"}</definedName>
    <definedName name="sdfrdt5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7">{#N/A,#N/A,FALSE,"Plan1";#N/A,#N/A,FALSE,"Plan2"}</definedName>
    <definedName name="SDFRTKK" localSheetId="7">{#N/A,#N/A,FALSE,"Plan1";#N/A,#N/A,FALSE,"Plan2"}</definedName>
    <definedName name="SDFRTR" localSheetId="7">{#N/A,#N/A,FALSE,"Plan1";#N/A,#N/A,FALSE,"Plan2"}</definedName>
    <definedName name="sdfry6" localSheetId="7">{#N/A,#N/A,FALSE,"Plan1";#N/A,#N/A,FALSE,"Plan2"}</definedName>
    <definedName name="sdfsaf" localSheetId="7">{#N/A,#N/A,FALSE,"Plan1";#N/A,#N/A,FALSE,"Plan2"}</definedName>
    <definedName name="sdfsd" localSheetId="7">{"'Estimativa de Lançamento-JAN'!$A$1:$AI$85"}</definedName>
    <definedName name="sdfsdfg" localSheetId="7">{#N/A,#N/A,FALSE,"Plan1";#N/A,#N/A,FALSE,"Plan2"}</definedName>
    <definedName name="SDFSDFK" localSheetId="7">{#N/A,#N/A,FALSE,"Plan1";#N/A,#N/A,FALSE,"Plan2"}</definedName>
    <definedName name="sdfsdgftret" localSheetId="7">{#N/A,#N/A,FALSE,"Plan1";#N/A,#N/A,FALSE,"Plan2"}</definedName>
    <definedName name="sdfsf" localSheetId="7">{#N/A,#N/A,FALSE,"Plan1";#N/A,#N/A,FALSE,"Plan2"}</definedName>
    <definedName name="SDFSFRT" localSheetId="7">{"Econ Consolidado",#N/A,FALSE,"Econ Consol";"Fluxo de Caixa",#N/A,FALSE,"Fluxo Caixa";"Investimentos",#N/A,FALSE,"Investimentos"}</definedName>
    <definedName name="sdfsr" localSheetId="7">{#N/A,#N/A,FALSE,"Plan1";#N/A,#N/A,FALSE,"Plan2"}</definedName>
    <definedName name="sdfty" localSheetId="7">{#N/A,#N/A,FALSE,"Plan1";#N/A,#N/A,FALSE,"Plan2"}</definedName>
    <definedName name="sdgdf" localSheetId="7">{#N/A,#N/A,FALSE,"Plan1";#N/A,#N/A,FALSE,"Plan2"}</definedName>
    <definedName name="sdgfrt" localSheetId="7">{#N/A,#N/A,FALSE,"Plan1";#N/A,#N/A,FALSE,"Plan2"}</definedName>
    <definedName name="sdgft" localSheetId="7">{#N/A,#N/A,FALSE,"Plan1";#N/A,#N/A,FALSE,"Plan2"}</definedName>
    <definedName name="sdgt" localSheetId="7">{#N/A,#N/A,FALSE,"Plan1";#N/A,#N/A,FALSE,"Plan2"}</definedName>
    <definedName name="sdhfghdsfg" localSheetId="7">{#N/A,#N/A,FALSE,"Plan1";#N/A,#N/A,FALSE,"Plan2"}</definedName>
    <definedName name="SDHFJKHDFJRE" localSheetId="7">{#N/A,#N/A,FALSE,"Plan1";#N/A,#N/A,FALSE,"Plan2"}</definedName>
    <definedName name="SDHKFDRKGTR" localSheetId="7">{#N/A,#N/A,FALSE,"Plan1";#N/A,#N/A,FALSE,"Plan2"}</definedName>
    <definedName name="sdjdswger" localSheetId="7">{#N/A,#N/A,FALSE,"Plan1";#N/A,#N/A,FALSE,"Plan2"}</definedName>
    <definedName name="sdjfdf" localSheetId="7">{#N/A,#N/A,FALSE,"Plan1";#N/A,#N/A,FALSE,"Plan2"}</definedName>
    <definedName name="sdjfhdjk" localSheetId="7">{#N/A,#N/A,FALSE,"Plan1";#N/A,#N/A,FALSE,"Plan2"}</definedName>
    <definedName name="SDJFJDER" localSheetId="7">{#N/A,#N/A,FALSE,"Plan1";#N/A,#N/A,FALSE,"Plan2"}</definedName>
    <definedName name="sdjflsdjfl" localSheetId="7">{#N/A,#N/A,FALSE,"Plan1";#N/A,#N/A,FALSE,"Plan2"}</definedName>
    <definedName name="SDJHF" localSheetId="7">{#N/A,#N/A,FALSE,"Plan1";#N/A,#N/A,FALSE,"Plan2"}</definedName>
    <definedName name="sdjrderertrr" localSheetId="7">{#N/A,#N/A,FALSE,"Plan1";#N/A,#N/A,FALSE,"Plan2"}</definedName>
    <definedName name="sdkdjk" localSheetId="7">{#N/A,#N/A,FALSE,"Plan1";#N/A,#N/A,FALSE,"Plan2"}</definedName>
    <definedName name="sdkfjhkdgfhk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7">{#N/A,#N/A,FALSE,"Plan1";#N/A,#N/A,FALSE,"Plan2"}</definedName>
    <definedName name="sdkk" localSheetId="7">{#N/A,#N/A,FALSE,"Plan1";#N/A,#N/A,FALSE,"Plan2"}</definedName>
    <definedName name="sdlfsdflj" localSheetId="7">{#N/A,#N/A,FALSE,"Plan1";#N/A,#N/A,FALSE,"Plan2"}</definedName>
    <definedName name="sdmfmdfsgfd" localSheetId="7">{#N/A,#N/A,FALSE,"Plan1";#N/A,#N/A,FALSE,"Plan2"}</definedName>
    <definedName name="sd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7">{#N/A,#N/A,FALSE,"Plan1";#N/A,#N/A,FALSE,"Plan2"}</definedName>
    <definedName name="sdsd" localSheetId="7">{#N/A,#N/A,FALSE,"Plan1";#N/A,#N/A,FALSE,"Plan2"}</definedName>
    <definedName name="sdser" localSheetId="7">{#N/A,#N/A,FALSE,"Plan1";#N/A,#N/A,FALSE,"Plan2"}</definedName>
    <definedName name="sdsre" localSheetId="7">{#N/A,#N/A,FALSE,"Plan1";#N/A,#N/A,FALSE,"Plan2"}</definedName>
    <definedName name="sdss" localSheetId="7">{#N/A,#N/A,FALSE,"Plan1";#N/A,#N/A,FALSE,"Plan2"}</definedName>
    <definedName name="sdusi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7">{"Econ Consolidado",#N/A,FALSE,"Econ Consol";"Fluxo de Caixa",#N/A,FALSE,"Fluxo Caixa";"Investimentos",#N/A,FALSE,"Investimentos"}</definedName>
    <definedName name="sdxfrt" localSheetId="7">{#N/A,#N/A,FALSE,"Plan1";#N/A,#N/A,FALSE,"Plan2"}</definedName>
    <definedName name="SDZFERF" localSheetId="7">{#N/A,#N/A,FALSE,"Plan1";#N/A,#N/A,FALSE,"Plan2"}</definedName>
    <definedName name="sefret4r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ftru" localSheetId="7">{#N/A,#N/A,FALSE,"Plan1";#N/A,#N/A,FALSE,"Plan2"}</definedName>
    <definedName name="SEREWRSWE" localSheetId="7">{"tabela",#N/A,FALSE,"Tabela";"decoração",#N/A,FALSE,"Decor.";"Informações",#N/A,FALSE,"Inform."}</definedName>
    <definedName name="sf" localSheetId="7">{#N/A,#N/A,FALSE,"Plan1";#N/A,#N/A,FALSE,"Plan2"}</definedName>
    <definedName name="sfcrer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7">{#N/A,#N/A,FALSE,"Plan1";#N/A,#N/A,FALSE,"Plan2"}</definedName>
    <definedName name="sfds" localSheetId="7">{#N/A,#N/A,FALSE,"Plan1";#N/A,#N/A,FALSE,"Plan2"}</definedName>
    <definedName name="sfdsd" localSheetId="7">{#N/A,#N/A,FALSE,"Plan1";#N/A,#N/A,FALSE,"Plan2"}</definedName>
    <definedName name="sfrsdrgt" localSheetId="7">{#N/A,#N/A,FALSE,"Plan1";#N/A,#N/A,FALSE,"Plan2"}</definedName>
    <definedName name="SFRT" localSheetId="7">{#N/A,#N/A,FALSE,"Plan1";#N/A,#N/A,FALSE,"Plan2"}</definedName>
    <definedName name="sfsdferf" localSheetId="7">{#N/A,#N/A,FALSE,"Plan1";#N/A,#N/A,FALSE,"Plan2"}</definedName>
    <definedName name="SFSDS" localSheetId="7">{#N/A,#N/A,FALSE,"Plan1";#N/A,#N/A,FALSE,"Plan2"}</definedName>
    <definedName name="sgtghty" localSheetId="7">{#N/A,#N/A,FALSE,"Plan1";#N/A,#N/A,FALSE,"Plan2"}</definedName>
    <definedName name="SH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jawe" localSheetId="7">{#N/A,#N/A,FALSE,"Plan1";#N/A,#N/A,FALSE,"Plan2"}</definedName>
    <definedName name="sjdffd" localSheetId="7">{#N/A,#N/A,FALSE,"Plan1";#N/A,#N/A,FALSE,"Plan2"}</definedName>
    <definedName name="SJDFHDJS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7">{#N/A,#N/A,FALSE,"Plan1";#N/A,#N/A,FALSE,"Plan2"}</definedName>
    <definedName name="SJDKJDE" localSheetId="7">{"Econ Consolidado",#N/A,FALSE,"Econ Consol";"Fluxo de Caixa",#N/A,FALSE,"Fluxo Caixa";"Investimentos",#N/A,FALSE,"Investimentos"}</definedName>
    <definedName name="sjekwjri" localSheetId="7">{#N/A,#N/A,FALSE,"Plan1";#N/A,#N/A,FALSE,"Plan2"}</definedName>
    <definedName name="sjfkdhsfds" localSheetId="7">{#N/A,#N/A,FALSE,"Plan1";#N/A,#N/A,FALSE,"Plan2"}</definedName>
    <definedName name="sjkdljslkrje" localSheetId="7">{#N/A,#N/A,FALSE,"Plan1";#N/A,#N/A,FALSE,"Plan2"}</definedName>
    <definedName name="skadadaszs" localSheetId="7">{#N/A,#N/A,FALSE,"Plan1";#N/A,#N/A,FALSE,"Plan2"}</definedName>
    <definedName name="SKASH" localSheetId="7">{#N/A,#N/A,FALSE,"Plan1";#N/A,#N/A,FALSE,"Plan2"}</definedName>
    <definedName name="skldfrde" localSheetId="7">{#N/A,#N/A,FALSE,"Plan1";#N/A,#N/A,FALSE,"Plan2"}</definedName>
    <definedName name="skosroer" localSheetId="7">{#N/A,#N/A,FALSE,"Plan1";#N/A,#N/A,FALSE,"Plan2"}</definedName>
    <definedName name="sp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7">{#N/A,#N/A,FALSE,"Plan1";#N/A,#N/A,FALSE,"Plan2"}</definedName>
    <definedName name="SRH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ab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est" localSheetId="7">{"'Edit'!$A$1:$V$2277"}</definedName>
    <definedName name="TESTANDO" localSheetId="7">{#N/A,#N/A,TRUE,"Quinzena 01 à 15-04-98 "}</definedName>
    <definedName name="teste1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7">{#N/A,#N/A,FALSE,"Plan1";#N/A,#N/A,FALSE,"Plan2"}</definedName>
    <definedName name="THYJ" localSheetId="7">{#N/A,#N/A,FALSE,"Plan1";#N/A,#N/A,FALSE,"Plan2"}</definedName>
    <definedName name="tihjgih" localSheetId="7">{#N/A,#N/A,FALSE,"Plan1";#N/A,#N/A,FALSE,"Plan2"}</definedName>
    <definedName name="trjyidih" localSheetId="7">{#N/A,#N/A,FALSE,"Plan1";#N/A,#N/A,FALSE,"Plan2"}</definedName>
    <definedName name="tuyedjsksj" localSheetId="7">{#N/A,#N/A,FALSE,"Plan1";#N/A,#N/A,FALSE,"Plan2"}</definedName>
    <definedName name="TYHGFHFHG" localSheetId="7">{#N/A,#N/A,FALSE,"Plan1";#N/A,#N/A,FALSE,"Plan2"}</definedName>
    <definedName name="u" localSheetId="7">{#N/A,#N/A,FALSE,"ET-CAPA";#N/A,#N/A,FALSE,"ET-PAG1";#N/A,#N/A,FALSE,"ET-PAG2";#N/A,#N/A,FALSE,"ET-PAG3";#N/A,#N/A,FALSE,"ET-PAG4";#N/A,#N/A,FALSE,"ET-PAG5"}</definedName>
    <definedName name="udhgfhfg" localSheetId="7">{#N/A,#N/A,FALSE,"Plan1";#N/A,#N/A,FALSE,"Plan2"}</definedName>
    <definedName name="ueiutriuef" localSheetId="7">{#N/A,#N/A,FALSE,"Plan1";#N/A,#N/A,FALSE,"Plan2"}</definedName>
    <definedName name="UHGSDUS" localSheetId="7">{#N/A,#N/A,FALSE,"Plan1";#N/A,#N/A,FALSE,"Plan2"}</definedName>
    <definedName name="UIHWER45R" localSheetId="7">{#N/A,#N/A,FALSE,"Plan1";#N/A,#N/A,FALSE,"Plan2"}</definedName>
    <definedName name="uiosderuiu" localSheetId="7">{#N/A,#N/A,FALSE,"Plan1";#N/A,#N/A,FALSE,"Plan2"}</definedName>
    <definedName name="UIOURET" localSheetId="7">{#N/A,#N/A,FALSE,"Plan1";#N/A,#N/A,FALSE,"Plan2"}</definedName>
    <definedName name="uiwuer" localSheetId="7">{#N/A,#N/A,FALSE,"Plan1";#N/A,#N/A,FALSE,"Plan2"}</definedName>
    <definedName name="UKHDFDSGUDFKD" localSheetId="7">{#N/A,#N/A,FALSE,"Plan1";#N/A,#N/A,FALSE,"Plan2"}</definedName>
    <definedName name="unit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7">{#N/A,#N/A,FALSE,"Plan1";#N/A,#N/A,FALSE,"Plan2"}</definedName>
    <definedName name="valve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7">{#N/A,#N/A,FALSE,"Plan1";#N/A,#N/A,FALSE,"Plan2"}</definedName>
    <definedName name="VERIFICAR" localSheetId="7">{#N/A,#N/A,TRUE,"Quinzena 01 à 15-04-98 "}</definedName>
    <definedName name="vfnijfd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7">{#N/A,#N/A,FALSE,"Plan1";#N/A,#N/A,FALSE,"Plan2"}</definedName>
    <definedName name="vld_classificacao" localSheetId="7">IF(#REF!="Ativa",OFFSET(INDEX(rng_list_classificacao,MATCH(#REF!,rng_list_classificacao,0)),1,0,COUNTA(rng_list_classificacao)-1),#REF!)</definedName>
    <definedName name="vld_regional" localSheetId="7">OFFSET(INDEX(rng_list_regional,MATCH(#REF!,rng_list_regional,0)),1,0,COUNTA(rng_list_regional)-1)</definedName>
    <definedName name="vld_segmento" localSheetId="7">IF(#REF!="Ativa",OFFSET(INDEX(rng_list_segmento,MATCH(#REF!,rng_list_segmento,0)),1,0,COUNTA(rng_list_segmento)-1),#REF!)</definedName>
    <definedName name="vld_sociedade" localSheetId="7">OFFSET(INDEX(rng_list_sociedade,MATCH(#REF!,rng_list_sociedade,0)),1,0,COUNTA(rng_list_sociedade)-1)</definedName>
    <definedName name="vld_status_empresa" localSheetId="7">OFFSET(INDEX(rng_list_status_empresa,MATCH(#REF!,rng_list_status_empresa,0)),1,0,COUNTA(rng_list_status_empresa)-1)</definedName>
    <definedName name="vld_status_lancamento" localSheetId="7">IF(#REF!="Ativa",OFFSET(INDEX(rng_list_status_lancamento,MATCH(#REF!,rng_list_status_lancamento,0)),1,0,COUNTA(rng_list_status_lancamento)-1),#REF!)</definedName>
    <definedName name="vld_status_projeto" localSheetId="7">IF(#REF!="Ativa",OFFSET(INDEX(rng_list_status_projeto,MATCH(#REF!,rng_list_status_projeto,0)),1,0,COUNTA(rng_list_status_projeto)-1),#REF!)</definedName>
    <definedName name="vld_status_viabilidade" localSheetId="7">OFFSET(INDEX(rng_list_status_viabilidade,MATCH(#REF!,rng_list_status_viabilidade,0)),1,0,COUNTA(rng_list_status_viabilidade)-1)</definedName>
    <definedName name="VSDHFGDFGR" localSheetId="7">{#N/A,#N/A,FALSE,"Plan1";#N/A,#N/A,FALSE,"Plan2"}</definedName>
    <definedName name="vvbb" localSheetId="7">{"tabela",#N/A,FALSE,"Tabela";"decoração",#N/A,FALSE,"Decor.";"Informações",#N/A,FALSE,"Inform."}</definedName>
    <definedName name="vvcbnb" localSheetId="7">{#N/A,#N/A,FALSE,"Plan1";#N/A,#N/A,FALSE,"Plan2"}</definedName>
    <definedName name="vvvvv" localSheetId="7">{"Econ Consolidado",#N/A,FALSE,"Econ Consol";"Fluxo de Caixa",#N/A,FALSE,"Fluxo Caixa";"Investimentos",#N/A,FALSE,"Investimentos"}</definedName>
    <definedName name="vvvvvv" localSheetId="7">{#N/A,#N/A,FALSE,"Plan1";#N/A,#N/A,FALSE,"Plan2"}</definedName>
    <definedName name="vvvvvvvvvvvvvvvvv" localSheetId="7">{"HW",#N/A,FALSE,"1998"}</definedName>
    <definedName name="wadalrdjlaev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7">{#N/A,#N/A,FALSE,"Plan1";#N/A,#N/A,FALSE,"Plan2"}</definedName>
    <definedName name="wetoedjtkdr" localSheetId="7">{#N/A,#N/A,FALSE,"Plan1";#N/A,#N/A,FALSE,"Plan2"}</definedName>
    <definedName name="WHATS" localSheetId="7">{"'Edit'!$A$1:$V$2277"}</definedName>
    <definedName name="win.VESSEL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7">{#N/A,#N/A,FALSE,"Plan1";#N/A,#N/A,FALSE,"Plan2"}</definedName>
    <definedName name="WLQ" localSheetId="7">{#N/A,#N/A,FALSE,"명세표"}</definedName>
    <definedName name="WRITE" localSheetId="7">{#N/A,#N/A,FALSE,"CCTV"}</definedName>
    <definedName name="wrn.BM." localSheetId="7">{#N/A,#N/A,FALSE,"CCTV"}</definedName>
    <definedName name="wrn.Brita98.xls." localSheetId="7">{#N/A,#N/A,TRUE,"Quinzena 01 à 15-04-98 "}</definedName>
    <definedName name="wrn.Completo." localSheetId="7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7">{"EconCons",#N/A,TRUE,"Econômico - Consolidado";"CaixaCons",#N/A,TRUE,"Caixa - Consolidado";"InvestCons",#N/A,TRUE,"Invest Consolidado"}</definedName>
    <definedName name="wrn.Consolidado." localSheetId="7">{"Econ Consolidado",#N/A,FALSE,"Econ Consol";"Fluxo de Caixa",#N/A,FALSE,"Fluxo Caixa";"Investimentos",#N/A,FALSE,"Investimentos"}</definedName>
    <definedName name="wrn.GERAL." localSheetId="7">{#N/A,#N/A,FALSE,"ET-CAPA";#N/A,#N/A,FALSE,"ET-PAG1";#N/A,#N/A,FALSE,"ET-PAG2";#N/A,#N/A,FALSE,"ET-PAG3";#N/A,#N/A,FALSE,"ET-PAG4";#N/A,#N/A,FALSE,"ET-PAG5"}</definedName>
    <definedName name="wrn.HAGE." localSheetId="7">{#N/A,#N/A,FALSE,"cdi";#N/A,#N/A,FALSE,"debent";#N/A,#N/A,FALSE,"fdos";#N/A,#N/A,FALSE,"resumo"}</definedName>
    <definedName name="wrn.HAGE01" localSheetId="7">{#N/A,#N/A,FALSE,"cdi";#N/A,#N/A,FALSE,"debent";#N/A,#N/A,FALSE,"fdos";#N/A,#N/A,FALSE,"resumo"}</definedName>
    <definedName name="wrn.HW." localSheetId="7">{"HW",#N/A,FALSE,"1998"}</definedName>
    <definedName name="wrn.imp_flx." localSheetId="7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7">{#N/A,#N/A,FALSE,"Plan1";#N/A,#N/A,FALSE,"Plan2"}</definedName>
    <definedName name="wrn.Imprimir." localSheetId="7">{"tabela",#N/A,FALSE,"Tabela";"decoração",#N/A,FALSE,"Decor.";"Informações",#N/A,FALSE,"Inform."}</definedName>
    <definedName name="wrn.LPU._.MG." localSheetId="7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7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7">{#N/A,#N/A,FALSE,"ALVENARIA";#N/A,#N/A,FALSE,"BLOCOS";#N/A,#N/A,FALSE,"CINTAS";#N/A,#N/A,FALSE,"CORTINA";#N/A,#N/A,FALSE,"LAJES";#N/A,#N/A,FALSE,"PILARES";#N/A,#N/A,FALSE,"VIGAS"}</definedName>
    <definedName name="wrn.Month._.Report._.Package." localSheetId="7">{#N/A,#N/A,FALSE,"Global Wls Trend";#N/A,#N/A,FALSE,"Region Trend";#N/A,#N/A,FALSE,"PBU Trend"}</definedName>
    <definedName name="wrn.Monthly._.Report._.Package." localSheetId="7">{#N/A,#N/A,FALSE,"Global by BU";#N/A,#N/A,FALSE,"U.S. by BU";#N/A,#N/A,FALSE,"Canada by BU";#N/A,#N/A,FALSE,"Europe by BU";#N/A,#N/A,FALSE,"Asia by BU";#N/A,#N/A,FALSE,"Cala by BU"}</definedName>
    <definedName name="wrn.PENDENCIAS.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7">{#N/A,#N/A,FALSE,"F-01"}</definedName>
    <definedName name="wrn.Planiha._.de._.Medição._.F._.01._1" localSheetId="7">{#N/A,#N/A,FALSE,"F-01"}</definedName>
    <definedName name="wrn.Planilha_de_Medição_F_02" localSheetId="7">{#N/A,#N/A,FALSE,"F-01"}</definedName>
    <definedName name="wrn.print._.all." localSheetId="7">{#N/A,#N/A,FALSE,"$170M Cash";#N/A,#N/A,FALSE,"$250M Cash";#N/A,#N/A,FALSE,"$325M Cash"}</definedName>
    <definedName name="wrn.PrintAll." localSheetId="7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7">{#N/A,#N/A,FALSE,"Sheet1";#N/A,#N/A,FALSE,"Sheet2";#N/A,#N/A,FALSE,"Sheet3"}</definedName>
    <definedName name="wrn.PrintPrev1." localSheetId="7">{#N/A,#N/A,FALSE,"Sheet4";#N/A,#N/A,FALSE,"Sheet5";#N/A,#N/A,FALSE,"Sheet6"}</definedName>
    <definedName name="wrn.PrintPrev2." localSheetId="7">{#N/A,#N/A,FALSE,"Sheet7";#N/A,#N/A,FALSE,"Sheet8";#N/A,#N/A,FALSE,"Sheet9"}</definedName>
    <definedName name="wrn.Quadros._.relatório." localSheetId="7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7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7">{#N/A,#N/A,FALSE,"TABLE"}</definedName>
    <definedName name="wrn.TERCEIRO." localSheetId="7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7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7">{#N/A,#N/A,FALSE,"명세표"}</definedName>
    <definedName name="wrn.Unidades." localSheetId="7">{"Rio Branco",#N/A,FALSE,"Rio Branco";"Itajaí",#N/A,FALSE,"Itajaí";"Pinheiro Machado",#N/A,FALSE,"PMachado";"Esteio",#N/A,FALSE,"Esteio"}</definedName>
    <definedName name="wrn.VESSEL및N2._.구입사양서.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7">{#N/A,#N/A,FALSE,"Sheet1";#N/A,#N/A,FALSE,"Sheet2";#N/A,#N/A,FALSE,"TAB96-1"}</definedName>
    <definedName name="wrn.보호계전기." localSheetId="7">{#N/A,#N/A,FALSE,"ENG'G(보호계전기)"}</definedName>
    <definedName name="wrn.현장._.NCR._.분석." localSheetId="7">{#N/A,#N/A,FALSE,"현장 NCR 분석";#N/A,#N/A,FALSE,"현장품질감사";#N/A,#N/A,FALSE,"현장품질감사"}</definedName>
    <definedName name="wrn1.Cons." localSheetId="7">{"EconCons",#N/A,TRUE,"Econômico - Consolidado";"CaixaCons",#N/A,TRUE,"Caixa - Consolidado";"InvestCons",#N/A,TRUE,"Invest Consolidado"}</definedName>
    <definedName name="wrn1.print._.all." localSheetId="7">{#N/A,#N/A,FALSE,"$170M Cash";#N/A,#N/A,FALSE,"$250M Cash";#N/A,#N/A,FALSE,"$325M Cash"}</definedName>
    <definedName name="WRS" localSheetId="7">{"'장비'!$A$3:$M$12"}</definedName>
    <definedName name="wrt" localSheetId="7">{#N/A,#N/A,FALSE,"$170M Cash";#N/A,#N/A,FALSE,"$250M Cash";#N/A,#N/A,FALSE,"$325M Cash"}</definedName>
    <definedName name="wvu.PLANILHA2.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7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7">{#N/A,#N/A,FALSE,"Plan1";#N/A,#N/A,FALSE,"Plan2"}</definedName>
    <definedName name="xcgjkfghf" localSheetId="7">{#N/A,#N/A,FALSE,"Plan1";#N/A,#N/A,FALSE,"Plan2"}</definedName>
    <definedName name="XCGJKVHFDG" localSheetId="7">{#N/A,#N/A,FALSE,"Plan1";#N/A,#N/A,FALSE,"Plan2"}</definedName>
    <definedName name="xcgtrty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7">{#N/A,#N/A,FALSE,"Plan1";#N/A,#N/A,FALSE,"Plan2"}</definedName>
    <definedName name="xcndj" localSheetId="7">{#N/A,#N/A,FALSE,"Plan1";#N/A,#N/A,FALSE,"Plan2"}</definedName>
    <definedName name="XCVGGT" localSheetId="7">{#N/A,#N/A,FALSE,"Plan1";#N/A,#N/A,FALSE,"Plan2"}</definedName>
    <definedName name="xcvrg" localSheetId="7">{#N/A,#N/A,FALSE,"Plan1";#N/A,#N/A,FALSE,"Plan2"}</definedName>
    <definedName name="xdfef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7">{#N/A,#N/A,FALSE,"Plan1";#N/A,#N/A,FALSE,"Plan2"}</definedName>
    <definedName name="xfdlfj" localSheetId="7">{#N/A,#N/A,FALSE,"Plan1";#N/A,#N/A,FALSE,"Plan2"}</definedName>
    <definedName name="xfdxfdf" localSheetId="7">{#N/A,#N/A,FALSE,"Plan1";#N/A,#N/A,FALSE,"Plan2"}</definedName>
    <definedName name="XFJKLDJKLGJ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7">{#N/A,#N/A,FALSE,"Plan1";#N/A,#N/A,FALSE,"Plan2"}</definedName>
    <definedName name="XFT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7">{"Econ Consolidado",#N/A,FALSE,"Econ Consol";"Fluxo de Caixa",#N/A,FALSE,"Fluxo Caixa";"Investimentos",#N/A,FALSE,"Investimentos"}</definedName>
    <definedName name="xfvgcfgt" localSheetId="7">{#N/A,#N/A,FALSE,"Plan1";#N/A,#N/A,FALSE,"Plan2"}</definedName>
    <definedName name="xgrg" localSheetId="7">{#N/A,#N/A,FALSE,"Plan1";#N/A,#N/A,FALSE,"Plan2"}</definedName>
    <definedName name="xmght" localSheetId="7">{#N/A,#N/A,FALSE,"Plan1";#N/A,#N/A,FALSE,"Plan2"}</definedName>
    <definedName name="xo" localSheetId="7">{#N/A,#N/A,FALSE,"Global by BU";#N/A,#N/A,FALSE,"U.S. by BU";#N/A,#N/A,FALSE,"Canada by BU";#N/A,#N/A,FALSE,"Europe by BU";#N/A,#N/A,FALSE,"Asia by BU";#N/A,#N/A,FALSE,"Cala by BU"}</definedName>
    <definedName name="xxxx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7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xx" localSheetId="7">{#N/A,#N/A,FALSE,"Plan1";#N/A,#N/A,FALSE,"Plan2"}</definedName>
    <definedName name="xzfrt" localSheetId="7">{#N/A,#N/A,FALSE,"Plan1";#N/A,#N/A,FALSE,"Plan2"}</definedName>
    <definedName name="yeitrtged" localSheetId="7">{#N/A,#N/A,FALSE,"Plan1";#N/A,#N/A,FALSE,"Plan2"}</definedName>
    <definedName name="yhdfiuygrui" localSheetId="7">{#N/A,#N/A,FALSE,"Plan1";#N/A,#N/A,FALSE,"Plan2"}</definedName>
    <definedName name="YRGUYDRIY" localSheetId="7">{"Econ Consolidado",#N/A,FALSE,"Econ Consol";"Fluxo de Caixa",#N/A,FALSE,"Fluxo Caixa";"Investimentos",#N/A,FALSE,"Investimentos"}</definedName>
    <definedName name="yuegursdmksf" localSheetId="7">{#N/A,#N/A,FALSE,"Plan1";#N/A,#N/A,FALSE,"Plan2"}</definedName>
    <definedName name="yuekl4fr" localSheetId="7">{#N/A,#N/A,FALSE,"Plan1";#N/A,#N/A,FALSE,"Plan2"}</definedName>
    <definedName name="yureytuyrea" localSheetId="7">{#N/A,#N/A,FALSE,"Plan1";#N/A,#N/A,FALSE,"Plan2"}</definedName>
    <definedName name="z" localSheetId="7">{"'Estimativa de Lançamento-JAN'!$A$1:$AI$85"}</definedName>
    <definedName name="z\djs" localSheetId="7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cdçskld" localSheetId="7">{#N/A,#N/A,FALSE,"Plan1";#N/A,#N/A,FALSE,"Plan2"}</definedName>
    <definedName name="zcsdrfrt" localSheetId="7">{#N/A,#N/A,FALSE,"Plan1";#N/A,#N/A,FALSE,"Plan2"}</definedName>
    <definedName name="ZDRE" localSheetId="7">{#N/A,#N/A,FALSE,"Plan1";#N/A,#N/A,FALSE,"Plan2"}</definedName>
    <definedName name="ZSADF" localSheetId="7">{#N/A,#N/A,FALSE,"Plan1";#N/A,#N/A,FALSE,"Plan2"}</definedName>
    <definedName name="zsads" localSheetId="7">{#N/A,#N/A,FALSE,"Plan1";#N/A,#N/A,FALSE,"Plan2"}</definedName>
    <definedName name="zsds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7">{#N/A,#N/A,FALSE,"Plan1";#N/A,#N/A,FALSE,"Plan2"}</definedName>
    <definedName name="zxcfdstrrt" localSheetId="7">{#N/A,#N/A,FALSE,"Plan1";#N/A,#N/A,FALSE,"Plan2"}</definedName>
    <definedName name="zxcx" localSheetId="7">{#N/A,#N/A,FALSE,"Plan1";#N/A,#N/A,FALSE,"Plan2"}</definedName>
    <definedName name="ZXFCRF" localSheetId="7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7">{#N/A,#N/A,FALSE,"Plan1";#N/A,#N/A,FALSE,"Plan2"}</definedName>
    <definedName name="zzdftr" localSheetId="7">{#N/A,#N/A,FALSE,"Plan1";#N/A,#N/A,FALSE,"Plan2"}</definedName>
    <definedName name="ㄱ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7">{"'장비'!$A$3:$M$12"}</definedName>
    <definedName name="검증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7">{#N/A,#N/A,FALSE,"현장 NCR 분석";#N/A,#N/A,FALSE,"현장품질감사";#N/A,#N/A,FALSE,"현장품질감사"}</definedName>
    <definedName name="고문2" localSheetId="7">{#N/A,#N/A,FALSE,"현장 NCR 분석";#N/A,#N/A,FALSE,"현장품질감사";#N/A,#N/A,FALSE,"현장품질감사"}</definedName>
    <definedName name="공공공표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7">{#N/A,#N/A,FALSE,"ENG'G(보호계전기)"}</definedName>
    <definedName name="공급표표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7">{#N/A,#N/A,FALSE,"CCTV"}</definedName>
    <definedName name="ㄷㄳ" localSheetId="7">{"'장비'!$A$3:$M$12"}</definedName>
    <definedName name="ㄷㄷㄷㄷ" localSheetId="7">{"'장비'!$A$3:$M$12"}</definedName>
    <definedName name="ㄷㅈㅂㄷ" localSheetId="7">{"'장비'!$A$3:$M$12"}</definedName>
    <definedName name="ㄹㄹ" localSheetId="7">{"'장비'!$A$3:$M$12"}</definedName>
    <definedName name="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7">{#N/A,#N/A,FALSE,"현장 NCR 분석";#N/A,#N/A,FALSE,"현장품질감사";#N/A,#N/A,FALSE,"현장품질감사"}</definedName>
    <definedName name="ㅁ" localSheetId="7">{#N/A,#N/A,FALSE,"명세표"}</definedName>
    <definedName name="ㅁ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7">{#N/A,#N/A,FALSE,"명세표"}</definedName>
    <definedName name="ㅁㅁㅁㅁㅁㅁㅁㅁㅁㅁㅁㅁ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7">{#N/A,#N/A,FALSE,"명세표"}</definedName>
    <definedName name="ㅂㅂㅂㅂ" localSheetId="7">{#N/A,#N/A,FALSE,"명세표"}</definedName>
    <definedName name="ㅂㅂㅂㅂㅂㅂㅂ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7">{"'장비'!$A$3:$M$12"}</definedName>
    <definedName name="ㅂㅈㄷ" localSheetId="7">{"'장비'!$A$3:$M$12"}</definedName>
    <definedName name="ㅂㅈㄷㄷㅂㅈㅈㅂ" localSheetId="7">{"'장비'!$A$3:$M$12"}</definedName>
    <definedName name="ㅂㅈㄷㅂㅈ" localSheetId="7">{"'장비'!$A$3:$M$12"}</definedName>
    <definedName name="ㅂㅈㄷㅂㅈㅈㅂㄷ" localSheetId="7">{"'장비'!$A$3:$M$12"}</definedName>
    <definedName name="ㅂㅈㄷㅈㅂㄷ" localSheetId="7">{"'장비'!$A$3:$M$12"}</definedName>
    <definedName name="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7">{#N/A,#N/A,FALSE,"ENG'G(보호계전기)"}</definedName>
    <definedName name="본공사공정표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7">{#N/A,#N/A,FALSE,"현장 NCR 분석";#N/A,#N/A,FALSE,"현장품질감사";#N/A,#N/A,FALSE,"현장품질감사"}</definedName>
    <definedName name="분야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7">{"'장비'!$A$3:$M$12"}</definedName>
    <definedName name="ㅅㅅㅅㅅㅅ" localSheetId="7">{"'장비'!$A$3:$M$12"}</definedName>
    <definedName name="사업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7">{#N/A,#N/A,FALSE,"TABLE"}</definedName>
    <definedName name="석항" localSheetId="7">{#N/A,#N/A,FALSE,"명세표"}</definedName>
    <definedName name="설계현황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7">{"'장비'!$A$3:$M$12"}</definedName>
    <definedName name="신설" localSheetId="7">{#N/A,#N/A,FALSE,"명세표"}</definedName>
    <definedName name="ㅇㅇ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7">{#N/A,#N/A,FALSE,"명세표"}</definedName>
    <definedName name="ㅈㅈㅈㅈ" localSheetId="7">{#N/A,#N/A,FALSE,"명세표"}</definedName>
    <definedName name="자미" localSheetId="7">{#N/A,#N/A,FALSE,"명세표"}</definedName>
    <definedName name="자재3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7">{#N/A,#N/A,FALSE,"ENG'G(보호계전기)"}</definedName>
    <definedName name="집계" localSheetId="7">{#N/A,#N/A,FALSE,"명세표"}</definedName>
    <definedName name="철골공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7">{#N/A,#N/A,FALSE,"명세표"}</definedName>
    <definedName name="ㅋㅋㅋ" localSheetId="7">{#N/A,#N/A,FALSE,"명세표"}</definedName>
    <definedName name="ㅌㅌ" localSheetId="7">{#N/A,#N/A,FALSE,"명세표"}</definedName>
    <definedName name="토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7">{"'장비'!$A$3:$M$12"}</definedName>
    <definedName name="하하하" localSheetId="7">{#N/A,#N/A,FALSE,"명세표"}</definedName>
    <definedName name="한국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7">{#N/A,#N/A,FALSE,"명세표"}</definedName>
    <definedName name="ㅏㅏㅏ" localSheetId="7">{#N/A,#N/A,FALSE,"명세표"}</definedName>
    <definedName name="ㅔㅔ" localSheetId="7">{#N/A,#N/A,FALSE,"명세표"}</definedName>
    <definedName name="ㅔㅔㅔㅔㅔ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7">{"'장비'!$A$3:$M$12"}</definedName>
    <definedName name="ㅗㅗ" localSheetId="7">{#N/A,#N/A,FALSE,"명세표"}</definedName>
    <definedName name="ㅗㅗㅗㅗㅗ" localSheetId="7">{"'장비'!$A$3:$M$12"}</definedName>
    <definedName name="ㅛ" localSheetId="7">{"'장비'!$A$3:$M$12"}</definedName>
    <definedName name="ㅛㅕㅛㅕㅛ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7">{"'장비'!$A$3:$M$12"}</definedName>
    <definedName name="ㅜ" localSheetId="7">{#N/A,#N/A,FALSE,"명세표"}</definedName>
    <definedName name="ㅠㅠ" localSheetId="7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7">{#N/A,#N/A,FALSE,"명세표"}</definedName>
    <definedName name="\xasd" localSheetId="8" hidden="1">{#N/A,#N/A,FALSE,"Plan1";#N/A,#N/A,FALSE,"Plan2"}</definedName>
    <definedName name="_\xasd" localSheetId="8" hidden="1">{#N/A,#N/A,FALSE,"Plan1";#N/A,#N/A,FALSE,"Plan2"}</definedName>
    <definedName name="_______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8" hidden="1">{"'장비'!$A$3:$M$12"}</definedName>
    <definedName name="____PKG3" localSheetId="8" hidden="1">{"'장비'!$A$3:$M$12"}</definedName>
    <definedName name="____qqq222" localSheetId="8" hidden="1">{"'장비'!$A$3:$M$12"}</definedName>
    <definedName name="_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8" hidden="1">{"'장비'!$A$3:$M$12"}</definedName>
    <definedName name="___PKG3" localSheetId="8" hidden="1">{"'장비'!$A$3:$M$12"}</definedName>
    <definedName name="___qqq222" localSheetId="8" hidden="1">{"'장비'!$A$3:$M$12"}</definedName>
    <definedName name="_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8" hidden="1">{"'장비'!$A$3:$M$12"}</definedName>
    <definedName name="__PKG3" localSheetId="8" hidden="1">{"'장비'!$A$3:$M$12"}</definedName>
    <definedName name="__qqq222" localSheetId="8" hidden="1">{"'장비'!$A$3:$M$12"}</definedName>
    <definedName name="_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8" hidden="1">{#N/A,#N/A,FALSE,"Plan1";#N/A,#N/A,FALSE,"Plan2"}</definedName>
    <definedName name="_new11" localSheetId="8" hidden="1">{#N/A,#N/A,FALSE,"Global by BU";#N/A,#N/A,FALSE,"U.S. by BU";#N/A,#N/A,FALSE,"Canada by BU";#N/A,#N/A,FALSE,"Europe by BU";#N/A,#N/A,FALSE,"Asia by BU";#N/A,#N/A,FALSE,"Cala by BU"}</definedName>
    <definedName name="_PK2" localSheetId="8" hidden="1">{"'장비'!$A$3:$M$12"}</definedName>
    <definedName name="_PKG3" localSheetId="8" hidden="1">{"'장비'!$A$3:$M$12"}</definedName>
    <definedName name="_qqq222" localSheetId="8" hidden="1">{"'장비'!$A$3:$M$12"}</definedName>
    <definedName name="_r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8" hidden="1">{#N/A,#N/A,FALSE,"Plan1";#N/A,#N/A,FALSE,"Plan2"}</definedName>
    <definedName name="_wrn.pendencias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\sgt" localSheetId="8" hidden="1">{#N/A,#N/A,FALSE,"Plan1";#N/A,#N/A,FALSE,"Plan2"}</definedName>
    <definedName name="AAAA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8" hidden="1">{#N/A,#N/A,FALSE,"Plan1";#N/A,#N/A,FALSE,"Plan2"}</definedName>
    <definedName name="abc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8" hidden="1">{#N/A,#N/A,FALSE,"Plan1";#N/A,#N/A,FALSE,"Plan2"}</definedName>
    <definedName name="ad" localSheetId="8" hidden="1">{#N/A,#N/A,FALSE,"Plan1";#N/A,#N/A,FALSE,"Plan2"}</definedName>
    <definedName name="adads" localSheetId="8" hidden="1">{#N/A,#N/A,FALSE,"Plan1";#N/A,#N/A,FALSE,"Plan2"}</definedName>
    <definedName name="adads2" localSheetId="8" hidden="1">{#N/A,#N/A,FALSE,"Plan1";#N/A,#N/A,FALSE,"Plan2"}</definedName>
    <definedName name="adced" localSheetId="8" hidden="1">{#N/A,#N/A,FALSE,"Plan1";#N/A,#N/A,FALSE,"Plan2"}</definedName>
    <definedName name="adced2" localSheetId="8" hidden="1">{#N/A,#N/A,FALSE,"Plan1";#N/A,#N/A,FALSE,"Plan2"}</definedName>
    <definedName name="ader" localSheetId="8" hidden="1">{#N/A,#N/A,FALSE,"Plan1";#N/A,#N/A,FALSE,"Plan2"}</definedName>
    <definedName name="ader2" localSheetId="8" hidden="1">{#N/A,#N/A,FALSE,"Plan1";#N/A,#N/A,FALSE,"Plan2"}</definedName>
    <definedName name="adesr" localSheetId="8" hidden="1">{#N/A,#N/A,FALSE,"Plan1";#N/A,#N/A,FALSE,"Plan2"}</definedName>
    <definedName name="adewr" localSheetId="8" hidden="1">{#N/A,#N/A,FALSE,"Plan1";#N/A,#N/A,FALSE,"Plan2"}</definedName>
    <definedName name="adf" localSheetId="8" hidden="1">{#N/A,#N/A,FALSE,"Plan1";#N/A,#N/A,FALSE,"Plan2"}</definedName>
    <definedName name="adsfr" localSheetId="8" hidden="1">{#N/A,#N/A,FALSE,"Plan1";#N/A,#N/A,FALSE,"Plan2"}</definedName>
    <definedName name="adssrgtg" localSheetId="8" hidden="1">{#N/A,#N/A,FALSE,"Plan1";#N/A,#N/A,FALSE,"Plan2"}</definedName>
    <definedName name="adtsetrr6t" localSheetId="8" hidden="1">{#N/A,#N/A,FALSE,"Plan1";#N/A,#N/A,FALSE,"Plan2"}</definedName>
    <definedName name="adwr" localSheetId="8" hidden="1">{#N/A,#N/A,FALSE,"Plan1";#N/A,#N/A,FALSE,"Plan2"}</definedName>
    <definedName name="aeiresft" localSheetId="8" hidden="1">{#N/A,#N/A,FALSE,"Plan1";#N/A,#N/A,FALSE,"Plan2"}</definedName>
    <definedName name="aEL3QE" localSheetId="8" hidden="1">{#N/A,#N/A,FALSE,"Plan1";#N/A,#N/A,FALSE,"Plan2"}</definedName>
    <definedName name="afeasfre" localSheetId="8" hidden="1">{#N/A,#N/A,FALSE,"Plan1";#N/A,#N/A,FALSE,"Plan2"}</definedName>
    <definedName name="agua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8" hidden="1">{#N/A,#N/A,FALSE,"CCTV"}</definedName>
    <definedName name="angelo" localSheetId="8">#REF!</definedName>
    <definedName name="AQE" localSheetId="8" hidden="1">{"'장비'!$A$3:$M$12"}</definedName>
    <definedName name="ArComprimido" localSheetId="8" hidden="1">{"'Estimativa de Lançamento-JAN'!$A$1:$AI$85"}</definedName>
    <definedName name="area" localSheetId="8" hidden="1">{#N/A,#N/A,FALSE,"Plan1";#N/A,#N/A,FALSE,"Plan2"}</definedName>
    <definedName name="asawe3" localSheetId="8" hidden="1">{#N/A,#N/A,FALSE,"Plan1";#N/A,#N/A,FALSE,"Plan2"}</definedName>
    <definedName name="ASDA" localSheetId="8" hidden="1">{#N/A,#N/A,FALSE,"Plan1";#N/A,#N/A,FALSE,"Plan2"}</definedName>
    <definedName name="asdade" localSheetId="8" hidden="1">{#N/A,#N/A,FALSE,"Plan1";#N/A,#N/A,FALSE,"Plan2"}</definedName>
    <definedName name="asdas" localSheetId="8" hidden="1">{#N/A,#N/A,FALSE,"Plan1";#N/A,#N/A,FALSE,"Plan2"}</definedName>
    <definedName name="asdawed" localSheetId="8" hidden="1">{#N/A,#N/A,FALSE,"Plan1";#N/A,#N/A,FALSE,"Plan2"}</definedName>
    <definedName name="ASDER" localSheetId="8" hidden="1">{#N/A,#N/A,FALSE,"Plan1";#N/A,#N/A,FALSE,"Plan2"}</definedName>
    <definedName name="asderr" localSheetId="8" hidden="1">{#N/A,#N/A,FALSE,"Plan1";#N/A,#N/A,FALSE,"Plan2"}</definedName>
    <definedName name="asdesre" localSheetId="8" hidden="1">{#N/A,#N/A,FALSE,"Plan1";#N/A,#N/A,FALSE,"Plan2"}</definedName>
    <definedName name="asdewr" localSheetId="8" hidden="1">{#N/A,#N/A,FALSE,"Plan1";#N/A,#N/A,FALSE,"Plan2"}</definedName>
    <definedName name="ASDFASDFA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8" hidden="1">{#N/A,#N/A,FALSE,"Plan1";#N/A,#N/A,FALSE,"Plan2"}</definedName>
    <definedName name="asdg" localSheetId="8" hidden="1">{#N/A,#N/A,FALSE,"Plan1";#N/A,#N/A,FALSE,"Plan2"}</definedName>
    <definedName name="asdke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8" hidden="1">{#N/A,#N/A,FALSE,"Plan1";#N/A,#N/A,FALSE,"Plan2"}</definedName>
    <definedName name="asdqwe" localSheetId="8" hidden="1">{#N/A,#N/A,FALSE,"Plan1";#N/A,#N/A,FALSE,"Plan2"}</definedName>
    <definedName name="asdsa" localSheetId="8" hidden="1">{#N/A,#N/A,FALSE,"Plan1";#N/A,#N/A,FALSE,"Plan2"}</definedName>
    <definedName name="asdser" localSheetId="8" hidden="1">{#N/A,#N/A,FALSE,"Plan1";#N/A,#N/A,FALSE,"Plan2"}</definedName>
    <definedName name="asdwef" localSheetId="8" hidden="1">{#N/A,#N/A,FALSE,"Plan1";#N/A,#N/A,FALSE,"Plan2"}</definedName>
    <definedName name="ASET" localSheetId="8" hidden="1">{#N/A,#N/A,FALSE,"Plan1";#N/A,#N/A,FALSE,"Plan2"}</definedName>
    <definedName name="asfDSF" localSheetId="8" hidden="1">{#N/A,#N/A,FALSE,"Plan1";#N/A,#N/A,FALSE,"Plan2"}</definedName>
    <definedName name="ASFERTE" localSheetId="8" hidden="1">{#N/A,#N/A,FALSE,"Plan1";#N/A,#N/A,FALSE,"Plan2"}</definedName>
    <definedName name="asfl" localSheetId="8" hidden="1">{#N/A,#N/A,FALSE,"Plan1";#N/A,#N/A,FALSE,"Plan2"}</definedName>
    <definedName name="asfsz" localSheetId="8" hidden="1">{#N/A,#N/A,FALSE,"Plan1";#N/A,#N/A,FALSE,"Plan2"}</definedName>
    <definedName name="askserf" localSheetId="8" hidden="1">{#N/A,#N/A,FALSE,"Plan1";#N/A,#N/A,FALSE,"Plan2"}</definedName>
    <definedName name="ASSFSDF" localSheetId="8" hidden="1">{#N/A,#N/A,FALSE,"Plan1";#N/A,#N/A,FALSE,"Plan2"}</definedName>
    <definedName name="asw" localSheetId="8" hidden="1">{#N/A,#N/A,FALSE,"Plan1";#N/A,#N/A,FALSE,"Plan2"}</definedName>
    <definedName name="ATIVOS" localSheetId="8" hidden="1">{#N/A,#N/A,FALSE,"F-01"}</definedName>
    <definedName name="awdjw" localSheetId="8" hidden="1">{#N/A,#N/A,FALSE,"Plan1";#N/A,#N/A,FALSE,"Plan2"}</definedName>
    <definedName name="aweqw4" localSheetId="8" hidden="1">{#N/A,#N/A,FALSE,"Plan1";#N/A,#N/A,FALSE,"Plan2"}</definedName>
    <definedName name="awssdwaer" localSheetId="8" hidden="1">{#N/A,#N/A,FALSE,"Plan1";#N/A,#N/A,FALSE,"Plan2"}</definedName>
    <definedName name="bbbbbbbbbbbbbbb" localSheetId="8" hidden="1">{"'Edit'!$A$1:$V$2277"}</definedName>
    <definedName name="bdfjghf" localSheetId="8" hidden="1">{#N/A,#N/A,FALSE,"Plan1";#N/A,#N/A,FALSE,"Plan2"}</definedName>
    <definedName name="bdzbfbdr" localSheetId="8" hidden="1">{#N/A,#N/A,FALSE,"Plan1";#N/A,#N/A,FALSE,"Plan2"}</definedName>
    <definedName name="BGG" localSheetId="8" hidden="1">{#N/A,#N/A,FALSE,"Plan1";#N/A,#N/A,FALSE,"Plan2"}</definedName>
    <definedName name="bhjgfhfh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8" hidden="1">{#N/A,#N/A,FALSE,"Plan1";#N/A,#N/A,FALSE,"Plan2"}</definedName>
    <definedName name="bmdgghrtfde" localSheetId="8" hidden="1">{#N/A,#N/A,FALSE,"Plan1";#N/A,#N/A,FALSE,"Plan2"}</definedName>
    <definedName name="bnkjhjhdfxgt" localSheetId="8" hidden="1">{#N/A,#N/A,FALSE,"Plan1";#N/A,#N/A,FALSE,"Plan2"}</definedName>
    <definedName name="bxnzfmkzxbhdf" localSheetId="8" hidden="1">{#N/A,#N/A,FALSE,"Plan1";#N/A,#N/A,FALSE,"Plan2"}</definedName>
    <definedName name="caixas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çaos\ewapo" localSheetId="8" hidden="1">{#N/A,#N/A,FALSE,"Plan1";#N/A,#N/A,FALSE,"Plan2"}</definedName>
    <definedName name="CAT6_IP" localSheetId="8" hidden="1">{#N/A,#N/A,FALSE,"F-01"}</definedName>
    <definedName name="ççç" localSheetId="8" hidden="1">{#N/A,#N/A,FALSE,"Plan1";#N/A,#N/A,FALSE,"Plan2"}</definedName>
    <definedName name="cccc" localSheetId="8" hidden="1">{#N/A,#N/A,FALSE,"Plan1";#N/A,#N/A,FALSE,"Plan2"}</definedName>
    <definedName name="ççççççç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8" hidden="1">{"HW",#N/A,FALSE,"1998"}</definedName>
    <definedName name="çcklfjk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8" hidden="1">{#N/A,#N/A,FALSE,"Plan1";#N/A,#N/A,FALSE,"Plan2"}</definedName>
    <definedName name="CDSGHE" localSheetId="8" hidden="1">{#N/A,#N/A,FALSE,"Plan1";#N/A,#N/A,FALSE,"Plan2"}</definedName>
    <definedName name="çfhjglkjhkljyh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8" hidden="1">{#N/A,#N/A,FALSE,"Plan1";#N/A,#N/A,FALSE,"Plan2"}</definedName>
    <definedName name="chfch" localSheetId="8" hidden="1">{#N/A,#N/A,FALSE,"Plan1";#N/A,#N/A,FALSE,"Plan2"}</definedName>
    <definedName name="ÇJKRÇLFS" localSheetId="8" hidden="1">{"Econ Consolidado",#N/A,FALSE,"Econ Consol";"Fluxo de Caixa",#N/A,FALSE,"Fluxo Caixa";"Investimentos",#N/A,FALSE,"Investimentos"}</definedName>
    <definedName name="ÇJsrejtçe" localSheetId="8" hidden="1">{#N/A,#N/A,FALSE,"Plan1";#N/A,#N/A,FALSE,"Plan2"}</definedName>
    <definedName name="çkaçekow" localSheetId="8" hidden="1">{#N/A,#N/A,FALSE,"Plan1";#N/A,#N/A,FALSE,"Plan2"}</definedName>
    <definedName name="ÇKSDOEKR" localSheetId="8" hidden="1">{#N/A,#N/A,FALSE,"Plan1";#N/A,#N/A,FALSE,"Plan2"}</definedName>
    <definedName name="çl" localSheetId="8" hidden="1">{#N/A,#N/A,FALSE,"Plan1";#N/A,#N/A,FALSE,"Plan2"}</definedName>
    <definedName name="çlassde" localSheetId="8" hidden="1">{#N/A,#N/A,FALSE,"Plan1";#N/A,#N/A,FALSE,"Plan2"}</definedName>
    <definedName name="çlçlç" localSheetId="8" hidden="1">{#N/A,#N/A,FALSE,"Plan1";#N/A,#N/A,FALSE,"Plan2"}</definedName>
    <definedName name="çld" localSheetId="8" hidden="1">{#N/A,#N/A,FALSE,"Plan1";#N/A,#N/A,FALSE,"Plan2"}</definedName>
    <definedName name="çlererr" localSheetId="8" hidden="1">{#N/A,#N/A,FALSE,"Plan1";#N/A,#N/A,FALSE,"Plan2"}</definedName>
    <definedName name="çlertert" localSheetId="8" hidden="1">{#N/A,#N/A,FALSE,"Plan1";#N/A,#N/A,FALSE,"Plan2"}</definedName>
    <definedName name="çll" localSheetId="8" hidden="1">{#N/A,#N/A,FALSE,"Plan1";#N/A,#N/A,FALSE,"Plan2"}</definedName>
    <definedName name="CMC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8" hidden="1">{#N/A,#N/A,TRUE,"Quinzena 01 à 15-04-98 "}</definedName>
    <definedName name="cont" localSheetId="8" hidden="1">{#N/A,#N/A,FALSE,"Plan1";#N/A,#N/A,FALSE,"Plan2"}</definedName>
    <definedName name="Controle_Tecnologico" localSheetId="8">{#N/A,#N/A,FALSE,"Plan1";#N/A,#N/A,FALSE,"Plan2"}</definedName>
    <definedName name="ÇSAÇDFW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8" hidden="1">{#N/A,#N/A,FALSE,"Plan1";#N/A,#N/A,FALSE,"Plan2"}</definedName>
    <definedName name="CTH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lmo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8" hidden="1">{#N/A,#N/A,FALSE,"Plan1";#N/A,#N/A,FALSE,"Plan2"}</definedName>
    <definedName name="DÇDL" localSheetId="8" hidden="1">{#N/A,#N/A,FALSE,"Plan1";#N/A,#N/A,FALSE,"Plan2"}</definedName>
    <definedName name="dcnsfgdjkgb" localSheetId="8" hidden="1">{#N/A,#N/A,FALSE,"Plan1";#N/A,#N/A,FALSE,"Plan2"}</definedName>
    <definedName name="DÇWK" localSheetId="8" hidden="1">{#N/A,#N/A,FALSE,"Plan1";#N/A,#N/A,FALSE,"Plan2"}</definedName>
    <definedName name="DD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dd" localSheetId="8" hidden="1">{#N/A,#N/A,FALSE,"Plan1";#N/A,#N/A,FALSE,"Plan2"}</definedName>
    <definedName name="dde" localSheetId="8" hidden="1">{#N/A,#N/A,FALSE,"Plan1";#N/A,#N/A,FALSE,"Plan2"}</definedName>
    <definedName name="ddgfdvgd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8" hidden="1">{#N/A,#N/A,FALSE,"Plan1";#N/A,#N/A,FALSE,"Plan2"}</definedName>
    <definedName name="dede" localSheetId="8" hidden="1">{#N/A,#N/A,FALSE,"Plan1";#N/A,#N/A,FALSE,"Plan2"}</definedName>
    <definedName name="des" localSheetId="8" hidden="1">{#N/A,#N/A,FALSE,"Plan1";#N/A,#N/A,FALSE,"Plan2"}</definedName>
    <definedName name="desc" localSheetId="8" hidden="1">{#N/A,#N/A,FALSE,"Plan1";#N/A,#N/A,FALSE,"Plan2"}</definedName>
    <definedName name="d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8" hidden="1">{#N/A,#N/A,FALSE,"명세표"}</definedName>
    <definedName name="dfdfty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8" hidden="1">{#N/A,#N/A,FALSE,"Plan1";#N/A,#N/A,FALSE,"Plan2"}</definedName>
    <definedName name="dfdrtrr" localSheetId="8" hidden="1">{#N/A,#N/A,FALSE,"Plan1";#N/A,#N/A,FALSE,"Plan2"}</definedName>
    <definedName name="DFDSG" localSheetId="8" hidden="1">{#N/A,#N/A,FALSE,"Plan1";#N/A,#N/A,FALSE,"Plan2"}</definedName>
    <definedName name="dfer" localSheetId="8" hidden="1">{#N/A,#N/A,FALSE,"Plan1";#N/A,#N/A,FALSE,"Plan2"}</definedName>
    <definedName name="dffbty" localSheetId="8" hidden="1">{#N/A,#N/A,FALSE,"Plan1";#N/A,#N/A,FALSE,"Plan2"}</definedName>
    <definedName name="dffgk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8" hidden="1">{#N/A,#N/A,FALSE,"Plan1";#N/A,#N/A,FALSE,"Plan2"}</definedName>
    <definedName name="dfg" localSheetId="8" hidden="1">{#N/A,#N/A,FALSE,"Plan1";#N/A,#N/A,FALSE,"Plan2"}</definedName>
    <definedName name="dfgdf" localSheetId="8" hidden="1">{#N/A,#N/A,FALSE,"Plan1";#N/A,#N/A,FALSE,"Plan2"}</definedName>
    <definedName name="dfgdytygr" localSheetId="8" hidden="1">{#N/A,#N/A,FALSE,"Plan1";#N/A,#N/A,FALSE,"Plan2"}</definedName>
    <definedName name="dfgftrrdt5" localSheetId="8" hidden="1">{#N/A,#N/A,FALSE,"Plan1";#N/A,#N/A,FALSE,"Plan2"}</definedName>
    <definedName name="dfghjfhsg" localSheetId="8" hidden="1">{#N/A,#N/A,FALSE,"Plan1";#N/A,#N/A,FALSE,"Plan2"}</definedName>
    <definedName name="dfgj" localSheetId="8" hidden="1">{#N/A,#N/A,FALSE,"Plan1";#N/A,#N/A,FALSE,"Plan2"}</definedName>
    <definedName name="dfgjfttyd" localSheetId="8" hidden="1">{#N/A,#N/A,FALSE,"Plan1";#N/A,#N/A,FALSE,"Plan2"}</definedName>
    <definedName name="dfgjjtdrtg" localSheetId="8" hidden="1">{#N/A,#N/A,FALSE,"Plan1";#N/A,#N/A,FALSE,"Plan2"}</definedName>
    <definedName name="dfgt" localSheetId="8" hidden="1">{#N/A,#N/A,FALSE,"Plan1";#N/A,#N/A,FALSE,"Plan2"}</definedName>
    <definedName name="dfgtrkjhk" localSheetId="8" hidden="1">{#N/A,#N/A,FALSE,"Plan1";#N/A,#N/A,FALSE,"Plan2"}</definedName>
    <definedName name="dfgty" localSheetId="8" hidden="1">{#N/A,#N/A,FALSE,"Plan1";#N/A,#N/A,FALSE,"Plan2"}</definedName>
    <definedName name="dfhdgfdgf" localSheetId="8" hidden="1">{#N/A,#N/A,FALSE,"Plan1";#N/A,#N/A,FALSE,"Plan2"}</definedName>
    <definedName name="DFHDJGJFHJGF" localSheetId="8" hidden="1">{#N/A,#N/A,FALSE,"Plan1";#N/A,#N/A,FALSE,"Plan2"}</definedName>
    <definedName name="dfhdyg" localSheetId="8" hidden="1">{#N/A,#N/A,FALSE,"Plan1";#N/A,#N/A,FALSE,"Plan2"}</definedName>
    <definedName name="DFHGDHUR" localSheetId="8" hidden="1">{#N/A,#N/A,FALSE,"Plan1";#N/A,#N/A,FALSE,"Plan2"}</definedName>
    <definedName name="dfhgjfgdhfjdrf" localSheetId="8" hidden="1">{#N/A,#N/A,FALSE,"Plan1";#N/A,#N/A,FALSE,"Plan2"}</definedName>
    <definedName name="dfhgkhfut" localSheetId="8" hidden="1">{#N/A,#N/A,FALSE,"Plan1";#N/A,#N/A,FALSE,"Plan2"}</definedName>
    <definedName name="dfhguitrhfg" localSheetId="8" hidden="1">{#N/A,#N/A,FALSE,"Plan1";#N/A,#N/A,FALSE,"Plan2"}</definedName>
    <definedName name="DFHKHDGKJHDKS" localSheetId="8" hidden="1">{#N/A,#N/A,FALSE,"Plan1";#N/A,#N/A,FALSE,"Plan2"}</definedName>
    <definedName name="dfjgjfhykj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8" hidden="1">{#N/A,#N/A,FALSE,"Plan1";#N/A,#N/A,FALSE,"Plan2"}</definedName>
    <definedName name="dfkhgfg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8" hidden="1">{#N/A,#N/A,FALSE,"Plan1";#N/A,#N/A,FALSE,"Plan2"}</definedName>
    <definedName name="dfnert" localSheetId="8" hidden="1">{#N/A,#N/A,FALSE,"Plan1";#N/A,#N/A,FALSE,"Plan2"}</definedName>
    <definedName name="dfrt" localSheetId="8" hidden="1">{#N/A,#N/A,FALSE,"Plan1";#N/A,#N/A,FALSE,"Plan2"}</definedName>
    <definedName name="dfsdr5tt" localSheetId="8" hidden="1">{#N/A,#N/A,FALSE,"Plan1";#N/A,#N/A,FALSE,"Plan2"}</definedName>
    <definedName name="dfsd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8" hidden="1">{#N/A,#N/A,FALSE,"Plan1";#N/A,#N/A,FALSE,"Plan2"}</definedName>
    <definedName name="dfsf" localSheetId="8" hidden="1">{#N/A,#N/A,FALSE,"Plan1";#N/A,#N/A,FALSE,"Plan2"}</definedName>
    <definedName name="DFT" localSheetId="8" hidden="1">{#N/A,#N/A,FALSE,"Plan1";#N/A,#N/A,FALSE,"Plan2"}</definedName>
    <definedName name="DFTRTTY" localSheetId="8" hidden="1">{#N/A,#N/A,FALSE,"Plan1";#N/A,#N/A,FALSE,"Plan2"}</definedName>
    <definedName name="dfurghifdjyhits" localSheetId="8" hidden="1">{#N/A,#N/A,FALSE,"Plan1";#N/A,#N/A,FALSE,"Plan2"}</definedName>
    <definedName name="dfxgdrged" localSheetId="8" hidden="1">{#N/A,#N/A,FALSE,"Plan1";#N/A,#N/A,FALSE,"Plan2"}</definedName>
    <definedName name="dgfrtyt" localSheetId="8" hidden="1">{#N/A,#N/A,FALSE,"Plan1";#N/A,#N/A,FALSE,"Plan2"}</definedName>
    <definedName name="dggfdg" localSheetId="8" hidden="1">{#N/A,#N/A,FALSE,"Plan1";#N/A,#N/A,FALSE,"Plan2"}</definedName>
    <definedName name="dgldfhgkljslh" localSheetId="8" hidden="1">{#N/A,#N/A,FALSE,"Plan1";#N/A,#N/A,FALSE,"Plan2"}</definedName>
    <definedName name="dhfgdhrehrwe" localSheetId="8" hidden="1">{#N/A,#N/A,FALSE,"Plan1";#N/A,#N/A,FALSE,"Plan2"}</definedName>
    <definedName name="dhgfdgrfgdfgd" localSheetId="8" hidden="1">{#N/A,#N/A,FALSE,"Plan1";#N/A,#N/A,FALSE,"Plan2"}</definedName>
    <definedName name="dhkjfhdhfjdh" localSheetId="8" hidden="1">{#N/A,#N/A,FALSE,"Plan1";#N/A,#N/A,FALSE,"Plan2"}</definedName>
    <definedName name="DHTJRT" localSheetId="8" hidden="1">{#N/A,#N/A,FALSE,"Plan1";#N/A,#N/A,FALSE,"Plan2"}</definedName>
    <definedName name="dijghdhks" localSheetId="8" hidden="1">{#N/A,#N/A,FALSE,"Plan1";#N/A,#N/A,FALSE,"Plan2"}</definedName>
    <definedName name="djasdrjas" localSheetId="8" hidden="1">{#N/A,#N/A,FALSE,"Plan1";#N/A,#N/A,FALSE,"Plan2"}</definedName>
    <definedName name="dj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8" hidden="1">{#N/A,#N/A,FALSE,"Plan1";#N/A,#N/A,FALSE,"Plan2"}</definedName>
    <definedName name="djfkhsdkjhf" localSheetId="8" hidden="1">{#N/A,#N/A,FALSE,"Plan1";#N/A,#N/A,FALSE,"Plan2"}</definedName>
    <definedName name="djfldjsgljslkjtg" localSheetId="8" hidden="1">{#N/A,#N/A,FALSE,"Plan1";#N/A,#N/A,FALSE,"Plan2"}</definedName>
    <definedName name="djflkdjgdth" localSheetId="8" hidden="1">{#N/A,#N/A,FALSE,"Plan1";#N/A,#N/A,FALSE,"Plan2"}</definedName>
    <definedName name="DJFLKDJGKTJYJT" localSheetId="8" hidden="1">{#N/A,#N/A,FALSE,"Plan1";#N/A,#N/A,FALSE,"Plan2"}</definedName>
    <definedName name="djgkfjgtiyty" localSheetId="8" hidden="1">{#N/A,#N/A,FALSE,"Plan1";#N/A,#N/A,FALSE,"Plan2"}</definedName>
    <definedName name="djrkehrjfhng" localSheetId="8" hidden="1">{#N/A,#N/A,FALSE,"Plan1";#N/A,#N/A,FALSE,"Plan2"}</definedName>
    <definedName name="djtkjldfr" localSheetId="8" hidden="1">{#N/A,#N/A,FALSE,"Plan1";#N/A,#N/A,FALSE,"Plan2"}</definedName>
    <definedName name="DJXDLFGDFG" localSheetId="8" hidden="1">{#N/A,#N/A,FALSE,"Plan1";#N/A,#N/A,FALSE,"Plan2"}</definedName>
    <definedName name="dkdkdkdkd" localSheetId="8" hidden="1">{#N/A,#N/A,FALSE,"명세표"}</definedName>
    <definedName name="dkfhskgf" localSheetId="8" hidden="1">{#N/A,#N/A,FALSE,"Plan1";#N/A,#N/A,FALSE,"Plan2"}</definedName>
    <definedName name="dkjfk" localSheetId="8" hidden="1">{#N/A,#N/A,FALSE,"Plan1";#N/A,#N/A,FALSE,"Plan2"}</definedName>
    <definedName name="DKLD" localSheetId="8" hidden="1">{#N/A,#N/A,FALSE,"Plan1";#N/A,#N/A,FALSE,"Plan2"}</definedName>
    <definedName name="DKLFJDKFD" localSheetId="8" hidden="1">{#N/A,#N/A,FALSE,"Plan1";#N/A,#N/A,FALSE,"Plan2"}</definedName>
    <definedName name="dklfjgirtgid" localSheetId="8" hidden="1">{#N/A,#N/A,FALSE,"Plan1";#N/A,#N/A,FALSE,"Plan2"}</definedName>
    <definedName name="dklfm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8" hidden="1">{#N/A,#N/A,FALSE,"Plan1";#N/A,#N/A,FALSE,"Plan2"}</definedName>
    <definedName name="DNFJKDHTKRE" localSheetId="8" hidden="1">{#N/A,#N/A,FALSE,"Plan1";#N/A,#N/A,FALSE,"Plan2"}</definedName>
    <definedName name="dng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wr" localSheetId="8" hidden="1">{#N/A,#N/A,FALSE,"Plan1";#N/A,#N/A,FALSE,"Plan2"}</definedName>
    <definedName name="DRRJR" localSheetId="8" hidden="1">{#N/A,#N/A,FALSE,"Plan1";#N/A,#N/A,FALSE,"Plan2"}</definedName>
    <definedName name="drtrt" localSheetId="8" hidden="1">{"'Estimativa de Lançamento-JAN'!$A$1:$AI$85"}</definedName>
    <definedName name="dsdrf" localSheetId="8" hidden="1">{#N/A,#N/A,FALSE,"Plan1";#N/A,#N/A,FALSE,"Plan2"}</definedName>
    <definedName name="dsfdf" localSheetId="8" hidden="1">{#N/A,#N/A,FALSE,"Plan1";#N/A,#N/A,FALSE,"Plan2"}</definedName>
    <definedName name="dsfg" localSheetId="8" hidden="1">{#N/A,#N/A,FALSE,"Plan1";#N/A,#N/A,FALSE,"Plan2"}</definedName>
    <definedName name="DSFKDSKH" localSheetId="8" hidden="1">{#N/A,#N/A,FALSE,"Plan1";#N/A,#N/A,FALSE,"Plan2"}</definedName>
    <definedName name="DSFR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8" hidden="1">{#N/A,#N/A,FALSE,"Plan1";#N/A,#N/A,FALSE,"Plan2"}</definedName>
    <definedName name="DSFSAD" localSheetId="8" hidden="1">{#N/A,#N/A,FALSE,"Plan1";#N/A,#N/A,FALSE,"Plan2"}</definedName>
    <definedName name="dsfsdf" localSheetId="8" hidden="1">{#N/A,#N/A,FALSE,"Plan1";#N/A,#N/A,FALSE,"Plan2"}</definedName>
    <definedName name="dsfsdgfb" localSheetId="8" hidden="1">{#N/A,#N/A,FALSE,"Plan1";#N/A,#N/A,FALSE,"Plan2"}</definedName>
    <definedName name="dsgfr" localSheetId="8" hidden="1">{#N/A,#N/A,FALSE,"Plan1";#N/A,#N/A,FALSE,"Plan2"}</definedName>
    <definedName name="dshfkhkrhesru" localSheetId="8" hidden="1">{#N/A,#N/A,FALSE,"Plan1";#N/A,#N/A,FALSE,"Plan2"}</definedName>
    <definedName name="dsjkthkr" localSheetId="8" hidden="1">{#N/A,#N/A,FALSE,"Plan1";#N/A,#N/A,FALSE,"Plan2"}</definedName>
    <definedName name="DSLFJSLFJ" localSheetId="8" hidden="1">{#N/A,#N/A,FALSE,"Plan1";#N/A,#N/A,FALSE,"Plan2"}</definedName>
    <definedName name="dsrff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8" hidden="1">{#N/A,#N/A,FALSE,"Plan1";#N/A,#N/A,FALSE,"Plan2"}</definedName>
    <definedName name="dtgsrytt" localSheetId="8" hidden="1">{#N/A,#N/A,FALSE,"Plan1";#N/A,#N/A,FALSE,"Plan2"}</definedName>
    <definedName name="dtrjkhtrgkfh" localSheetId="8" hidden="1">{#N/A,#N/A,FALSE,"Plan1";#N/A,#N/A,FALSE,"Plan2"}</definedName>
    <definedName name="dttjuk" localSheetId="8" hidden="1">{#N/A,#N/A,FALSE,"Plan1";#N/A,#N/A,FALSE,"Plan2"}</definedName>
    <definedName name="dvtry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8" hidden="1">{#N/A,#N/A,FALSE,"Plan1";#N/A,#N/A,FALSE,"Plan2"}</definedName>
    <definedName name="DY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8" hidden="1">{#N/A,#N/A,FALSE,"Plan1";#N/A,#N/A,FALSE,"Plan2"}</definedName>
    <definedName name="dzdfr" localSheetId="8" hidden="1">{#N/A,#N/A,FALSE,"Plan1";#N/A,#N/A,FALSE,"Plan2"}</definedName>
    <definedName name="e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C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8" hidden="1">{#N/A,#N/A,FALSE,"F-01"}</definedName>
    <definedName name="ECEW_1" localSheetId="8" hidden="1">{#N/A,#N/A,FALSE,"F-01"}</definedName>
    <definedName name="ECS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8" hidden="1">{#N/A,#N/A,FALSE,"Plan1";#N/A,#N/A,FALSE,"Plan2"}</definedName>
    <definedName name="eee" localSheetId="8" hidden="1">{#N/A,#N/A,FALSE,"ET-CAPA";#N/A,#N/A,FALSE,"ET-PAG1";#N/A,#N/A,FALSE,"ET-PAG2";#N/A,#N/A,FALSE,"ET-PAG3";#N/A,#N/A,FALSE,"ET-PAG4";#N/A,#N/A,FALSE,"ET-PAG5"}</definedName>
    <definedName name="efestfr" localSheetId="8" hidden="1">{#N/A,#N/A,FALSE,"Plan1";#N/A,#N/A,FALSE,"Plan2"}</definedName>
    <definedName name="efrdrt" localSheetId="8" hidden="1">{#N/A,#N/A,FALSE,"Plan1";#N/A,#N/A,FALSE,"Plan2"}</definedName>
    <definedName name="efrg" localSheetId="8" hidden="1">{#N/A,#N/A,FALSE,"Plan1";#N/A,#N/A,FALSE,"Plan2"}</definedName>
    <definedName name="efsgfr" localSheetId="8" hidden="1">{#N/A,#N/A,FALSE,"Plan1";#N/A,#N/A,FALSE,"Plan2"}</definedName>
    <definedName name="ER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8" hidden="1">{#N/A,#N/A,FALSE,"Plan1";#N/A,#N/A,FALSE,"Plan2"}</definedName>
    <definedName name="ESGFDSFD" localSheetId="8" hidden="1">{#N/A,#N/A,FALSE,"Plan1";#N/A,#N/A,FALSE,"Plan2"}</definedName>
    <definedName name="EU" localSheetId="8" hidden="1">{#N/A,#N/A,FALSE,"Plan1";#N/A,#N/A,FALSE,"Plan2"}</definedName>
    <definedName name="EVL" localSheetId="8" hidden="1">{"Econ Consolidado",#N/A,FALSE,"Econ Consol";"Fluxo de Caixa",#N/A,FALSE,"Fluxo Caixa";"Investimentos",#N/A,FALSE,"Investimentos"}</definedName>
    <definedName name="Evol." localSheetId="8" hidden="1">{"Econ Consolidado",#N/A,FALSE,"Econ Consol";"Fluxo de Caixa",#N/A,FALSE,"Fluxo Caixa";"Investimentos",#N/A,FALSE,"Investimentos"}</definedName>
    <definedName name="ewfr" localSheetId="8" hidden="1">{#N/A,#N/A,FALSE,"Plan1";#N/A,#N/A,FALSE,"Plan2"}</definedName>
    <definedName name="eyruieyteta" localSheetId="8" hidden="1">{#N/A,#N/A,FALSE,"Plan1";#N/A,#N/A,FALSE,"Plan2"}</definedName>
    <definedName name="FAS" localSheetId="8" hidden="1">{"'Total'!$A$1","'Total'!$A$3"}</definedName>
    <definedName name="fasfasf" localSheetId="8" hidden="1">{#N/A,#N/A,TRUE,"Quinzena 01 à 15-04-98 "}</definedName>
    <definedName name="fddhght" localSheetId="8" hidden="1">{#N/A,#N/A,FALSE,"Plan1";#N/A,#N/A,FALSE,"Plan2"}</definedName>
    <definedName name="fdfgd" localSheetId="8" hidden="1">{#N/A,#N/A,FALSE,"Plan1";#N/A,#N/A,FALSE,"Plan2"}</definedName>
    <definedName name="fdfng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8" hidden="1">{#N/A,#N/A,FALSE,"Plan1";#N/A,#N/A,FALSE,"Plan2"}</definedName>
    <definedName name="fdgdf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8" hidden="1">{#N/A,#N/A,FALSE,"Plan1";#N/A,#N/A,FALSE,"Plan2"}</definedName>
    <definedName name="fdgfyhygfuj" localSheetId="8" hidden="1">{#N/A,#N/A,FALSE,"Plan1";#N/A,#N/A,FALSE,"Plan2"}</definedName>
    <definedName name="fdhgfdf" localSheetId="8" hidden="1">{#N/A,#N/A,FALSE,"Plan1";#N/A,#N/A,FALSE,"Plan2"}</definedName>
    <definedName name="fdjfgdfjg" localSheetId="8" hidden="1">{#N/A,#N/A,FALSE,"Plan1";#N/A,#N/A,FALSE,"Plan2"}</definedName>
    <definedName name="fdjghkshtygt" localSheetId="8" hidden="1">{#N/A,#N/A,FALSE,"Plan1";#N/A,#N/A,FALSE,"Plan2"}</definedName>
    <definedName name="fdnhgf" localSheetId="8" hidden="1">{"'Estimativa de Lançamento-JAN'!$A$1:$AI$85"}</definedName>
    <definedName name="fdsf" localSheetId="8" hidden="1">{#N/A,#N/A,FALSE,"Plan1";#N/A,#N/A,FALSE,"Plan2"}</definedName>
    <definedName name="fffff" localSheetId="8" hidden="1">{#N/A,#N/A,FALSE,"Plan1";#N/A,#N/A,FALSE,"Plan2"}</definedName>
    <definedName name="FFTY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8" hidden="1">{#N/A,#N/A,FALSE,"Plan1";#N/A,#N/A,FALSE,"Plan2"}</definedName>
    <definedName name="fgg" localSheetId="8" hidden="1">{"'장비'!$A$3:$M$12"}</definedName>
    <definedName name="fghfh" localSheetId="8" hidden="1">{"'Estimativa de Lançamento-JAN'!$A$1:$AI$85"}</definedName>
    <definedName name="fghgfh" localSheetId="8" hidden="1">{#N/A,#N/A,FALSE,"Plan1";#N/A,#N/A,FALSE,"Plan2"}</definedName>
    <definedName name="FGJHFGK" localSheetId="8" hidden="1">{#N/A,#N/A,FALSE,"Plan1";#N/A,#N/A,FALSE,"Plan2"}</definedName>
    <definedName name="fgktyhdf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8" hidden="1">{#N/A,#N/A,FALSE,"Plan1";#N/A,#N/A,FALSE,"Plan2"}</definedName>
    <definedName name="fhgjfgyt" localSheetId="8" hidden="1">{#N/A,#N/A,FALSE,"Plan1";#N/A,#N/A,FALSE,"Plan2"}</definedName>
    <definedName name="fhgjkhtrfg" localSheetId="8" hidden="1">{#N/A,#N/A,FALSE,"Plan1";#N/A,#N/A,FALSE,"Plan2"}</definedName>
    <definedName name="FHGTGSRSG" localSheetId="8" hidden="1">{#N/A,#N/A,FALSE,"Plan1";#N/A,#N/A,FALSE,"Plan2"}</definedName>
    <definedName name="FIELD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8" hidden="1">{#N/A,#N/A,TRUE,"Quinzena 01 à 15-04-98 "}</definedName>
    <definedName name="fjdhfgjdhtgu" localSheetId="8" hidden="1">{#N/A,#N/A,FALSE,"Plan1";#N/A,#N/A,FALSE,"Plan2"}</definedName>
    <definedName name="fjfjg" localSheetId="8" hidden="1">{#N/A,#N/A,FALSE,"명세표"}</definedName>
    <definedName name="FJGH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8" hidden="1">{#N/A,#N/A,FALSE,"Plan1";#N/A,#N/A,FALSE,"Plan2"}</definedName>
    <definedName name="fjtgfh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8" hidden="1">{#N/A,#N/A,FALSE,"Plan1";#N/A,#N/A,FALSE,"Plan2"}</definedName>
    <definedName name="frçt4r" localSheetId="8" hidden="1">{#N/A,#N/A,FALSE,"Plan1";#N/A,#N/A,FALSE,"Plan2"}</definedName>
    <definedName name="frdtty" localSheetId="8" hidden="1">{#N/A,#N/A,FALSE,"Plan1";#N/A,#N/A,FALSE,"Plan2"}</definedName>
    <definedName name="fsdfsf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8" hidden="1">{#N/A,#N/A,FALSE,"Plan1";#N/A,#N/A,FALSE,"Plan2"}</definedName>
    <definedName name="fxjghkfg" localSheetId="8" hidden="1">{#N/A,#N/A,FALSE,"Plan1";#N/A,#N/A,FALSE,"Plan2"}</definedName>
    <definedName name="galo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8" hidden="1">{#N/A,#N/A,FALSE,"Plan1";#N/A,#N/A,FALSE,"Plan2"}</definedName>
    <definedName name="gbdsjgsjfdgj" localSheetId="8" hidden="1">{#N/A,#N/A,FALSE,"Plan1";#N/A,#N/A,FALSE,"Plan2"}</definedName>
    <definedName name="gdfdhgfjgj" localSheetId="8" hidden="1">{#N/A,#N/A,FALSE,"Plan1";#N/A,#N/A,FALSE,"Plan2"}</definedName>
    <definedName name="gdfgdstggt" localSheetId="8" hidden="1">{#N/A,#N/A,FALSE,"Plan1";#N/A,#N/A,FALSE,"Plan2"}</definedName>
    <definedName name="GDFHGRJGFJDRF" localSheetId="8" hidden="1">{"Econ Consolidado",#N/A,FALSE,"Econ Consol";"Fluxo de Caixa",#N/A,FALSE,"Fluxo Caixa";"Investimentos",#N/A,FALSE,"Investimentos"}</definedName>
    <definedName name="gdfigfhuyuy" localSheetId="8" hidden="1">{#N/A,#N/A,FALSE,"Plan1";#N/A,#N/A,FALSE,"Plan2"}</definedName>
    <definedName name="gdfsgfew" localSheetId="8" hidden="1">{#N/A,#N/A,FALSE,"Plan1";#N/A,#N/A,FALSE,"Plan2"}</definedName>
    <definedName name="gdhfgdhfgf" localSheetId="8" hidden="1">{#N/A,#N/A,FALSE,"Plan1";#N/A,#N/A,FALSE,"Plan2"}</definedName>
    <definedName name="gdsfhefrwrw" localSheetId="8" hidden="1">{#N/A,#N/A,FALSE,"Plan1";#N/A,#N/A,FALSE,"Plan2"}</definedName>
    <definedName name="geshrjhed" localSheetId="8" hidden="1">{#N/A,#N/A,FALSE,"Plan1";#N/A,#N/A,FALSE,"Plan2"}</definedName>
    <definedName name="gfdcgnkf" localSheetId="8" hidden="1">{#N/A,#N/A,FALSE,"Plan1";#N/A,#N/A,FALSE,"Plan2"}</definedName>
    <definedName name="gfdjtgur" localSheetId="8" hidden="1">{#N/A,#N/A,FALSE,"Plan1";#N/A,#N/A,FALSE,"Plan2"}</definedName>
    <definedName name="gfgdhxgfdhf" localSheetId="8" hidden="1">{#N/A,#N/A,FALSE,"Plan1";#N/A,#N/A,FALSE,"Plan2"}</definedName>
    <definedName name="gfhfdtgjb" localSheetId="8" hidden="1">{#N/A,#N/A,FALSE,"Plan1";#N/A,#N/A,FALSE,"Plan2"}</definedName>
    <definedName name="gfjdshrtjhtged" localSheetId="8" hidden="1">{#N/A,#N/A,FALSE,"Plan1";#N/A,#N/A,FALSE,"Plan2"}</definedName>
    <definedName name="gfjgkddgfd" localSheetId="8" hidden="1">{#N/A,#N/A,FALSE,"Plan1";#N/A,#N/A,FALSE,"Plan2"}</definedName>
    <definedName name="gfsghjdgygr" localSheetId="8" hidden="1">{#N/A,#N/A,FALSE,"Plan1";#N/A,#N/A,FALSE,"Plan2"}</definedName>
    <definedName name="gftfy" localSheetId="8" hidden="1">{#N/A,#N/A,FALSE,"Plan1";#N/A,#N/A,FALSE,"Plan2"}</definedName>
    <definedName name="gfty" localSheetId="8" hidden="1">{#N/A,#N/A,FALSE,"Plan1";#N/A,#N/A,FALSE,"Plan2"}</definedName>
    <definedName name="GFUJU9" localSheetId="8" hidden="1">{#N/A,#N/A,FALSE,"Plan1";#N/A,#N/A,FALSE,"Plan2"}</definedName>
    <definedName name="ggg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8" hidden="1">{#N/A,#N/A,FALSE,"Plan1";#N/A,#N/A,FALSE,"Plan2"}</definedName>
    <definedName name="ggggggggg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8" hidden="1">{"'장비'!$A$3:$M$12"}</definedName>
    <definedName name="ghfgdfrtert" localSheetId="8" hidden="1">{#N/A,#N/A,FALSE,"Plan1";#N/A,#N/A,FALSE,"Plan2"}</definedName>
    <definedName name="ghfhghft" localSheetId="8" hidden="1">{#N/A,#N/A,FALSE,"Plan1";#N/A,#N/A,FALSE,"Plan2"}</definedName>
    <definedName name="ghjg" localSheetId="8" hidden="1">{"'Estimativa de Lançamento-JAN'!$A$1:$AI$85"}</definedName>
    <definedName name="ghkfhgh" localSheetId="8" hidden="1">{#N/A,#N/A,FALSE,"Plan1";#N/A,#N/A,FALSE,"Plan2"}</definedName>
    <definedName name="ghkjh" localSheetId="8" hidden="1">{#N/A,#N/A,FALSE,"ENG'G(보호계전기)"}</definedName>
    <definedName name="GJ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8" hidden="1">{#N/A,#N/A,FALSE,"Plan1";#N/A,#N/A,FALSE,"Plan2"}</definedName>
    <definedName name="GJ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8" hidden="1">{#N/A,#N/A,FALSE,"Plan1";#N/A,#N/A,FALSE,"Plan2"}</definedName>
    <definedName name="glgl" localSheetId="8" hidden="1">{#N/A,#N/A,FALSE,"Plan1";#N/A,#N/A,FALSE,"Plan2"}</definedName>
    <definedName name="gnfrth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8" hidden="1">{#N/A,#N/A,FALSE,"Plan1";#N/A,#N/A,FALSE,"Plan2"}</definedName>
    <definedName name="GUI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8" hidden="1">{#N/A,#N/A,FALSE,"CCTV"}</definedName>
    <definedName name="hcjfkhdghfktg" localSheetId="8" hidden="1">{#N/A,#N/A,FALSE,"Plan1";#N/A,#N/A,FALSE,"Plan2"}</definedName>
    <definedName name="hddfndgdfg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8" hidden="1">{#N/A,#N/A,FALSE,"Plan1";#N/A,#N/A,FALSE,"Plan2"}</definedName>
    <definedName name="HDFGJKHKFDHTY" localSheetId="8" hidden="1">{#N/A,#N/A,FALSE,"Plan1";#N/A,#N/A,FALSE,"Plan2"}</definedName>
    <definedName name="hdfhdhrtgd" localSheetId="8" hidden="1">{#N/A,#N/A,FALSE,"Plan1";#N/A,#N/A,FALSE,"Plan2"}</definedName>
    <definedName name="hdfhftde" localSheetId="8" hidden="1">{#N/A,#N/A,FALSE,"Plan1";#N/A,#N/A,FALSE,"Plan2"}</definedName>
    <definedName name="hdfhgkdhgtrf" localSheetId="8" hidden="1">{#N/A,#N/A,FALSE,"Plan1";#N/A,#N/A,FALSE,"Plan2"}</definedName>
    <definedName name="hdfjhdkzhgdr" localSheetId="8" hidden="1">{#N/A,#N/A,FALSE,"Plan1";#N/A,#N/A,FALSE,"Plan2"}</definedName>
    <definedName name="hdfjkgvjgtd" localSheetId="8" hidden="1">{#N/A,#N/A,FALSE,"Plan1";#N/A,#N/A,FALSE,"Plan2"}</definedName>
    <definedName name="hdfjkhdhrute" localSheetId="8" hidden="1">{#N/A,#N/A,FALSE,"Plan1";#N/A,#N/A,FALSE,"Plan2"}</definedName>
    <definedName name="HDFKGVF" localSheetId="8" hidden="1">{#N/A,#N/A,FALSE,"Plan1";#N/A,#N/A,FALSE,"Plan2"}</definedName>
    <definedName name="hdgfhdgtdrt" localSheetId="8" hidden="1">{#N/A,#N/A,FALSE,"Plan1";#N/A,#N/A,FALSE,"Plan2"}</definedName>
    <definedName name="hdghgtgtrgd" localSheetId="8" hidden="1">{#N/A,#N/A,FALSE,"Plan1";#N/A,#N/A,FALSE,"Plan2"}</definedName>
    <definedName name="HDHDGHTUHDTG" localSheetId="8" hidden="1">{#N/A,#N/A,FALSE,"Plan1";#N/A,#N/A,FALSE,"Plan2"}</definedName>
    <definedName name="hdhghfthrrhy" localSheetId="8" hidden="1">{#N/A,#N/A,FALSE,"Plan1";#N/A,#N/A,FALSE,"Plan2"}</definedName>
    <definedName name="hdkfjhydjh" localSheetId="8" hidden="1">{#N/A,#N/A,FALSE,"Plan1";#N/A,#N/A,FALSE,"Plan2"}</definedName>
    <definedName name="hdsgfgrrdgr" localSheetId="8" hidden="1">{#N/A,#N/A,FALSE,"Plan1";#N/A,#N/A,FALSE,"Plan2"}</definedName>
    <definedName name="hdtertkkdsa" localSheetId="8" hidden="1">{#N/A,#N/A,FALSE,"Plan1";#N/A,#N/A,FALSE,"Plan2"}</definedName>
    <definedName name="HEDHA" localSheetId="8" hidden="1">{#N/A,#N/A,FALSE,"Plan1";#N/A,#N/A,FALSE,"Plan2"}</definedName>
    <definedName name="heife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8" hidden="1">{#N/A,#N/A,FALSE,"Plan1";#N/A,#N/A,FALSE,"Plan2"}</definedName>
    <definedName name="hersdtretyt" localSheetId="8" hidden="1">{#N/A,#N/A,FALSE,"Plan1";#N/A,#N/A,FALSE,"Plan2"}</definedName>
    <definedName name="HFDJTHTRS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8" hidden="1">{#N/A,#N/A,FALSE,"Plan1";#N/A,#N/A,FALSE,"Plan2"}</definedName>
    <definedName name="hfdkhgkfdhtj" localSheetId="8" hidden="1">{#N/A,#N/A,FALSE,"Plan1";#N/A,#N/A,FALSE,"Plan2"}</definedName>
    <definedName name="hfgfktgkhyt" localSheetId="8" hidden="1">{#N/A,#N/A,FALSE,"Plan1";#N/A,#N/A,FALSE,"Plan2"}</definedName>
    <definedName name="hfghdkhrgkjg" localSheetId="8" hidden="1">{#N/A,#N/A,FALSE,"Plan1";#N/A,#N/A,FALSE,"Plan2"}</definedName>
    <definedName name="hfighfth" localSheetId="8" hidden="1">{#N/A,#N/A,FALSE,"Plan1";#N/A,#N/A,FALSE,"Plan2"}</definedName>
    <definedName name="hfjghtfuyrf" localSheetId="8" hidden="1">{#N/A,#N/A,FALSE,"Plan1";#N/A,#N/A,FALSE,"Plan2"}</definedName>
    <definedName name="HFKJHDJGHFJ" localSheetId="8" hidden="1">{#N/A,#N/A,FALSE,"Plan1";#N/A,#N/A,FALSE,"Plan2"}</definedName>
    <definedName name="hgdesgfgsj" localSheetId="8" hidden="1">{#N/A,#N/A,FALSE,"Plan1";#N/A,#N/A,FALSE,"Plan2"}</definedName>
    <definedName name="hgdgfd" localSheetId="8" hidden="1">{#N/A,#N/A,FALSE,"Plan1";#N/A,#N/A,FALSE,"Plan2"}</definedName>
    <definedName name="hgfhjkdfhj" localSheetId="8" hidden="1">{#N/A,#N/A,FALSE,"Plan1";#N/A,#N/A,FALSE,"Plan2"}</definedName>
    <definedName name="hgg" localSheetId="8" hidden="1">{#N/A,#N/A,FALSE,"Plan1";#N/A,#N/A,FALSE,"Plan2"}</definedName>
    <definedName name="hgjdfgghg" localSheetId="8" hidden="1">{#N/A,#N/A,FALSE,"Plan1";#N/A,#N/A,FALSE,"Plan2"}</definedName>
    <definedName name="hgjkfdhg" localSheetId="8" hidden="1">{#N/A,#N/A,FALSE,"Plan1";#N/A,#N/A,FALSE,"Plan2"}</definedName>
    <definedName name="hgkdfhkfk" localSheetId="8" hidden="1">{#N/A,#N/A,FALSE,"Plan1";#N/A,#N/A,FALSE,"Plan2"}</definedName>
    <definedName name="hgkjhdfhtrdyt" localSheetId="8" hidden="1">{#N/A,#N/A,FALSE,"Plan1";#N/A,#N/A,FALSE,"Plan2"}</definedName>
    <definedName name="hgkjhdfkhgtfhg" localSheetId="8" hidden="1">{#N/A,#N/A,FALSE,"Plan1";#N/A,#N/A,FALSE,"Plan2"}</definedName>
    <definedName name="hgkjhkfhsdkdhgk" localSheetId="8" hidden="1">{#N/A,#N/A,FALSE,"Plan1";#N/A,#N/A,FALSE,"Plan2"}</definedName>
    <definedName name="hgsufgdhghd" localSheetId="8" hidden="1">{#N/A,#N/A,FALSE,"Plan1";#N/A,#N/A,FALSE,"Plan2"}</definedName>
    <definedName name="HHGFHTYUT" localSheetId="8" hidden="1">{#N/A,#N/A,FALSE,"Plan1";#N/A,#N/A,FALSE,"Plan2"}</definedName>
    <definedName name="hhh" localSheetId="8" hidden="1">{"'Total'!$A$1","'Total'!$A$3"}</definedName>
    <definedName name="hik" localSheetId="8" hidden="1">{#N/A,#N/A,FALSE,"TABLE"}</definedName>
    <definedName name="hjdgtjdjxrfg" localSheetId="8" hidden="1">{#N/A,#N/A,FALSE,"Plan1";#N/A,#N/A,FALSE,"Plan2"}</definedName>
    <definedName name="HJFDGD" localSheetId="8" hidden="1">{#N/A,#N/A,FALSE,"Plan1";#N/A,#N/A,FALSE,"Plan2"}</definedName>
    <definedName name="HJGASD" localSheetId="8" hidden="1">{#N/A,#N/A,FALSE,"Plan1";#N/A,#N/A,FALSE,"Plan2"}</definedName>
    <definedName name="HJGFGTFDG" localSheetId="8" hidden="1">{#N/A,#N/A,FALSE,"Plan1";#N/A,#N/A,FALSE,"Plan2"}</definedName>
    <definedName name="hjgfhdsgfhsd" localSheetId="8" hidden="1">{#N/A,#N/A,FALSE,"Plan1";#N/A,#N/A,FALSE,"Plan2"}</definedName>
    <definedName name="hjgxfjgdjyftr" localSheetId="8" hidden="1">{#N/A,#N/A,FALSE,"Plan1";#N/A,#N/A,FALSE,"Plan2"}</definedName>
    <definedName name="hjgyugasd" localSheetId="8" hidden="1">{#N/A,#N/A,FALSE,"Plan1";#N/A,#N/A,FALSE,"Plan2"}</definedName>
    <definedName name="hjjfyfy" localSheetId="8" hidden="1">{#N/A,#N/A,FALSE,"Plan1";#N/A,#N/A,FALSE,"Plan2"}</definedName>
    <definedName name="hjkchkvjhdjkgh" localSheetId="8" hidden="1">{#N/A,#N/A,FALSE,"Plan1";#N/A,#N/A,FALSE,"Plan2"}</definedName>
    <definedName name="hjkfjdyht" localSheetId="8" hidden="1">{#N/A,#N/A,FALSE,"Plan1";#N/A,#N/A,FALSE,"Plan2"}</definedName>
    <definedName name="hjsdffe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8" hidden="1">{#N/A,#N/A,FALSE,"Plan1";#N/A,#N/A,FALSE,"Plan2"}</definedName>
    <definedName name="hjsrdfre" localSheetId="8" hidden="1">{"Econ Consolidado",#N/A,FALSE,"Econ Consol";"Fluxo de Caixa",#N/A,FALSE,"Fluxo Caixa";"Investimentos",#N/A,FALSE,"Investimentos"}</definedName>
    <definedName name="HKewewsr" localSheetId="8" hidden="1">{#N/A,#N/A,FALSE,"Plan1";#N/A,#N/A,FALSE,"Plan2"}</definedName>
    <definedName name="hkhdskacd" localSheetId="8" hidden="1">{#N/A,#N/A,FALSE,"Plan1";#N/A,#N/A,FALSE,"Plan2"}</definedName>
    <definedName name="hkjfgfhgfh" localSheetId="8" hidden="1">{#N/A,#N/A,FALSE,"Plan1";#N/A,#N/A,FALSE,"Plan2"}</definedName>
    <definedName name="hkjfhgjkfhghfg" localSheetId="8" hidden="1">{#N/A,#N/A,FALSE,"Plan1";#N/A,#N/A,FALSE,"Plan2"}</definedName>
    <definedName name="HKLZHFRH" localSheetId="8" hidden="1">{#N/A,#N/A,FALSE,"Plan1";#N/A,#N/A,FALSE,"Plan2"}</definedName>
    <definedName name="ho" localSheetId="8" hidden="1">{#N/A,#N/A,FALSE,"TABLE"}</definedName>
    <definedName name="hrterte" localSheetId="8" hidden="1">{#N/A,#N/A,FALSE,"Plan1";#N/A,#N/A,FALSE,"Plan2"}</definedName>
    <definedName name="hsdf" localSheetId="8" hidden="1">{#N/A,#N/A,FALSE,"Plan1";#N/A,#N/A,FALSE,"Plan2"}</definedName>
    <definedName name="hsdfgdgudrt" localSheetId="8" hidden="1">{#N/A,#N/A,FALSE,"Plan1";#N/A,#N/A,FALSE,"Plan2"}</definedName>
    <definedName name="hsdfjkdhur" localSheetId="8" hidden="1">{#N/A,#N/A,FALSE,"Plan1";#N/A,#N/A,FALSE,"Plan2"}</definedName>
    <definedName name="hsdgftdht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8" hidden="1">{#N/A,#N/A,FALSE,"Plan1";#N/A,#N/A,FALSE,"Plan2"}</definedName>
    <definedName name="hsdjffe" localSheetId="8" hidden="1">{#N/A,#N/A,FALSE,"Plan1";#N/A,#N/A,FALSE,"Plan2"}</definedName>
    <definedName name="HSFIHDTR" localSheetId="8" hidden="1">{"Econ Consolidado",#N/A,FALSE,"Econ Consol";"Fluxo de Caixa",#N/A,FALSE,"Fluxo Caixa";"Investimentos",#N/A,FALSE,"Investimentos"}</definedName>
    <definedName name="hsfjkdshrgf" localSheetId="8" hidden="1">{#N/A,#N/A,FALSE,"Plan1";#N/A,#N/A,FALSE,"Plan2"}</definedName>
    <definedName name="hthhrtetdre" localSheetId="8" hidden="1">{#N/A,#N/A,FALSE,"Plan1";#N/A,#N/A,FALSE,"Plan2"}</definedName>
    <definedName name="HTML_Control" localSheetId="8" hidden="1">{"'장비'!$A$3:$M$12"}</definedName>
    <definedName name="HTML2_CONTROL" localSheetId="8" hidden="1">{"'Estimativa de Lançamento-JAN'!$A$1:$AI$85"}</definedName>
    <definedName name="HTML3_CONTROL" localSheetId="8" hidden="1">{"'Estimativa de Lançamento-JAN'!$A$1:$AI$85"}</definedName>
    <definedName name="HTMLControl" localSheetId="8" hidden="1">{"'Edit'!$A$1:$V$2277"}</definedName>
    <definedName name="HVJKHGKFXHFD" localSheetId="8" hidden="1">{#N/A,#N/A,FALSE,"Plan1";#N/A,#N/A,FALSE,"Plan2"}</definedName>
    <definedName name="hwekjhekhf" localSheetId="8" hidden="1">{#N/A,#N/A,FALSE,"Plan1";#N/A,#N/A,FALSE,"Plan2"}</definedName>
    <definedName name="HXFRE" localSheetId="8" hidden="1">{#N/A,#N/A,FALSE,"Plan1";#N/A,#N/A,FALSE,"Plan2"}</definedName>
    <definedName name="HXKJFGDKHG" localSheetId="8" hidden="1">{#N/A,#N/A,FALSE,"Plan1";#N/A,#N/A,FALSE,"Plan2"}</definedName>
    <definedName name="idfhgkjhfkthy" localSheetId="8" hidden="1">{#N/A,#N/A,FALSE,"Plan1";#N/A,#N/A,FALSE,"Plan2"}</definedName>
    <definedName name="ieroweft" localSheetId="8" hidden="1">{#N/A,#N/A,FALSE,"Plan1";#N/A,#N/A,FALSE,"Plan2"}</definedName>
    <definedName name="iewpotqi5poejy" localSheetId="8" hidden="1">{#N/A,#N/A,FALSE,"Plan1";#N/A,#N/A,FALSE,"Plan2"}</definedName>
    <definedName name="ihdfifguhgfuiyh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8" hidden="1">{#N/A,#N/A,FALSE,"Plan1";#N/A,#N/A,FALSE,"Plan2"}</definedName>
    <definedName name="ihrtetw4r" localSheetId="8" hidden="1">{#N/A,#N/A,FALSE,"Plan1";#N/A,#N/A,FALSE,"Plan2"}</definedName>
    <definedName name="IIASDSAWE" localSheetId="8" hidden="1">{"Econ Consolidado",#N/A,FALSE,"Econ Consol";"Fluxo de Caixa",#N/A,FALSE,"Fluxo Caixa";"Investimentos",#N/A,FALSE,"Investimentos"}</definedName>
    <definedName name="iinstalações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8" hidden="1">{#N/A,#N/A,FALSE,"Plan1";#N/A,#N/A,FALSE,"Plan2"}</definedName>
    <definedName name="ilsdr4wf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8" hidden="1">{"'Edit'!$A$1:$V$2277"}</definedName>
    <definedName name="ioeriotyt" localSheetId="8" hidden="1">{#N/A,#N/A,FALSE,"Plan1";#N/A,#N/A,FALSE,"Plan2"}</definedName>
    <definedName name="iohudtorh" localSheetId="8" hidden="1">{#N/A,#N/A,FALSE,"Plan1";#N/A,#N/A,FALSE,"Plan2"}</definedName>
    <definedName name="iojtkheayed" localSheetId="8" hidden="1">{#N/A,#N/A,FALSE,"Plan1";#N/A,#N/A,FALSE,"Plan2"}</definedName>
    <definedName name="iouweroieuw4" localSheetId="8" hidden="1">{#N/A,#N/A,FALSE,"Plan1";#N/A,#N/A,FALSE,"Plan2"}</definedName>
    <definedName name="iphifpgh" localSheetId="8" hidden="1">{#N/A,#N/A,FALSE,"Plan1";#N/A,#N/A,FALSE,"Plan2"}</definedName>
    <definedName name="ipodsifgpds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8" hidden="1">{#N/A,#N/A,FALSE,"Plan1";#N/A,#N/A,FALSE,"Plan2"}</definedName>
    <definedName name="ITEM별상세업무분장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8" hidden="1">{#N/A,#N/A,FALSE,"Plan1";#N/A,#N/A,FALSE,"Plan2"}</definedName>
    <definedName name="iyuyheturtd" localSheetId="8" hidden="1">{#N/A,#N/A,FALSE,"Plan1";#N/A,#N/A,FALSE,"Plan2"}</definedName>
    <definedName name="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8" hidden="1">{#N/A,#N/A,FALSE,"Plan1";#N/A,#N/A,FALSE,"Plan2"}</definedName>
    <definedName name="JASDJS" localSheetId="8" hidden="1">{#N/A,#N/A,FALSE,"Plan1";#N/A,#N/A,FALSE,"Plan2"}</definedName>
    <definedName name="jaskldjlse" localSheetId="8" hidden="1">{#N/A,#N/A,FALSE,"Plan1";#N/A,#N/A,FALSE,"Plan2"}</definedName>
    <definedName name="JASLDKLD" localSheetId="8" hidden="1">{#N/A,#N/A,FALSE,"Plan1";#N/A,#N/A,FALSE,"Plan2"}</definedName>
    <definedName name="JÇDFHDF" localSheetId="8" hidden="1">{"Econ Consolidado",#N/A,FALSE,"Econ Consol";"Fluxo de Caixa",#N/A,FALSE,"Fluxo Caixa";"Investimentos",#N/A,FALSE,"Investimentos"}</definedName>
    <definedName name="jdbgftbhr" localSheetId="8" hidden="1">{#N/A,#N/A,FALSE,"Plan1";#N/A,#N/A,FALSE,"Plan2"}</definedName>
    <definedName name="jdfgldfjgklh" localSheetId="8" hidden="1">{#N/A,#N/A,FALSE,"Plan1";#N/A,#N/A,FALSE,"Plan2"}</definedName>
    <definedName name="jdfhjkdrhjtkg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8" hidden="1">{#N/A,#N/A,FALSE,"Plan1";#N/A,#N/A,FALSE,"Plan2"}</definedName>
    <definedName name="JDFJLDJR" localSheetId="8" hidden="1">{#N/A,#N/A,FALSE,"Plan1";#N/A,#N/A,FALSE,"Plan2"}</definedName>
    <definedName name="jdfkgitfgdrtt" localSheetId="8" hidden="1">{#N/A,#N/A,FALSE,"Plan1";#N/A,#N/A,FALSE,"Plan2"}</definedName>
    <definedName name="JDFKHFKJ" localSheetId="8" hidden="1">{#N/A,#N/A,FALSE,"Plan1";#N/A,#N/A,FALSE,"Plan2"}</definedName>
    <definedName name="jdfklgtdtr" localSheetId="8" hidden="1">{#N/A,#N/A,FALSE,"Plan1";#N/A,#N/A,FALSE,"Plan2"}</definedName>
    <definedName name="JDFKTHRT" localSheetId="8" hidden="1">{#N/A,#N/A,FALSE,"Plan1";#N/A,#N/A,FALSE,"Plan2"}</definedName>
    <definedName name="JDFLKJDRF" localSheetId="8" hidden="1">{#N/A,#N/A,FALSE,"Plan1";#N/A,#N/A,FALSE,"Plan2"}</definedName>
    <definedName name="jdfzlkjgfdht" localSheetId="8" hidden="1">{#N/A,#N/A,FALSE,"Plan1";#N/A,#N/A,FALSE,"Plan2"}</definedName>
    <definedName name="jdglhfghkt" localSheetId="8" hidden="1">{#N/A,#N/A,FALSE,"Plan1";#N/A,#N/A,FALSE,"Plan2"}</definedName>
    <definedName name="jdhfjdhgfd" localSheetId="8" hidden="1">{#N/A,#N/A,FALSE,"Plan1";#N/A,#N/A,FALSE,"Plan2"}</definedName>
    <definedName name="jdjdjdjd" localSheetId="8" hidden="1">{#N/A,#N/A,FALSE,"명세표"}</definedName>
    <definedName name="jdkfhgjhf" localSheetId="8" hidden="1">{#N/A,#N/A,FALSE,"Plan1";#N/A,#N/A,FALSE,"Plan2"}</definedName>
    <definedName name="jdkfjdtr" localSheetId="8" hidden="1">{#N/A,#N/A,FALSE,"Plan1";#N/A,#N/A,FALSE,"Plan2"}</definedName>
    <definedName name="jdljgftldjti5r" localSheetId="8" hidden="1">{#N/A,#N/A,FALSE,"Plan1";#N/A,#N/A,FALSE,"Plan2"}</definedName>
    <definedName name="JDLKJDASGF" localSheetId="8" hidden="1">{#N/A,#N/A,FALSE,"Plan1";#N/A,#N/A,FALSE,"Plan2"}</definedName>
    <definedName name="jdrfkdjfghrtfjg" localSheetId="8" hidden="1">{#N/A,#N/A,FALSE,"Plan1";#N/A,#N/A,FALSE,"Plan2"}</definedName>
    <definedName name="jdskfhdk" localSheetId="8" hidden="1">{#N/A,#N/A,FALSE,"Plan1";#N/A,#N/A,FALSE,"Plan2"}</definedName>
    <definedName name="JDSKLGKDRHGGF" localSheetId="8" hidden="1">{#N/A,#N/A,FALSE,"Plan1";#N/A,#N/A,FALSE,"Plan2"}</definedName>
    <definedName name="jefsgfr" localSheetId="8" hidden="1">{#N/A,#N/A,FALSE,"Plan1";#N/A,#N/A,FALSE,"Plan2"}</definedName>
    <definedName name="JERHIEHYURE" localSheetId="8" hidden="1">{#N/A,#N/A,FALSE,"Plan1";#N/A,#N/A,FALSE,"Plan2"}</definedName>
    <definedName name="jfddlsrtyty" localSheetId="8" hidden="1">{#N/A,#N/A,FALSE,"Plan1";#N/A,#N/A,FALSE,"Plan2"}</definedName>
    <definedName name="jfdjtgdjghitfyh" localSheetId="8" hidden="1">{#N/A,#N/A,FALSE,"Plan1";#N/A,#N/A,FALSE,"Plan2"}</definedName>
    <definedName name="jfdkgkftftg" localSheetId="8" hidden="1">{#N/A,#N/A,FALSE,"Plan1";#N/A,#N/A,FALSE,"Plan2"}</definedName>
    <definedName name="jfghjkfdhtkyru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8" hidden="1">{#N/A,#N/A,FALSE,"Plan1";#N/A,#N/A,FALSE,"Plan2"}</definedName>
    <definedName name="jfgkflcnjkglc" localSheetId="8" hidden="1">{#N/A,#N/A,FALSE,"Plan1";#N/A,#N/A,FALSE,"Plan2"}</definedName>
    <definedName name="JFHRE" localSheetId="8" hidden="1">{#N/A,#N/A,FALSE,"Plan1";#N/A,#N/A,FALSE,"Plan2"}</definedName>
    <definedName name="jfkdls5jtirjd" localSheetId="8" hidden="1">{#N/A,#N/A,FALSE,"Plan1";#N/A,#N/A,FALSE,"Plan2"}</definedName>
    <definedName name="jfkljdkfcj" localSheetId="8" hidden="1">{#N/A,#N/A,FALSE,"Plan1";#N/A,#N/A,FALSE,"Plan2"}</definedName>
    <definedName name="jfkrhdtghdut" localSheetId="8" hidden="1">{#N/A,#N/A,FALSE,"Plan1";#N/A,#N/A,FALSE,"Plan2"}</definedName>
    <definedName name="JFRESR" localSheetId="8" hidden="1">{#N/A,#N/A,FALSE,"Plan1";#N/A,#N/A,FALSE,"Plan2"}</definedName>
    <definedName name="jgdfdgfjgdj" localSheetId="8" hidden="1">{#N/A,#N/A,FALSE,"Plan1";#N/A,#N/A,FALSE,"Plan2"}</definedName>
    <definedName name="jgdfght" localSheetId="8" hidden="1">{#N/A,#N/A,FALSE,"Plan1";#N/A,#N/A,FALSE,"Plan2"}</definedName>
    <definedName name="jgfgdsgfdhrf" localSheetId="8" hidden="1">{#N/A,#N/A,FALSE,"Plan1";#N/A,#N/A,FALSE,"Plan2"}</definedName>
    <definedName name="JGFJGTFT" localSheetId="8" hidden="1">{#N/A,#N/A,FALSE,"Plan1";#N/A,#N/A,FALSE,"Plan2"}</definedName>
    <definedName name="jgkjkhjuftgi" localSheetId="8" hidden="1">{#N/A,#N/A,FALSE,"Plan1";#N/A,#N/A,FALSE,"Plan2"}</definedName>
    <definedName name="jh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8" hidden="1">{#N/A,#N/A,FALSE,"Plan1";#N/A,#N/A,FALSE,"Plan2"}</definedName>
    <definedName name="jhdfjkhtrdhf" localSheetId="8" hidden="1">{#N/A,#N/A,FALSE,"Plan1";#N/A,#N/A,FALSE,"Plan2"}</definedName>
    <definedName name="jhdfuthr" localSheetId="8" hidden="1">{#N/A,#N/A,FALSE,"Plan1";#N/A,#N/A,FALSE,"Plan2"}</definedName>
    <definedName name="JHDFZGRDHF" localSheetId="8" hidden="1">{"Econ Consolidado",#N/A,FALSE,"Econ Consol";"Fluxo de Caixa",#N/A,FALSE,"Fluxo Caixa";"Investimentos",#N/A,FALSE,"Investimentos"}</definedName>
    <definedName name="JHERKHKFGH" localSheetId="8" hidden="1">{#N/A,#N/A,FALSE,"Plan1";#N/A,#N/A,FALSE,"Plan2"}</definedName>
    <definedName name="JHGKJFJFJGL" localSheetId="8" hidden="1">{#N/A,#N/A,FALSE,"Plan1";#N/A,#N/A,FALSE,"Plan2"}</definedName>
    <definedName name="jhsdjkhfuks" localSheetId="8" hidden="1">{#N/A,#N/A,FALSE,"Plan1";#N/A,#N/A,FALSE,"Plan2"}</definedName>
    <definedName name="jisdrkje" localSheetId="8" hidden="1">{#N/A,#N/A,FALSE,"Plan1";#N/A,#N/A,FALSE,"Plan2"}</definedName>
    <definedName name="jishfrieyhtau" localSheetId="8" hidden="1">{#N/A,#N/A,FALSE,"Plan1";#N/A,#N/A,FALSE,"Plan2"}</definedName>
    <definedName name="jiu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8" hidden="1">{"'Apr-00'!$B$4:$AD$44"}</definedName>
    <definedName name="jjfdsktyhhy" localSheetId="8" hidden="1">{#N/A,#N/A,FALSE,"Plan1";#N/A,#N/A,FALSE,"Plan2"}</definedName>
    <definedName name="jjkjkjk" localSheetId="8" hidden="1">{#N/A,#N/A,FALSE,"Plan1";#N/A,#N/A,FALSE,"Plan2"}</definedName>
    <definedName name="JKDCK" localSheetId="8" hidden="1">{#N/A,#N/A,FALSE,"Plan1";#N/A,#N/A,FALSE,"Plan2"}</definedName>
    <definedName name="JKDFHKHFR" localSheetId="8" hidden="1">{#N/A,#N/A,FALSE,"Plan1";#N/A,#N/A,FALSE,"Plan2"}</definedName>
    <definedName name="JKDFTRDRJ" localSheetId="8" hidden="1">{#N/A,#N/A,FALSE,"Plan1";#N/A,#N/A,FALSE,"Plan2"}</definedName>
    <definedName name="jkdhfukhddf" localSheetId="8" hidden="1">{#N/A,#N/A,FALSE,"Plan1";#N/A,#N/A,FALSE,"Plan2"}</definedName>
    <definedName name="JKDRKGJHTDR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8" hidden="1">{#N/A,#N/A,FALSE,"Plan1";#N/A,#N/A,FALSE,"Plan2"}</definedName>
    <definedName name="jkfhjgkfhghh" localSheetId="8" hidden="1">{#N/A,#N/A,FALSE,"Plan1";#N/A,#N/A,FALSE,"Plan2"}</definedName>
    <definedName name="jkhderjkhes" localSheetId="8" hidden="1">{#N/A,#N/A,FALSE,"Plan1";#N/A,#N/A,FALSE,"Plan2"}</definedName>
    <definedName name="jkhdfhfd" localSheetId="8" hidden="1">{#N/A,#N/A,FALSE,"Plan1";#N/A,#N/A,FALSE,"Plan2"}</definedName>
    <definedName name="jkhfhest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8" hidden="1">{#N/A,#N/A,FALSE,"Plan1";#N/A,#N/A,FALSE,"Plan2"}</definedName>
    <definedName name="JKHGDHFUHTG" localSheetId="8" hidden="1">{#N/A,#N/A,FALSE,"Plan1";#N/A,#N/A,FALSE,"Plan2"}</definedName>
    <definedName name="jkhsdzjkfyiu" localSheetId="8" hidden="1">{#N/A,#N/A,FALSE,"Plan1";#N/A,#N/A,FALSE,"Plan2"}</definedName>
    <definedName name="jkjsdkhfdhrf" localSheetId="8" hidden="1">{#N/A,#N/A,FALSE,"Plan1";#N/A,#N/A,FALSE,"Plan2"}</definedName>
    <definedName name="jklgfsjgtjtg" localSheetId="8" hidden="1">{#N/A,#N/A,FALSE,"Plan1";#N/A,#N/A,FALSE,"Plan2"}</definedName>
    <definedName name="jksldfjsdhf" localSheetId="8" hidden="1">{#N/A,#N/A,FALSE,"Plan1";#N/A,#N/A,FALSE,"Plan2"}</definedName>
    <definedName name="jkxhcjkhfr" localSheetId="8" hidden="1">{#N/A,#N/A,FALSE,"Plan1";#N/A,#N/A,FALSE,"Plan2"}</definedName>
    <definedName name="JNGCKFKJFGH" localSheetId="8" hidden="1">{#N/A,#N/A,FALSE,"Plan1";#N/A,#N/A,FALSE,"Plan2"}</definedName>
    <definedName name="JREJRW" localSheetId="8" hidden="1">{#N/A,#N/A,FALSE,"Plan1";#N/A,#N/A,FALSE,"Plan2"}</definedName>
    <definedName name="JSADKAH" localSheetId="8" hidden="1">{"Econ Consolidado",#N/A,FALSE,"Econ Consol";"Fluxo de Caixa",#N/A,FALSE,"Fluxo Caixa";"Investimentos",#N/A,FALSE,"Investimentos"}</definedName>
    <definedName name="JSDAJRE" localSheetId="8" hidden="1">{#N/A,#N/A,FALSE,"Plan1";#N/A,#N/A,FALSE,"Plan2"}</definedName>
    <definedName name="jsdffse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8" hidden="1">{#N/A,#N/A,FALSE,"Plan1";#N/A,#N/A,FALSE,"Plan2"}</definedName>
    <definedName name="jsdfsdfd" localSheetId="8" hidden="1">{#N/A,#N/A,FALSE,"Plan1";#N/A,#N/A,FALSE,"Plan2"}</definedName>
    <definedName name="jsdljficd" localSheetId="8" hidden="1">{#N/A,#N/A,FALSE,"Plan1";#N/A,#N/A,FALSE,"Plan2"}</definedName>
    <definedName name="JSDTLFJDRG" localSheetId="8" hidden="1">{#N/A,#N/A,FALSE,"Plan1";#N/A,#N/A,FALSE,"Plan2"}</definedName>
    <definedName name="jsfjsjferwea" localSheetId="8" hidden="1">{#N/A,#N/A,FALSE,"Plan1";#N/A,#N/A,FALSE,"Plan2"}</definedName>
    <definedName name="jslrjer" localSheetId="8" hidden="1">{#N/A,#N/A,FALSE,"Plan1";#N/A,#N/A,FALSE,"Plan2"}</definedName>
    <definedName name="juklhkhdf" localSheetId="8" hidden="1">{#N/A,#N/A,FALSE,"Plan1";#N/A,#N/A,FALSE,"Plan2"}</definedName>
    <definedName name="JULHO99" localSheetId="8" hidden="1">{#N/A,#N/A,TRUE,"Quinzena 01 à 15-04-98 "}</definedName>
    <definedName name="jwekljd" localSheetId="8" hidden="1">{#N/A,#N/A,FALSE,"Plan1";#N/A,#N/A,FALSE,"Plan2"}</definedName>
    <definedName name="JWEOITORU5Y" localSheetId="8" hidden="1">{#N/A,#N/A,FALSE,"Plan1";#N/A,#N/A,FALSE,"Plan2"}</definedName>
    <definedName name="jxdfjsrf" localSheetId="8" hidden="1">{#N/A,#N/A,FALSE,"Plan1";#N/A,#N/A,FALSE,"Plan2"}</definedName>
    <definedName name="jxdklfjv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8" hidden="1">{#N/A,#N/A,FALSE,"Plan1";#N/A,#N/A,FALSE,"Plan2"}</definedName>
    <definedName name="JZXFKLJLDJF" localSheetId="8" hidden="1">{#N/A,#N/A,FALSE,"Plan1";#N/A,#N/A,FALSE,"Plan2"}</definedName>
    <definedName name="jzxklfdlvgfg" localSheetId="8" hidden="1">{#N/A,#N/A,FALSE,"Plan1";#N/A,#N/A,FALSE,"Plan2"}</definedName>
    <definedName name="k" localSheetId="8" hidden="1">{#N/A,#N/A,FALSE,"Plan1";#N/A,#N/A,FALSE,"Plan2"}</definedName>
    <definedName name="kaedkroswr" localSheetId="8" hidden="1">{"Econ Consolidado",#N/A,FALSE,"Econ Consol";"Fluxo de Caixa",#N/A,FALSE,"Fluxo Caixa";"Investimentos",#N/A,FALSE,"Investimentos"}</definedName>
    <definedName name="kç\lKçaksdçaqew" localSheetId="8" hidden="1">{#N/A,#N/A,FALSE,"Plan1";#N/A,#N/A,FALSE,"Plan2"}</definedName>
    <definedName name="kçdasekr" localSheetId="8" hidden="1">{#N/A,#N/A,FALSE,"Plan1";#N/A,#N/A,FALSE,"Plan2"}</definedName>
    <definedName name="kçfdljtredr" localSheetId="8" hidden="1">{#N/A,#N/A,FALSE,"Plan1";#N/A,#N/A,FALSE,"Plan2"}</definedName>
    <definedName name="kclçkglf" localSheetId="8" hidden="1">{#N/A,#N/A,FALSE,"Plan1";#N/A,#N/A,FALSE,"Plan2"}</definedName>
    <definedName name="kçlkasçkere" localSheetId="8" hidden="1">{#N/A,#N/A,FALSE,"Plan1";#N/A,#N/A,FALSE,"Plan2"}</definedName>
    <definedName name="kdfbngtjkbf" localSheetId="8" hidden="1">{#N/A,#N/A,FALSE,"Plan1";#N/A,#N/A,FALSE,"Plan2"}</definedName>
    <definedName name="kdfhkghkrh" localSheetId="8" hidden="1">{#N/A,#N/A,FALSE,"Plan1";#N/A,#N/A,FALSE,"Plan2"}</definedName>
    <definedName name="kdfier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8" hidden="1">{#N/A,#N/A,FALSE,"Plan1";#N/A,#N/A,FALSE,"Plan2"}</definedName>
    <definedName name="kdfljlfr" localSheetId="8" hidden="1">{#N/A,#N/A,FALSE,"Plan1";#N/A,#N/A,FALSE,"Plan2"}</definedName>
    <definedName name="kdhfgkdfhytgu" localSheetId="8" hidden="1">{#N/A,#N/A,FALSE,"Plan1";#N/A,#N/A,FALSE,"Plan2"}</definedName>
    <definedName name="kdhgftfg" localSheetId="8" hidden="1">{#N/A,#N/A,FALSE,"Plan1";#N/A,#N/A,FALSE,"Plan2"}</definedName>
    <definedName name="KDHKFGKKHGF" localSheetId="8" hidden="1">{#N/A,#N/A,FALSE,"Plan1";#N/A,#N/A,FALSE,"Plan2"}</definedName>
    <definedName name="kdjgkfjgd" localSheetId="8" hidden="1">{#N/A,#N/A,FALSE,"Plan1";#N/A,#N/A,FALSE,"Plan2"}</definedName>
    <definedName name="kdjglkdlgjd" localSheetId="8" hidden="1">{#N/A,#N/A,FALSE,"Plan1";#N/A,#N/A,FALSE,"Plan2"}</definedName>
    <definedName name="kdjsfkldjgkty" localSheetId="8" hidden="1">{#N/A,#N/A,FALSE,"Plan1";#N/A,#N/A,FALSE,"Plan2"}</definedName>
    <definedName name="KDJU" localSheetId="8" hidden="1">{"'장비'!$A$3:$M$12"}</definedName>
    <definedName name="kdkjhgdkfhjk" localSheetId="8" hidden="1">{#N/A,#N/A,FALSE,"Plan1";#N/A,#N/A,FALSE,"Plan2"}</definedName>
    <definedName name="kdsf" localSheetId="8" hidden="1">{#N/A,#N/A,FALSE,"Plan1";#N/A,#N/A,FALSE,"Plan2"}</definedName>
    <definedName name="kdsr" localSheetId="8" hidden="1">{#N/A,#N/A,FALSE,"Plan1";#N/A,#N/A,FALSE,"Plan2"}</definedName>
    <definedName name="kergtfdstr" localSheetId="8" hidden="1">{#N/A,#N/A,FALSE,"Plan1";#N/A,#N/A,FALSE,"Plan2"}</definedName>
    <definedName name="KFDKTHGT" localSheetId="8" hidden="1">{#N/A,#N/A,FALSE,"Plan1";#N/A,#N/A,FALSE,"Plan2"}</definedName>
    <definedName name="kfdxlfdzs" localSheetId="8" hidden="1">{"Econ Consolidado",#N/A,FALSE,"Econ Consol";"Fluxo de Caixa",#N/A,FALSE,"Fluxo Caixa";"Investimentos",#N/A,FALSE,"Investimentos"}</definedName>
    <definedName name="kfgkhjkjhy" localSheetId="8" hidden="1">{#N/A,#N/A,FALSE,"Plan1";#N/A,#N/A,FALSE,"Plan2"}</definedName>
    <definedName name="KFJFDSDF" localSheetId="8" hidden="1">{#N/A,#N/A,FALSE,"Plan1";#N/A,#N/A,FALSE,"Plan2"}</definedName>
    <definedName name="kfnkeasd" localSheetId="8" hidden="1">{#N/A,#N/A,FALSE,"Plan1";#N/A,#N/A,FALSE,"Plan2"}</definedName>
    <definedName name="khdjkfkjhtg" localSheetId="8" hidden="1">{#N/A,#N/A,FALSE,"Plan1";#N/A,#N/A,FALSE,"Plan2"}</definedName>
    <definedName name="khdkfjhhfsdg" localSheetId="8" hidden="1">{#N/A,#N/A,FALSE,"Plan1";#N/A,#N/A,FALSE,"Plan2"}</definedName>
    <definedName name="khdkjfhgudytu" localSheetId="8" hidden="1">{#N/A,#N/A,FALSE,"Plan1";#N/A,#N/A,FALSE,"Plan2"}</definedName>
    <definedName name="khfdghhhgd" localSheetId="8" hidden="1">{#N/A,#N/A,FALSE,"Plan1";#N/A,#N/A,FALSE,"Plan2"}</definedName>
    <definedName name="khfdkjhsdjf" localSheetId="8" hidden="1">{#N/A,#N/A,FALSE,"Plan1";#N/A,#N/A,FALSE,"Plan2"}</definedName>
    <definedName name="khgdkftfy" localSheetId="8" hidden="1">{#N/A,#N/A,FALSE,"Plan1";#N/A,#N/A,FALSE,"Plan2"}</definedName>
    <definedName name="khgfhhtuhf" localSheetId="8" hidden="1">{#N/A,#N/A,FALSE,"Plan1";#N/A,#N/A,FALSE,"Plan2"}</definedName>
    <definedName name="khjkh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8" hidden="1">{#N/A,#N/A,FALSE,"Plan1";#N/A,#N/A,FALSE,"Plan2"}</definedName>
    <definedName name="kieret" localSheetId="8" hidden="1">{#N/A,#N/A,FALSE,"Plan1";#N/A,#N/A,FALSE,"Plan2"}</definedName>
    <definedName name="kjchkfhsezk" localSheetId="8" hidden="1">{#N/A,#N/A,FALSE,"Plan1";#N/A,#N/A,FALSE,"Plan2"}</definedName>
    <definedName name="kjdghksef" localSheetId="8" hidden="1">{#N/A,#N/A,FALSE,"Plan1";#N/A,#N/A,FALSE,"Plan2"}</definedName>
    <definedName name="kjdkftyhtert" localSheetId="8" hidden="1">{#N/A,#N/A,FALSE,"Plan1";#N/A,#N/A,FALSE,"Plan2"}</definedName>
    <definedName name="kjdlfkjds" localSheetId="8" hidden="1">{#N/A,#N/A,FALSE,"Plan1";#N/A,#N/A,FALSE,"Plan2"}</definedName>
    <definedName name="kjdzhfytrfy" localSheetId="8" hidden="1">{#N/A,#N/A,FALSE,"Plan1";#N/A,#N/A,FALSE,"Plan2"}</definedName>
    <definedName name="kjhdfgjthdft" localSheetId="8" hidden="1">{#N/A,#N/A,FALSE,"Plan1";#N/A,#N/A,FALSE,"Plan2"}</definedName>
    <definedName name="kjhsdfk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8" hidden="1">{#N/A,#N/A,FALSE,"Plan1";#N/A,#N/A,FALSE,"Plan2"}</definedName>
    <definedName name="KJ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8" hidden="1">{#N/A,#N/A,FALSE,"Plan1";#N/A,#N/A,FALSE,"Plan2"}</definedName>
    <definedName name="kjl" localSheetId="8" hidden="1">{#N/A,#N/A,FALSE,"ENG'G(보호계전기)"}</definedName>
    <definedName name="KJOI" localSheetId="8" hidden="1">{#N/A,#N/A,FALSE,"Plan1";#N/A,#N/A,FALSE,"Plan2"}</definedName>
    <definedName name="kjqwerw" localSheetId="8" hidden="1">{#N/A,#N/A,FALSE,"Plan1";#N/A,#N/A,FALSE,"Plan2"}</definedName>
    <definedName name="kjsfert" localSheetId="8" hidden="1">{#N/A,#N/A,FALSE,"Plan1";#N/A,#N/A,FALSE,"Plan2"}</definedName>
    <definedName name="KJXCFKR" localSheetId="8" hidden="1">{#N/A,#N/A,FALSE,"Plan1";#N/A,#N/A,FALSE,"Plan2"}</definedName>
    <definedName name="KJXDFD" localSheetId="8" hidden="1">{#N/A,#N/A,FALSE,"Plan1";#N/A,#N/A,FALSE,"Plan2"}</definedName>
    <definedName name="kk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8" hidden="1">{#N/A,#N/A,FALSE,"Plan1";#N/A,#N/A,FALSE,"Plan2"}</definedName>
    <definedName name="kkkkk" localSheetId="8" hidden="1">{#N/A,#N/A,FALSE,"Plan1";#N/A,#N/A,FALSE,"Plan2"}</definedName>
    <definedName name="kkkkkk" localSheetId="8" hidden="1">{#N/A,#N/A,FALSE,"Plan1";#N/A,#N/A,FALSE,"Plan2"}</definedName>
    <definedName name="kko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8" hidden="1">{#N/A,#N/A,FALSE,"Plan1";#N/A,#N/A,FALSE,"Plan2"}</definedName>
    <definedName name="kksarde" localSheetId="8" hidden="1">{#N/A,#N/A,FALSE,"Plan1";#N/A,#N/A,FALSE,"Plan2"}</definedName>
    <definedName name="klaskldjsw" localSheetId="8" hidden="1">{#N/A,#N/A,FALSE,"Plan1";#N/A,#N/A,FALSE,"Plan2"}</definedName>
    <definedName name="klçkop" localSheetId="8" hidden="1">{#N/A,#N/A,FALSE,"Plan1";#N/A,#N/A,FALSE,"Plan2"}</definedName>
    <definedName name="KLDFNTRDT" localSheetId="8" hidden="1">{#N/A,#N/A,FALSE,"Plan1";#N/A,#N/A,FALSE,"Plan2"}</definedName>
    <definedName name="klhjsdklhdf" localSheetId="8" hidden="1">{#N/A,#N/A,FALSE,"Plan1";#N/A,#N/A,FALSE,"Plan2"}</definedName>
    <definedName name="KLHSKLRHWE" localSheetId="8" hidden="1">{#N/A,#N/A,FALSE,"Plan1";#N/A,#N/A,FALSE,"Plan2"}</definedName>
    <definedName name="KLJASKJD" localSheetId="8" hidden="1">{#N/A,#N/A,FALSE,"Plan1";#N/A,#N/A,FALSE,"Plan2"}</definedName>
    <definedName name="KLJDXLG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8" hidden="1">{#N/A,#N/A,FALSE,"Plan1";#N/A,#N/A,FALSE,"Plan2"}</definedName>
    <definedName name="kljflgjrf" localSheetId="8" hidden="1">{#N/A,#N/A,FALSE,"Plan1";#N/A,#N/A,FALSE,"Plan2"}</definedName>
    <definedName name="kljgfdfr" localSheetId="8" hidden="1">{#N/A,#N/A,FALSE,"Plan1";#N/A,#N/A,FALSE,"Plan2"}</definedName>
    <definedName name="kljgfjrt" localSheetId="8" hidden="1">{#N/A,#N/A,FALSE,"Plan1";#N/A,#N/A,FALSE,"Plan2"}</definedName>
    <definedName name="kljlkdfj" localSheetId="8" hidden="1">{#N/A,#N/A,FALSE,"Plan1";#N/A,#N/A,FALSE,"Plan2"}</definedName>
    <definedName name="kljsakjfr" localSheetId="8" hidden="1">{#N/A,#N/A,FALSE,"Plan1";#N/A,#N/A,FALSE,"Plan2"}</definedName>
    <definedName name="kljsdje" localSheetId="8" hidden="1">{#N/A,#N/A,FALSE,"Plan1";#N/A,#N/A,FALSE,"Plan2"}</definedName>
    <definedName name="kljsfwe" localSheetId="8" hidden="1">{#N/A,#N/A,FALSE,"Plan1";#N/A,#N/A,FALSE,"Plan2"}</definedName>
    <definedName name="klk" localSheetId="8" hidden="1">{#N/A,#N/A,FALSE,"Plan1";#N/A,#N/A,FALSE,"Plan2"}</definedName>
    <definedName name="KLKKLKÇJÇ" localSheetId="8" hidden="1">{#N/A,#N/A,FALSE,"Plan1";#N/A,#N/A,FALSE,"Plan2"}</definedName>
    <definedName name="KLSDFT" localSheetId="8" hidden="1">{#N/A,#N/A,FALSE,"Plan1";#N/A,#N/A,FALSE,"Plan2"}</definedName>
    <definedName name="KLSDHSJKHF" localSheetId="8" hidden="1">{#N/A,#N/A,FALSE,"Plan1";#N/A,#N/A,FALSE,"Plan2"}</definedName>
    <definedName name="klsdkre" localSheetId="8" hidden="1">{#N/A,#N/A,FALSE,"Plan1";#N/A,#N/A,FALSE,"Plan2"}</definedName>
    <definedName name="KLSIDJE" localSheetId="8" hidden="1">{#N/A,#N/A,FALSE,"Plan1";#N/A,#N/A,FALSE,"Plan2"}</definedName>
    <definedName name="klsjarsf" localSheetId="8" hidden="1">{#N/A,#N/A,FALSE,"Plan1";#N/A,#N/A,FALSE,"Plan2"}</definedName>
    <definedName name="klxhjfdkhser" localSheetId="8" hidden="1">{#N/A,#N/A,FALSE,"Plan1";#N/A,#N/A,FALSE,"Plan2"}</definedName>
    <definedName name="kopipnsdfne" localSheetId="8" hidden="1">{#N/A,#N/A,FALSE,"Plan1";#N/A,#N/A,FALSE,"Plan2"}</definedName>
    <definedName name="kp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8" hidden="1">{#N/A,#N/A,FALSE,"Plan1";#N/A,#N/A,FALSE,"Plan2"}</definedName>
    <definedName name="ksdlkfsçzd" localSheetId="8" hidden="1">{#N/A,#N/A,FALSE,"Plan1";#N/A,#N/A,FALSE,"Plan2"}</definedName>
    <definedName name="ksdoçierfe" localSheetId="8" hidden="1">{#N/A,#N/A,FALSE,"Plan1";#N/A,#N/A,FALSE,"Plan2"}</definedName>
    <definedName name="ksdtrdrkf" localSheetId="8" hidden="1">{#N/A,#N/A,FALSE,"Plan1";#N/A,#N/A,FALSE,"Plan2"}</definedName>
    <definedName name="KSFÇJDFJL" localSheetId="8" hidden="1">{#N/A,#N/A,FALSE,"Plan1";#N/A,#N/A,FALSE,"Plan2"}</definedName>
    <definedName name="ksfhse" localSheetId="8" hidden="1">{#N/A,#N/A,FALSE,"Plan1";#N/A,#N/A,FALSE,"Plan2"}</definedName>
    <definedName name="KSRKOE" localSheetId="8" hidden="1">{#N/A,#N/A,FALSE,"Plan1";#N/A,#N/A,FALSE,"Plan2"}</definedName>
    <definedName name="KSWKE" localSheetId="8" hidden="1">{#N/A,#N/A,FALSE,"Plan1";#N/A,#N/A,FALSE,"Plan2"}</definedName>
    <definedName name="kysdusf" localSheetId="8" hidden="1">{#N/A,#N/A,FALSE,"Plan1";#N/A,#N/A,FALSE,"Plan2"}</definedName>
    <definedName name="kzslçdkçle" localSheetId="8" hidden="1">{#N/A,#N/A,FALSE,"Plan1";#N/A,#N/A,FALSE,"Plan2"}</definedName>
    <definedName name="LAEKWRK" localSheetId="8" hidden="1">{#N/A,#N/A,FALSE,"Plan1";#N/A,#N/A,FALSE,"Plan2"}</definedName>
    <definedName name="LAKDEWRF" localSheetId="8" hidden="1">{#N/A,#N/A,FALSE,"Plan1";#N/A,#N/A,FALSE,"Plan2"}</definedName>
    <definedName name="LASÇDSRLF" localSheetId="8" hidden="1">{#N/A,#N/A,FALSE,"Plan1";#N/A,#N/A,FALSE,"Plan2"}</definedName>
    <definedName name="lasrlswer" localSheetId="8" hidden="1">{#N/A,#N/A,FALSE,"Plan1";#N/A,#N/A,FALSE,"Plan2"}</definedName>
    <definedName name="lçadple4r" localSheetId="8" hidden="1">{#N/A,#N/A,FALSE,"Plan1";#N/A,#N/A,FALSE,"Plan2"}</definedName>
    <definedName name="lçasser" localSheetId="8" hidden="1">{#N/A,#N/A,FALSE,"Plan1";#N/A,#N/A,FALSE,"Plan2"}</definedName>
    <definedName name="lcdgjtklfrn" localSheetId="8" hidden="1">{#N/A,#N/A,FALSE,"Plan1";#N/A,#N/A,FALSE,"Plan2"}</definedName>
    <definedName name="lçfklsdkçaer" localSheetId="8" hidden="1">{#N/A,#N/A,FALSE,"Plan1";#N/A,#N/A,FALSE,"Plan2"}</definedName>
    <definedName name="lçjkgf" localSheetId="8" hidden="1">{#N/A,#N/A,FALSE,"Plan1";#N/A,#N/A,FALSE,"Plan2"}</definedName>
    <definedName name="LÇJSLDFJ" localSheetId="8" hidden="1">{#N/A,#N/A,FALSE,"Plan1";#N/A,#N/A,FALSE,"Plan2"}</definedName>
    <definedName name="LÇKÇSDRLK" localSheetId="8" hidden="1">{#N/A,#N/A,FALSE,"Plan1";#N/A,#N/A,FALSE,"Plan2"}</definedName>
    <definedName name="lçkl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8" hidden="1">{#N/A,#N/A,FALSE,"Plan1";#N/A,#N/A,FALSE,"Plan2"}</definedName>
    <definedName name="lçslrr4r" localSheetId="8" hidden="1">{#N/A,#N/A,FALSE,"Plan1";#N/A,#N/A,FALSE,"Plan2"}</definedName>
    <definedName name="ldfjgry" localSheetId="8" hidden="1">{#N/A,#N/A,FALSE,"Plan1";#N/A,#N/A,FALSE,"Plan2"}</definedName>
    <definedName name="ldfjgtilrf" localSheetId="8" hidden="1">{#N/A,#N/A,FALSE,"Plan1";#N/A,#N/A,FALSE,"Plan2"}</definedName>
    <definedName name="ldk" localSheetId="8" hidden="1">{#N/A,#N/A,FALSE,"Plan1";#N/A,#N/A,FALSE,"Plan2"}</definedName>
    <definedName name="ldkgkdfjgkh" localSheetId="8" hidden="1">{#N/A,#N/A,FALSE,"Plan1";#N/A,#N/A,FALSE,"Plan2"}</definedName>
    <definedName name="LDTJGR" localSheetId="8" hidden="1">{#N/A,#N/A,FALSE,"Plan1";#N/A,#N/A,FALSE,"Plan2"}</definedName>
    <definedName name="LEKG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8" hidden="1">{#N/A,#N/A,FALSE,"Plan1";#N/A,#N/A,FALSE,"Plan2"}</definedName>
    <definedName name="lidfjgklruf" localSheetId="8" hidden="1">{#N/A,#N/A,FALSE,"Plan1";#N/A,#N/A,FALSE,"Plan2"}</definedName>
    <definedName name="list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8" hidden="1">{#N/A,#N/A,FALSE,"Plan1";#N/A,#N/A,FALSE,"Plan2"}</definedName>
    <definedName name="LJDFLJRL" localSheetId="8" hidden="1">{#N/A,#N/A,FALSE,"Plan1";#N/A,#N/A,FALSE,"Plan2"}</definedName>
    <definedName name="ljsdfrd" localSheetId="8" hidden="1">{#N/A,#N/A,FALSE,"Plan1";#N/A,#N/A,FALSE,"Plan2"}</definedName>
    <definedName name="LK" localSheetId="8" hidden="1">{#N/A,#N/A,TRUE,"Quinzena 01 à 15-04-98 "}</definedName>
    <definedName name="lkasdkeo" localSheetId="8" hidden="1">{#N/A,#N/A,FALSE,"Plan1";#N/A,#N/A,FALSE,"Plan2"}</definedName>
    <definedName name="lkdeas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8" hidden="1">{#N/A,#N/A,FALSE,"Plan1";#N/A,#N/A,FALSE,"Plan2"}</definedName>
    <definedName name="lkfdkçtktr" localSheetId="8" hidden="1">{#N/A,#N/A,FALSE,"Plan1";#N/A,#N/A,FALSE,"Plan2"}</definedName>
    <definedName name="LKSSDKÇ\E" localSheetId="8" hidden="1">{#N/A,#N/A,FALSE,"Plan1";#N/A,#N/A,FALSE,"Plan2"}</definedName>
    <definedName name="lkt" localSheetId="8" hidden="1">{#N/A,#N/A,FALSE,"Plan1";#N/A,#N/A,FALSE,"Plan2"}</definedName>
    <definedName name="lktlyklt" localSheetId="8" hidden="1">{#N/A,#N/A,FALSE,"Plan1";#N/A,#N/A,FALSE,"Plan2"}</definedName>
    <definedName name="LKTTYT" localSheetId="8" hidden="1">{#N/A,#N/A,FALSE,"Plan1";#N/A,#N/A,FALSE,"Plan2"}</definedName>
    <definedName name="llgg" localSheetId="8" hidden="1">{#N/A,#N/A,FALSE,"Plan1";#N/A,#N/A,FALSE,"Plan2"}</definedName>
    <definedName name="LLL" localSheetId="8" hidden="1">{#N/A,#N/A,FALSE,"Plan1";#N/A,#N/A,FALSE,"Plan2"}</definedName>
    <definedName name="LM_AR" localSheetId="8" hidden="1">{#N/A,#N/A,FALSE,"F-01"}</definedName>
    <definedName name="LM_AT" localSheetId="8" hidden="1">{#N/A,#N/A,FALSE,"F-01"}</definedName>
    <definedName name="LM_INC" localSheetId="8" hidden="1">{#N/A,#N/A,FALSE,"F-01"}</definedName>
    <definedName name="LMPAS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" localSheetId="8">#REF!</definedName>
    <definedName name="LSDFKLDKFTR" localSheetId="8" hidden="1">{#N/A,#N/A,FALSE,"Plan1";#N/A,#N/A,FALSE,"Plan2"}</definedName>
    <definedName name="lsdjs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8" hidden="1">{#N/A,#N/A,FALSE,"Plan1";#N/A,#N/A,FALSE,"Plan2"}</definedName>
    <definedName name="lsdsder" localSheetId="8" hidden="1">{#N/A,#N/A,FALSE,"Plan1";#N/A,#N/A,FALSE,"Plan2"}</definedName>
    <definedName name="ltj6ljyhdjhngças" localSheetId="8" hidden="1">{#N/A,#N/A,FALSE,"Plan1";#N/A,#N/A,FALSE,"Plan2"}</definedName>
    <definedName name="m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8" hidden="1">{#N/A,#N/A,FALSE,"Plan1";#N/A,#N/A,FALSE,"Plan2"}</definedName>
    <definedName name="MANTO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8" hidden="1">{#N/A,#N/A,FALSE,"Plan1";#N/A,#N/A,FALSE,"Plan2"}</definedName>
    <definedName name="MC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8" hidden="1">{#N/A,#N/A,FALSE,"Plan1";#N/A,#N/A,FALSE,"Plan2"}</definedName>
    <definedName name="MDSÇLFJKJSD" localSheetId="8" hidden="1">{#N/A,#N/A,FALSE,"Plan1";#N/A,#N/A,FALSE,"Plan2"}</definedName>
    <definedName name="ME" localSheetId="8" hidden="1">{"HW",#N/A,FALSE,"1998"}</definedName>
    <definedName name="MESTRE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8" hidden="1">{#N/A,#N/A,FALSE,"Plan1";#N/A,#N/A,FALSE,"Plan2"}</definedName>
    <definedName name="MM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8" hidden="1">{"tabela",#N/A,FALSE,"Tabela";"decoração",#N/A,FALSE,"Decor.";"Informações",#N/A,FALSE,"Inform."}</definedName>
    <definedName name="mmmmmmm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 localSheetId="8" hidden="1">{#N/A,#N/A,FALSE,"Plan1";#N/A,#N/A,FALSE,"Plan2"}</definedName>
    <definedName name="mncvbgcvmc" localSheetId="8" hidden="1">{#N/A,#N/A,FALSE,"Plan1";#N/A,#N/A,FALSE,"Plan2"}</definedName>
    <definedName name="MNDKZSFNCEA" localSheetId="8" hidden="1">{#N/A,#N/A,FALSE,"Plan1";#N/A,#N/A,FALSE,"Plan2"}</definedName>
    <definedName name="mnhdshfgfhd" localSheetId="8" hidden="1">{#N/A,#N/A,FALSE,"Plan1";#N/A,#N/A,FALSE,"Plan2"}</definedName>
    <definedName name="mobra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8" hidden="1">{#N/A,#N/A,FALSE,"cdi";#N/A,#N/A,FALSE,"debent";#N/A,#N/A,FALSE,"fdos";#N/A,#N/A,FALSE,"resumo"}</definedName>
    <definedName name="Modelo1a" localSheetId="8" hidden="1">{#N/A,#N/A,FALSE,"cdi";#N/A,#N/A,FALSE,"debent";#N/A,#N/A,FALSE,"fdos";#N/A,#N/A,FALSE,"resumo"}</definedName>
    <definedName name="Modelo2" localSheetId="8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8" hidden="1">{#N/A,#N/A,FALSE,"CCTV"}</definedName>
    <definedName name="MSDRFSWER" localSheetId="8" hidden="1">{"Econ Consolidado",#N/A,FALSE,"Econ Consol";"Fluxo de Caixa",#N/A,FALSE,"Fluxo Caixa";"Investimentos",#N/A,FALSE,"Investimentos"}</definedName>
    <definedName name="mzshdjshjs" localSheetId="8" hidden="1">{#N/A,#N/A,FALSE,"Plan1";#N/A,#N/A,FALSE,"Plan2"}</definedName>
    <definedName name="na" localSheetId="8" hidden="1">{#N/A,#N/A,FALSE,"$170M Cash";#N/A,#N/A,FALSE,"$250M Cash";#N/A,#N/A,FALSE,"$325M Cash"}</definedName>
    <definedName name="ncdgrdhrtg" localSheetId="8" hidden="1">{#N/A,#N/A,FALSE,"Plan1";#N/A,#N/A,FALSE,"Plan2"}</definedName>
    <definedName name="nchngdfhgdh" localSheetId="8" hidden="1">{#N/A,#N/A,FALSE,"Plan1";#N/A,#N/A,FALSE,"Plan2"}</definedName>
    <definedName name="NCJFKNGJHF" localSheetId="8" hidden="1">{#N/A,#N/A,FALSE,"Plan1";#N/A,#N/A,FALSE,"Plan2"}</definedName>
    <definedName name="ndcxhgdhf" localSheetId="8" hidden="1">{#N/A,#N/A,FALSE,"Plan1";#N/A,#N/A,FALSE,"Plan2"}</definedName>
    <definedName name="ndfjnjkrhdgt" localSheetId="8" hidden="1">{#N/A,#N/A,FALSE,"Plan1";#N/A,#N/A,FALSE,"Plan2"}</definedName>
    <definedName name="ndfkghkjthfyst" localSheetId="8" hidden="1">{#N/A,#N/A,FALSE,"Plan1";#N/A,#N/A,FALSE,"Plan2"}</definedName>
    <definedName name="NDJGKFKGHUFG" localSheetId="8" hidden="1">{#N/A,#N/A,FALSE,"Plan1";#N/A,#N/A,FALSE,"Plan2"}</definedName>
    <definedName name="ndrjkt" localSheetId="8" hidden="1">{#N/A,#N/A,FALSE,"Plan1";#N/A,#N/A,FALSE,"Plan2"}</definedName>
    <definedName name="new" localSheetId="8" hidden="1">{#N/A,#N/A,FALSE,"Global by BU";#N/A,#N/A,FALSE,"U.S. by BU";#N/A,#N/A,FALSE,"Canada by BU";#N/A,#N/A,FALSE,"Europe by BU";#N/A,#N/A,FALSE,"Asia by BU";#N/A,#N/A,FALSE,"Cala by BU"}</definedName>
    <definedName name="NEWNAME" localSheetId="8" hidden="1">{#N/A,#N/A,FALSE,"CCTV"}</definedName>
    <definedName name="nfgjkhvhfghn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8" hidden="1">{#N/A,#N/A,FALSE,"Plan1";#N/A,#N/A,FALSE,"Plan2"}</definedName>
    <definedName name="nh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8" hidden="1">{#N/A,#N/A,FALSE,"Plan1";#N/A,#N/A,FALSE,"Plan2"}</definedName>
    <definedName name="NJSDFHERTG" localSheetId="8" hidden="1">{#N/A,#N/A,FALSE,"Plan1";#N/A,#N/A,FALSE,"Plan2"}</definedName>
    <definedName name="nkfnsskdn" localSheetId="8" hidden="1">{#N/A,#N/A,FALSE,"Plan1";#N/A,#N/A,FALSE,"Plan2"}</definedName>
    <definedName name="NKJL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8" hidden="1">{#N/A,#N/A,FALSE,"Plan1";#N/A,#N/A,FALSE,"Plan2"}</definedName>
    <definedName name="nljsdfljfdsfr" localSheetId="8" hidden="1">{#N/A,#N/A,FALSE,"Plan1";#N/A,#N/A,FALSE,"Plan2"}</definedName>
    <definedName name="nmjdfhxj" localSheetId="8" hidden="1">{#N/A,#N/A,FALSE,"Plan1";#N/A,#N/A,FALSE,"Plan2"}</definedName>
    <definedName name="nnmn" localSheetId="8" hidden="1">{#N/A,#N/A,FALSE,"Plan1";#N/A,#N/A,FALSE,"Plan2"}</definedName>
    <definedName name="nnn" localSheetId="8" hidden="1">{#N/A,#N/A,FALSE,"Plan1";#N/A,#N/A,FALSE,"Plan2"}</definedName>
    <definedName name="nnnnnnnnnnn" localSheetId="8" hidden="1">{"HW",#N/A,FALSE,"1998"}</definedName>
    <definedName name="NNNNNNNNNNNNNNN" localSheetId="8" hidden="1">{#N/A,#N/A,FALSE,"Plan1";#N/A,#N/A,FALSE,"Plan2"}</definedName>
    <definedName name="nnnnnnnnnnnnnnnnnnnn" localSheetId="8" hidden="1">{#N/A,#N/A,FALSE,"Plan1";#N/A,#N/A,FALSE,"Plan2"}</definedName>
    <definedName name="NNXFT" localSheetId="8" hidden="1">{#N/A,#N/A,FALSE,"Plan1";#N/A,#N/A,FALSE,"Plan2"}</definedName>
    <definedName name="nsdkfndgfdnatf" localSheetId="8" hidden="1">{#N/A,#N/A,FALSE,"Plan1";#N/A,#N/A,FALSE,"Plan2"}</definedName>
    <definedName name="nsfljdiljrf" localSheetId="8" hidden="1">{#N/A,#N/A,FALSE,"Plan1";#N/A,#N/A,FALSE,"Plan2"}</definedName>
    <definedName name="nzxcnnjkd" localSheetId="8" hidden="1">{#N/A,#N/A,FALSE,"Plan1";#N/A,#N/A,FALSE,"Plan2"}</definedName>
    <definedName name="odfuudor" localSheetId="8" hidden="1">{#N/A,#N/A,FALSE,"Plan1";#N/A,#N/A,FALSE,"Plan2"}</definedName>
    <definedName name="oiditrot" localSheetId="8" hidden="1">{#N/A,#N/A,FALSE,"Plan1";#N/A,#N/A,FALSE,"Plan2"}</definedName>
    <definedName name="oio" localSheetId="8" hidden="1">{#N/A,#N/A,FALSE,"Plan1";#N/A,#N/A,FALSE,"Plan2"}</definedName>
    <definedName name="OJÇLJ" localSheetId="8" hidden="1">{#N/A,#N/A,FALSE,"Plan1";#N/A,#N/A,FALSE,"Plan2"}</definedName>
    <definedName name="ojkdfit" localSheetId="8" hidden="1">{#N/A,#N/A,FALSE,"Plan1";#N/A,#N/A,FALSE,"Plan2"}</definedName>
    <definedName name="ooo" localSheetId="8" hidden="1">{#N/A,#N/A,FALSE,"Plan1";#N/A,#N/A,FALSE,"Plan2"}</definedName>
    <definedName name="OPASEDWED" localSheetId="8" hidden="1">{"Econ Consolidado",#N/A,FALSE,"Econ Consol";"Fluxo de Caixa",#N/A,FALSE,"Fluxo Caixa";"Investimentos",#N/A,FALSE,"Investimentos"}</definedName>
    <definedName name="opiwre" localSheetId="8" hidden="1">{#N/A,#N/A,FALSE,"Plan1";#N/A,#N/A,FALSE,"Plan2"}</definedName>
    <definedName name="os" localSheetId="8" hidden="1">{#N/A,#N/A,FALSE,"TABLE"}</definedName>
    <definedName name="otodgkrjglsrd" localSheetId="8" hidden="1">{#N/A,#N/A,FALSE,"Plan1";#N/A,#N/A,FALSE,"Plan2"}</definedName>
    <definedName name="OUERWRSR" localSheetId="8" hidden="1">{#N/A,#N/A,FALSE,"Plan1";#N/A,#N/A,FALSE,"Plan2"}</definedName>
    <definedName name="overhaul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8">ROW()-Linha_Cabeçalho</definedName>
    <definedName name="Pendencias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intura" localSheetId="8">#REF!</definedName>
    <definedName name="PLACAS" localSheetId="8" hidden="1">{#N/A,#N/A,TRUE,"Quinzena 01 à 15-04-98 "}</definedName>
    <definedName name="Placas_Areas" localSheetId="8" hidden="1">{#N/A,#N/A,TRUE,"Quinzena 01 à 15-04-98 "}</definedName>
    <definedName name="plan2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8" hidden="1">{#N/A,#N/A,FALSE,"Plan1";#N/A,#N/A,FALSE,"Plan2"}</definedName>
    <definedName name="plaslrswe" localSheetId="8" hidden="1">{#N/A,#N/A,FALSE,"Plan1";#N/A,#N/A,FALSE,"Plan2"}</definedName>
    <definedName name="plsearpef" localSheetId="8" hidden="1">{#N/A,#N/A,FALSE,"Plan1";#N/A,#N/A,FALSE,"Plan2"}</definedName>
    <definedName name="plss" localSheetId="8" hidden="1">{#N/A,#N/A,FALSE,"Plan1";#N/A,#N/A,FALSE,"Plan2"}</definedName>
    <definedName name="PN2건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eço" localSheetId="8">ROW()-Linha_Cabeçalho</definedName>
    <definedName name="print" localSheetId="8" hidden="1">{#N/A,#N/A,FALSE,"$170M Cash";#N/A,#N/A,FALSE,"$250M Cash";#N/A,#N/A,FALSE,"$325M Cash"}</definedName>
    <definedName name="ptirigyiotut" localSheetId="8" hidden="1">{#N/A,#N/A,FALSE,"Plan1";#N/A,#N/A,FALSE,"Plan2"}</definedName>
    <definedName name="PWER3" localSheetId="8" hidden="1">{#N/A,#N/A,FALSE,"Plan1";#N/A,#N/A,FALSE,"Plan2"}</definedName>
    <definedName name="qkqh1" localSheetId="8" hidden="1">{#N/A,#N/A,FALSE,"명세표"}</definedName>
    <definedName name="QQ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8" hidden="1">{#N/A,#N/A,FALSE,"Plan1";#N/A,#N/A,FALSE,"Plan2"}</definedName>
    <definedName name="qwdqw" localSheetId="8" hidden="1">{#N/A,#N/A,FALSE,"Plan1";#N/A,#N/A,FALSE,"Plan2"}</definedName>
    <definedName name="qweqwe" localSheetId="8" hidden="1">{#N/A,#N/A,FALSE,"Plan1";#N/A,#N/A,FALSE,"Plan2"}</definedName>
    <definedName name="qweqwe4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8" hidden="1">{"HW",#N/A,FALSE,"1998"}</definedName>
    <definedName name="RE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sum" localSheetId="8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8" hidden="1">{#N/A,#N/A,TRUE,"Quinzena 01 à 15-04-98 "}</definedName>
    <definedName name="RF" localSheetId="8" hidden="1">{#N/A,#N/A,FALSE,"CCTV"}</definedName>
    <definedName name="rgedrfrgfdg" localSheetId="8" hidden="1">{#N/A,#N/A,FALSE,"Plan1";#N/A,#N/A,FALSE,"Plan2"}</definedName>
    <definedName name="rhdrmq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8" hidden="1">{"'장비'!$A$3:$M$12"}</definedName>
    <definedName name="rrrrrrrr" localSheetId="8" hidden="1">{"'장비'!$A$3:$M$12"}</definedName>
    <definedName name="rrrrrrrrrrr" localSheetId="8" hidden="1">{#N/A,#N/A,TRUE,"Quinzena 01 à 15-04-98 "}</definedName>
    <definedName name="RTYE" localSheetId="8" hidden="1">{"'장비'!$A$3:$M$12"}</definedName>
    <definedName name="sa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8" hidden="1">{#N/A,#N/A,FALSE,"Plan1";#N/A,#N/A,FALSE,"Plan2"}</definedName>
    <definedName name="sadke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8" hidden="1">{#N/A,#N/A,FALSE,"Plan1";#N/A,#N/A,FALSE,"Plan2"}</definedName>
    <definedName name="SADSRTR" localSheetId="8" hidden="1">{#N/A,#N/A,FALSE,"Plan1";#N/A,#N/A,FALSE,"Plan2"}</definedName>
    <definedName name="sadwde" localSheetId="8" hidden="1">{#N/A,#N/A,FALSE,"Plan1";#N/A,#N/A,FALSE,"Plan2"}</definedName>
    <definedName name="sanjay" localSheetId="8" hidden="1">{#N/A,#N/A,FALSE,"TABLE"}</definedName>
    <definedName name="SAS" localSheetId="8" hidden="1">{#N/A,#N/A,FALSE,"Plan1";#N/A,#N/A,FALSE,"Plan2"}</definedName>
    <definedName name="sasads" localSheetId="8" hidden="1">{#N/A,#N/A,FALSE,"Plan1";#N/A,#N/A,FALSE,"Plan2"}</definedName>
    <definedName name="sda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8" hidden="1">{#N/A,#N/A,FALSE,"Plan1";#N/A,#N/A,FALSE,"Plan2"}</definedName>
    <definedName name="sdckd" localSheetId="8" hidden="1">{#N/A,#N/A,FALSE,"Plan1";#N/A,#N/A,FALSE,"Plan2"}</definedName>
    <definedName name="SDDFKSEDE" localSheetId="8" hidden="1">{#N/A,#N/A,FALSE,"Plan1";#N/A,#N/A,FALSE,"Plan2"}</definedName>
    <definedName name="sddkslker" localSheetId="8" hidden="1">{#N/A,#N/A,FALSE,"Plan1";#N/A,#N/A,FALSE,"Plan2"}</definedName>
    <definedName name="sdefr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8" hidden="1">{#N/A,#N/A,FALSE,"Plan1";#N/A,#N/A,FALSE,"Plan2"}</definedName>
    <definedName name="sdfdfc" localSheetId="8" hidden="1">{#N/A,#N/A,FALSE,"Plan1";#N/A,#N/A,FALSE,"Plan2"}</definedName>
    <definedName name="sdfdf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8" hidden="1">{#N/A,#N/A,FALSE,"Plan1";#N/A,#N/A,FALSE,"Plan2"}</definedName>
    <definedName name="sdfdsf" localSheetId="8" hidden="1">{#N/A,#N/A,FALSE,"Plan1";#N/A,#N/A,FALSE,"Plan2"}</definedName>
    <definedName name="sdfdsf\da" localSheetId="8" hidden="1">{#N/A,#N/A,FALSE,"Plan1";#N/A,#N/A,FALSE,"Plan2"}</definedName>
    <definedName name="SDFEDRT" localSheetId="8" hidden="1">{#N/A,#N/A,FALSE,"Plan1";#N/A,#N/A,FALSE,"Plan2"}</definedName>
    <definedName name="sdfer" localSheetId="8" hidden="1">{#N/A,#N/A,FALSE,"Plan1";#N/A,#N/A,FALSE,"Plan2"}</definedName>
    <definedName name="sdferr" localSheetId="8" hidden="1">{#N/A,#N/A,FALSE,"Plan1";#N/A,#N/A,FALSE,"Plan2"}</definedName>
    <definedName name="sdfe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8" hidden="1">{#N/A,#N/A,FALSE,"Plan1";#N/A,#N/A,FALSE,"Plan2"}</definedName>
    <definedName name="sdfgtr" localSheetId="8" hidden="1">{#N/A,#N/A,FALSE,"Plan1";#N/A,#N/A,FALSE,"Plan2"}</definedName>
    <definedName name="sdfjdetrt" localSheetId="8" hidden="1">{#N/A,#N/A,FALSE,"Plan1";#N/A,#N/A,FALSE,"Plan2"}</definedName>
    <definedName name="SDFJDRTJEIDR" localSheetId="8" hidden="1">{#N/A,#N/A,FALSE,"Plan1";#N/A,#N/A,FALSE,"Plan2"}</definedName>
    <definedName name="sdfjergtij" localSheetId="8" hidden="1">{#N/A,#N/A,FALSE,"Plan1";#N/A,#N/A,FALSE,"Plan2"}</definedName>
    <definedName name="SDFOPJKWE" localSheetId="8" hidden="1">{#N/A,#N/A,FALSE,"Plan1";#N/A,#N/A,FALSE,"Plan2"}</definedName>
    <definedName name="sdfrdt5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8" hidden="1">{#N/A,#N/A,FALSE,"Plan1";#N/A,#N/A,FALSE,"Plan2"}</definedName>
    <definedName name="SDFRTKK" localSheetId="8" hidden="1">{#N/A,#N/A,FALSE,"Plan1";#N/A,#N/A,FALSE,"Plan2"}</definedName>
    <definedName name="SDFRTR" localSheetId="8" hidden="1">{#N/A,#N/A,FALSE,"Plan1";#N/A,#N/A,FALSE,"Plan2"}</definedName>
    <definedName name="sdfry6" localSheetId="8" hidden="1">{#N/A,#N/A,FALSE,"Plan1";#N/A,#N/A,FALSE,"Plan2"}</definedName>
    <definedName name="sdfsaf" localSheetId="8" hidden="1">{#N/A,#N/A,FALSE,"Plan1";#N/A,#N/A,FALSE,"Plan2"}</definedName>
    <definedName name="sdfsd" localSheetId="8" hidden="1">{"'Estimativa de Lançamento-JAN'!$A$1:$AI$85"}</definedName>
    <definedName name="sdfsdfg" localSheetId="8" hidden="1">{#N/A,#N/A,FALSE,"Plan1";#N/A,#N/A,FALSE,"Plan2"}</definedName>
    <definedName name="SDFSDFK" localSheetId="8" hidden="1">{#N/A,#N/A,FALSE,"Plan1";#N/A,#N/A,FALSE,"Plan2"}</definedName>
    <definedName name="sdfsdgftret" localSheetId="8" hidden="1">{#N/A,#N/A,FALSE,"Plan1";#N/A,#N/A,FALSE,"Plan2"}</definedName>
    <definedName name="sdfsf" localSheetId="8" hidden="1">{#N/A,#N/A,FALSE,"Plan1";#N/A,#N/A,FALSE,"Plan2"}</definedName>
    <definedName name="SDFSFRT" localSheetId="8" hidden="1">{"Econ Consolidado",#N/A,FALSE,"Econ Consol";"Fluxo de Caixa",#N/A,FALSE,"Fluxo Caixa";"Investimentos",#N/A,FALSE,"Investimentos"}</definedName>
    <definedName name="sdfsr" localSheetId="8" hidden="1">{#N/A,#N/A,FALSE,"Plan1";#N/A,#N/A,FALSE,"Plan2"}</definedName>
    <definedName name="sdfty" localSheetId="8" hidden="1">{#N/A,#N/A,FALSE,"Plan1";#N/A,#N/A,FALSE,"Plan2"}</definedName>
    <definedName name="sdgdf" localSheetId="8" hidden="1">{#N/A,#N/A,FALSE,"Plan1";#N/A,#N/A,FALSE,"Plan2"}</definedName>
    <definedName name="sdgfrt" localSheetId="8" hidden="1">{#N/A,#N/A,FALSE,"Plan1";#N/A,#N/A,FALSE,"Plan2"}</definedName>
    <definedName name="sdgft" localSheetId="8" hidden="1">{#N/A,#N/A,FALSE,"Plan1";#N/A,#N/A,FALSE,"Plan2"}</definedName>
    <definedName name="sdgt" localSheetId="8" hidden="1">{#N/A,#N/A,FALSE,"Plan1";#N/A,#N/A,FALSE,"Plan2"}</definedName>
    <definedName name="sdhfghdsfg" localSheetId="8" hidden="1">{#N/A,#N/A,FALSE,"Plan1";#N/A,#N/A,FALSE,"Plan2"}</definedName>
    <definedName name="SDHFJKHDFJRE" localSheetId="8" hidden="1">{#N/A,#N/A,FALSE,"Plan1";#N/A,#N/A,FALSE,"Plan2"}</definedName>
    <definedName name="SDHKFDRKGTR" localSheetId="8" hidden="1">{#N/A,#N/A,FALSE,"Plan1";#N/A,#N/A,FALSE,"Plan2"}</definedName>
    <definedName name="sdjdswger" localSheetId="8" hidden="1">{#N/A,#N/A,FALSE,"Plan1";#N/A,#N/A,FALSE,"Plan2"}</definedName>
    <definedName name="sdjfdf" localSheetId="8" hidden="1">{#N/A,#N/A,FALSE,"Plan1";#N/A,#N/A,FALSE,"Plan2"}</definedName>
    <definedName name="sdjfhdjk" localSheetId="8" hidden="1">{#N/A,#N/A,FALSE,"Plan1";#N/A,#N/A,FALSE,"Plan2"}</definedName>
    <definedName name="SDJFJDER" localSheetId="8" hidden="1">{#N/A,#N/A,FALSE,"Plan1";#N/A,#N/A,FALSE,"Plan2"}</definedName>
    <definedName name="sdjflsdjfl" localSheetId="8" hidden="1">{#N/A,#N/A,FALSE,"Plan1";#N/A,#N/A,FALSE,"Plan2"}</definedName>
    <definedName name="SDJHF" localSheetId="8" hidden="1">{#N/A,#N/A,FALSE,"Plan1";#N/A,#N/A,FALSE,"Plan2"}</definedName>
    <definedName name="sdjrderertrr" localSheetId="8" hidden="1">{#N/A,#N/A,FALSE,"Plan1";#N/A,#N/A,FALSE,"Plan2"}</definedName>
    <definedName name="sdkdjk" localSheetId="8" hidden="1">{#N/A,#N/A,FALSE,"Plan1";#N/A,#N/A,FALSE,"Plan2"}</definedName>
    <definedName name="sdkfjhkdgfhk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8" hidden="1">{#N/A,#N/A,FALSE,"Plan1";#N/A,#N/A,FALSE,"Plan2"}</definedName>
    <definedName name="sdkk" localSheetId="8" hidden="1">{#N/A,#N/A,FALSE,"Plan1";#N/A,#N/A,FALSE,"Plan2"}</definedName>
    <definedName name="sdlfsdflj" localSheetId="8" hidden="1">{#N/A,#N/A,FALSE,"Plan1";#N/A,#N/A,FALSE,"Plan2"}</definedName>
    <definedName name="sdmfmdfsgfd" localSheetId="8" hidden="1">{#N/A,#N/A,FALSE,"Plan1";#N/A,#N/A,FALSE,"Plan2"}</definedName>
    <definedName name="sd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8" hidden="1">{#N/A,#N/A,FALSE,"Plan1";#N/A,#N/A,FALSE,"Plan2"}</definedName>
    <definedName name="sdsd" localSheetId="8" hidden="1">{#N/A,#N/A,FALSE,"Plan1";#N/A,#N/A,FALSE,"Plan2"}</definedName>
    <definedName name="sdser" localSheetId="8" hidden="1">{#N/A,#N/A,FALSE,"Plan1";#N/A,#N/A,FALSE,"Plan2"}</definedName>
    <definedName name="sdsre" localSheetId="8" hidden="1">{#N/A,#N/A,FALSE,"Plan1";#N/A,#N/A,FALSE,"Plan2"}</definedName>
    <definedName name="sdss" localSheetId="8" hidden="1">{#N/A,#N/A,FALSE,"Plan1";#N/A,#N/A,FALSE,"Plan2"}</definedName>
    <definedName name="sdusi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8" hidden="1">{"Econ Consolidado",#N/A,FALSE,"Econ Consol";"Fluxo de Caixa",#N/A,FALSE,"Fluxo Caixa";"Investimentos",#N/A,FALSE,"Investimentos"}</definedName>
    <definedName name="sdxfrt" localSheetId="8" hidden="1">{#N/A,#N/A,FALSE,"Plan1";#N/A,#N/A,FALSE,"Plan2"}</definedName>
    <definedName name="SDZFERF" localSheetId="8" hidden="1">{#N/A,#N/A,FALSE,"Plan1";#N/A,#N/A,FALSE,"Plan2"}</definedName>
    <definedName name="sefret4r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ftru" localSheetId="8" hidden="1">{#N/A,#N/A,FALSE,"Plan1";#N/A,#N/A,FALSE,"Plan2"}</definedName>
    <definedName name="SEREWRSWE" localSheetId="8" hidden="1">{"tabela",#N/A,FALSE,"Tabela";"decoração",#N/A,FALSE,"Decor.";"Informações",#N/A,FALSE,"Inform."}</definedName>
    <definedName name="sf" localSheetId="8" hidden="1">{#N/A,#N/A,FALSE,"Plan1";#N/A,#N/A,FALSE,"Plan2"}</definedName>
    <definedName name="sfcrer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8" hidden="1">{#N/A,#N/A,FALSE,"Plan1";#N/A,#N/A,FALSE,"Plan2"}</definedName>
    <definedName name="sfds" localSheetId="8" hidden="1">{#N/A,#N/A,FALSE,"Plan1";#N/A,#N/A,FALSE,"Plan2"}</definedName>
    <definedName name="sfdsd" localSheetId="8" hidden="1">{#N/A,#N/A,FALSE,"Plan1";#N/A,#N/A,FALSE,"Plan2"}</definedName>
    <definedName name="sfrsdrgt" localSheetId="8" hidden="1">{#N/A,#N/A,FALSE,"Plan1";#N/A,#N/A,FALSE,"Plan2"}</definedName>
    <definedName name="SFRT" localSheetId="8" hidden="1">{#N/A,#N/A,FALSE,"Plan1";#N/A,#N/A,FALSE,"Plan2"}</definedName>
    <definedName name="sfsdferf" localSheetId="8" hidden="1">{#N/A,#N/A,FALSE,"Plan1";#N/A,#N/A,FALSE,"Plan2"}</definedName>
    <definedName name="SFSDS" localSheetId="8" hidden="1">{#N/A,#N/A,FALSE,"Plan1";#N/A,#N/A,FALSE,"Plan2"}</definedName>
    <definedName name="sgtghty" localSheetId="8" hidden="1">{#N/A,#N/A,FALSE,"Plan1";#N/A,#N/A,FALSE,"Plan2"}</definedName>
    <definedName name="SH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jawe" localSheetId="8" hidden="1">{#N/A,#N/A,FALSE,"Plan1";#N/A,#N/A,FALSE,"Plan2"}</definedName>
    <definedName name="sjdffd" localSheetId="8" hidden="1">{#N/A,#N/A,FALSE,"Plan1";#N/A,#N/A,FALSE,"Plan2"}</definedName>
    <definedName name="SJDFHDJS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8" hidden="1">{#N/A,#N/A,FALSE,"Plan1";#N/A,#N/A,FALSE,"Plan2"}</definedName>
    <definedName name="SJDKJDE" localSheetId="8" hidden="1">{"Econ Consolidado",#N/A,FALSE,"Econ Consol";"Fluxo de Caixa",#N/A,FALSE,"Fluxo Caixa";"Investimentos",#N/A,FALSE,"Investimentos"}</definedName>
    <definedName name="sjekwjri" localSheetId="8" hidden="1">{#N/A,#N/A,FALSE,"Plan1";#N/A,#N/A,FALSE,"Plan2"}</definedName>
    <definedName name="sjfkdhsfds" localSheetId="8" hidden="1">{#N/A,#N/A,FALSE,"Plan1";#N/A,#N/A,FALSE,"Plan2"}</definedName>
    <definedName name="sjkdljslkrje" localSheetId="8" hidden="1">{#N/A,#N/A,FALSE,"Plan1";#N/A,#N/A,FALSE,"Plan2"}</definedName>
    <definedName name="skadadaszs" localSheetId="8" hidden="1">{#N/A,#N/A,FALSE,"Plan1";#N/A,#N/A,FALSE,"Plan2"}</definedName>
    <definedName name="SKASH" localSheetId="8" hidden="1">{#N/A,#N/A,FALSE,"Plan1";#N/A,#N/A,FALSE,"Plan2"}</definedName>
    <definedName name="skldfrde" localSheetId="8" hidden="1">{#N/A,#N/A,FALSE,"Plan1";#N/A,#N/A,FALSE,"Plan2"}</definedName>
    <definedName name="skosroer" localSheetId="8" hidden="1">{#N/A,#N/A,FALSE,"Plan1";#N/A,#N/A,FALSE,"Plan2"}</definedName>
    <definedName name="sp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8" hidden="1">{#N/A,#N/A,FALSE,"Plan1";#N/A,#N/A,FALSE,"Plan2"}</definedName>
    <definedName name="SRH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ab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est" localSheetId="8" hidden="1">{"'Edit'!$A$1:$V$2277"}</definedName>
    <definedName name="TESTANDO" localSheetId="8" hidden="1">{#N/A,#N/A,TRUE,"Quinzena 01 à 15-04-98 "}</definedName>
    <definedName name="teste1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8" hidden="1">{#N/A,#N/A,FALSE,"Plan1";#N/A,#N/A,FALSE,"Plan2"}</definedName>
    <definedName name="THYJ" localSheetId="8" hidden="1">{#N/A,#N/A,FALSE,"Plan1";#N/A,#N/A,FALSE,"Plan2"}</definedName>
    <definedName name="tihjgih" localSheetId="8" hidden="1">{#N/A,#N/A,FALSE,"Plan1";#N/A,#N/A,FALSE,"Plan2"}</definedName>
    <definedName name="trjyidih" localSheetId="8" hidden="1">{#N/A,#N/A,FALSE,"Plan1";#N/A,#N/A,FALSE,"Plan2"}</definedName>
    <definedName name="tuyedjsksj" localSheetId="8" hidden="1">{#N/A,#N/A,FALSE,"Plan1";#N/A,#N/A,FALSE,"Plan2"}</definedName>
    <definedName name="TYHGFHFHG" localSheetId="8" hidden="1">{#N/A,#N/A,FALSE,"Plan1";#N/A,#N/A,FALSE,"Plan2"}</definedName>
    <definedName name="u" localSheetId="8" hidden="1">{#N/A,#N/A,FALSE,"ET-CAPA";#N/A,#N/A,FALSE,"ET-PAG1";#N/A,#N/A,FALSE,"ET-PAG2";#N/A,#N/A,FALSE,"ET-PAG3";#N/A,#N/A,FALSE,"ET-PAG4";#N/A,#N/A,FALSE,"ET-PAG5"}</definedName>
    <definedName name="udhgfhfg" localSheetId="8" hidden="1">{#N/A,#N/A,FALSE,"Plan1";#N/A,#N/A,FALSE,"Plan2"}</definedName>
    <definedName name="ueiutriuef" localSheetId="8" hidden="1">{#N/A,#N/A,FALSE,"Plan1";#N/A,#N/A,FALSE,"Plan2"}</definedName>
    <definedName name="UHGSDUS" localSheetId="8" hidden="1">{#N/A,#N/A,FALSE,"Plan1";#N/A,#N/A,FALSE,"Plan2"}</definedName>
    <definedName name="UIHWER45R" localSheetId="8" hidden="1">{#N/A,#N/A,FALSE,"Plan1";#N/A,#N/A,FALSE,"Plan2"}</definedName>
    <definedName name="uiosderuiu" localSheetId="8" hidden="1">{#N/A,#N/A,FALSE,"Plan1";#N/A,#N/A,FALSE,"Plan2"}</definedName>
    <definedName name="UIOURET" localSheetId="8" hidden="1">{#N/A,#N/A,FALSE,"Plan1";#N/A,#N/A,FALSE,"Plan2"}</definedName>
    <definedName name="uiwuer" localSheetId="8" hidden="1">{#N/A,#N/A,FALSE,"Plan1";#N/A,#N/A,FALSE,"Plan2"}</definedName>
    <definedName name="UKHDFDSGUDFKD" localSheetId="8" hidden="1">{#N/A,#N/A,FALSE,"Plan1";#N/A,#N/A,FALSE,"Plan2"}</definedName>
    <definedName name="unit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8" hidden="1">{#N/A,#N/A,FALSE,"Plan1";#N/A,#N/A,FALSE,"Plan2"}</definedName>
    <definedName name="valve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8" hidden="1">{#N/A,#N/A,FALSE,"Plan1";#N/A,#N/A,FALSE,"Plan2"}</definedName>
    <definedName name="VERIFICAR" localSheetId="8" hidden="1">{#N/A,#N/A,TRUE,"Quinzena 01 à 15-04-98 "}</definedName>
    <definedName name="vfnijfd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8" hidden="1">{#N/A,#N/A,FALSE,"Plan1";#N/A,#N/A,FALSE,"Plan2"}</definedName>
    <definedName name="vld_classificacao" localSheetId="8" hidden="1">IF(#REF!="Ativa",OFFSET(INDEX(rng_list_classificacao,MATCH(#REF!,rng_list_classificacao,0)),1,0,COUNTA(rng_list_classificacao)-1),#REF!)</definedName>
    <definedName name="vld_regional" localSheetId="8" hidden="1">OFFSET(INDEX(rng_list_regional,MATCH(#REF!,rng_list_regional,0)),1,0,COUNTA(rng_list_regional)-1)</definedName>
    <definedName name="vld_segmento" localSheetId="8" hidden="1">IF(#REF!="Ativa",OFFSET(INDEX(rng_list_segmento,MATCH(#REF!,rng_list_segmento,0)),1,0,COUNTA(rng_list_segmento)-1),#REF!)</definedName>
    <definedName name="vld_sociedade" localSheetId="8" hidden="1">OFFSET(INDEX(rng_list_sociedade,MATCH(#REF!,rng_list_sociedade,0)),1,0,COUNTA(rng_list_sociedade)-1)</definedName>
    <definedName name="vld_status_empresa" localSheetId="8" hidden="1">OFFSET(INDEX(rng_list_status_empresa,MATCH(#REF!,rng_list_status_empresa,0)),1,0,COUNTA(rng_list_status_empresa)-1)</definedName>
    <definedName name="vld_status_lancamento" localSheetId="8" hidden="1">IF(#REF!="Ativa",OFFSET(INDEX(rng_list_status_lancamento,MATCH(#REF!,rng_list_status_lancamento,0)),1,0,COUNTA(rng_list_status_lancamento)-1),#REF!)</definedName>
    <definedName name="vld_status_projeto" localSheetId="8" hidden="1">IF(#REF!="Ativa",OFFSET(INDEX(rng_list_status_projeto,MATCH(#REF!,rng_list_status_projeto,0)),1,0,COUNTA(rng_list_status_projeto)-1),#REF!)</definedName>
    <definedName name="vld_status_viabilidade" localSheetId="8" hidden="1">OFFSET(INDEX(rng_list_status_viabilidade,MATCH(#REF!,rng_list_status_viabilidade,0)),1,0,COUNTA(rng_list_status_viabilidade)-1)</definedName>
    <definedName name="VSDHFGDFGR" localSheetId="8" hidden="1">{#N/A,#N/A,FALSE,"Plan1";#N/A,#N/A,FALSE,"Plan2"}</definedName>
    <definedName name="vvbb" localSheetId="8" hidden="1">{"tabela",#N/A,FALSE,"Tabela";"decoração",#N/A,FALSE,"Decor.";"Informações",#N/A,FALSE,"Inform."}</definedName>
    <definedName name="vvcbnb" localSheetId="8" hidden="1">{#N/A,#N/A,FALSE,"Plan1";#N/A,#N/A,FALSE,"Plan2"}</definedName>
    <definedName name="vvvvv" localSheetId="8" hidden="1">{"Econ Consolidado",#N/A,FALSE,"Econ Consol";"Fluxo de Caixa",#N/A,FALSE,"Fluxo Caixa";"Investimentos",#N/A,FALSE,"Investimentos"}</definedName>
    <definedName name="vvvvvv" localSheetId="8" hidden="1">{#N/A,#N/A,FALSE,"Plan1";#N/A,#N/A,FALSE,"Plan2"}</definedName>
    <definedName name="vvvvvvvvvvvvvvvvv" localSheetId="8" hidden="1">{"HW",#N/A,FALSE,"1998"}</definedName>
    <definedName name="wadalrdjlaev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8" hidden="1">{#N/A,#N/A,FALSE,"Plan1";#N/A,#N/A,FALSE,"Plan2"}</definedName>
    <definedName name="wetoedjtkdr" localSheetId="8" hidden="1">{#N/A,#N/A,FALSE,"Plan1";#N/A,#N/A,FALSE,"Plan2"}</definedName>
    <definedName name="WHATS" localSheetId="8" hidden="1">{"'Edit'!$A$1:$V$2277"}</definedName>
    <definedName name="win.VESSEL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8" hidden="1">{#N/A,#N/A,FALSE,"Plan1";#N/A,#N/A,FALSE,"Plan2"}</definedName>
    <definedName name="WLQ" localSheetId="8" hidden="1">{#N/A,#N/A,FALSE,"명세표"}</definedName>
    <definedName name="WRITE" localSheetId="8" hidden="1">{#N/A,#N/A,FALSE,"CCTV"}</definedName>
    <definedName name="wrn.BM." localSheetId="8" hidden="1">{#N/A,#N/A,FALSE,"CCTV"}</definedName>
    <definedName name="wrn.Brita98.xls." localSheetId="8" hidden="1">{#N/A,#N/A,TRUE,"Quinzena 01 à 15-04-98 "}</definedName>
    <definedName name="wrn.Completo." localSheetId="8" hidden="1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8" hidden="1">{"EconCons",#N/A,TRUE,"Econômico - Consolidado";"CaixaCons",#N/A,TRUE,"Caixa - Consolidado";"InvestCons",#N/A,TRUE,"Invest Consolidado"}</definedName>
    <definedName name="wrn.Consolidado." localSheetId="8" hidden="1">{"Econ Consolidado",#N/A,FALSE,"Econ Consol";"Fluxo de Caixa",#N/A,FALSE,"Fluxo Caixa";"Investimentos",#N/A,FALSE,"Investimentos"}</definedName>
    <definedName name="wrn.GERAL." localSheetId="8" hidden="1">{#N/A,#N/A,FALSE,"ET-CAPA";#N/A,#N/A,FALSE,"ET-PAG1";#N/A,#N/A,FALSE,"ET-PAG2";#N/A,#N/A,FALSE,"ET-PAG3";#N/A,#N/A,FALSE,"ET-PAG4";#N/A,#N/A,FALSE,"ET-PAG5"}</definedName>
    <definedName name="wrn.HAGE." localSheetId="8" hidden="1">{#N/A,#N/A,FALSE,"cdi";#N/A,#N/A,FALSE,"debent";#N/A,#N/A,FALSE,"fdos";#N/A,#N/A,FALSE,"resumo"}</definedName>
    <definedName name="wrn.HAGE01" localSheetId="8" hidden="1">{#N/A,#N/A,FALSE,"cdi";#N/A,#N/A,FALSE,"debent";#N/A,#N/A,FALSE,"fdos";#N/A,#N/A,FALSE,"resumo"}</definedName>
    <definedName name="wrn.HW." localSheetId="8" hidden="1">{"HW",#N/A,FALSE,"1998"}</definedName>
    <definedName name="wrn.imp_flx." localSheetId="8" hidden="1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8" hidden="1">{#N/A,#N/A,FALSE,"Plan1";#N/A,#N/A,FALSE,"Plan2"}</definedName>
    <definedName name="wrn.Imprimir." localSheetId="8" hidden="1">{"tabela",#N/A,FALSE,"Tabela";"decoração",#N/A,FALSE,"Decor.";"Informações",#N/A,FALSE,"Inform."}</definedName>
    <definedName name="wrn.LPU._.MG." localSheetId="8" hidden="1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8" hidden="1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8">{#N/A,#N/A,FALSE,"ALVENARIA";#N/A,#N/A,FALSE,"BLOCOS";#N/A,#N/A,FALSE,"CINTAS";#N/A,#N/A,FALSE,"CORTINA";#N/A,#N/A,FALSE,"LAJES";#N/A,#N/A,FALSE,"PILARES";#N/A,#N/A,FALSE,"VIGAS"}</definedName>
    <definedName name="wrn.Month._.Report._.Package." localSheetId="8" hidden="1">{#N/A,#N/A,FALSE,"Global Wls Trend";#N/A,#N/A,FALSE,"Region Trend";#N/A,#N/A,FALSE,"PBU Trend"}</definedName>
    <definedName name="wrn.Monthly._.Report._.Package." localSheetId="8" hidden="1">{#N/A,#N/A,FALSE,"Global by BU";#N/A,#N/A,FALSE,"U.S. by BU";#N/A,#N/A,FALSE,"Canada by BU";#N/A,#N/A,FALSE,"Europe by BU";#N/A,#N/A,FALSE,"Asia by BU";#N/A,#N/A,FALSE,"Cala by BU"}</definedName>
    <definedName name="wrn.PENDENCIAS.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8" hidden="1">{#N/A,#N/A,FALSE,"F-01"}</definedName>
    <definedName name="wrn.Planiha._.de._.Medição._.F._.01._1" localSheetId="8" hidden="1">{#N/A,#N/A,FALSE,"F-01"}</definedName>
    <definedName name="wrn.Planilha_de_Medição_F_02" localSheetId="8" hidden="1">{#N/A,#N/A,FALSE,"F-01"}</definedName>
    <definedName name="wrn.print._.all." localSheetId="8" hidden="1">{#N/A,#N/A,FALSE,"$170M Cash";#N/A,#N/A,FALSE,"$250M Cash";#N/A,#N/A,FALSE,"$325M Cash"}</definedName>
    <definedName name="wrn.PrintAll." localSheetId="8" hidden="1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8" hidden="1">{#N/A,#N/A,FALSE,"Sheet1";#N/A,#N/A,FALSE,"Sheet2";#N/A,#N/A,FALSE,"Sheet3"}</definedName>
    <definedName name="wrn.PrintPrev1." localSheetId="8" hidden="1">{#N/A,#N/A,FALSE,"Sheet4";#N/A,#N/A,FALSE,"Sheet5";#N/A,#N/A,FALSE,"Sheet6"}</definedName>
    <definedName name="wrn.PrintPrev2." localSheetId="8" hidden="1">{#N/A,#N/A,FALSE,"Sheet7";#N/A,#N/A,FALSE,"Sheet8";#N/A,#N/A,FALSE,"Sheet9"}</definedName>
    <definedName name="wrn.Quadros._.relatório." localSheetId="8" hidden="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8" hidden="1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8" hidden="1">{#N/A,#N/A,FALSE,"TABLE"}</definedName>
    <definedName name="wrn.TERCEIRO." localSheetId="8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8" hidden="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8" hidden="1">{#N/A,#N/A,FALSE,"명세표"}</definedName>
    <definedName name="wrn.Unidades." localSheetId="8" hidden="1">{"Rio Branco",#N/A,FALSE,"Rio Branco";"Itajaí",#N/A,FALSE,"Itajaí";"Pinheiro Machado",#N/A,FALSE,"PMachado";"Esteio",#N/A,FALSE,"Esteio"}</definedName>
    <definedName name="wrn.VESSEL및N2._.구입사양서.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8" hidden="1">{#N/A,#N/A,FALSE,"Sheet1";#N/A,#N/A,FALSE,"Sheet2";#N/A,#N/A,FALSE,"TAB96-1"}</definedName>
    <definedName name="wrn.보호계전기." localSheetId="8" hidden="1">{#N/A,#N/A,FALSE,"ENG'G(보호계전기)"}</definedName>
    <definedName name="wrn.현장._.NCR._.분석." localSheetId="8" hidden="1">{#N/A,#N/A,FALSE,"현장 NCR 분석";#N/A,#N/A,FALSE,"현장품질감사";#N/A,#N/A,FALSE,"현장품질감사"}</definedName>
    <definedName name="wrn1.Cons." localSheetId="8" hidden="1">{"EconCons",#N/A,TRUE,"Econômico - Consolidado";"CaixaCons",#N/A,TRUE,"Caixa - Consolidado";"InvestCons",#N/A,TRUE,"Invest Consolidado"}</definedName>
    <definedName name="wrn1.print._.all." localSheetId="8" hidden="1">{#N/A,#N/A,FALSE,"$170M Cash";#N/A,#N/A,FALSE,"$250M Cash";#N/A,#N/A,FALSE,"$325M Cash"}</definedName>
    <definedName name="WRS" localSheetId="8" hidden="1">{"'장비'!$A$3:$M$12"}</definedName>
    <definedName name="wrt" localSheetId="8" hidden="1">{#N/A,#N/A,FALSE,"$170M Cash";#N/A,#N/A,FALSE,"$250M Cash";#N/A,#N/A,FALSE,"$325M Cash"}</definedName>
    <definedName name="wvu.PLANILHA2.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8" hidden="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8" hidden="1">{#N/A,#N/A,FALSE,"Plan1";#N/A,#N/A,FALSE,"Plan2"}</definedName>
    <definedName name="xcgjkfghf" localSheetId="8" hidden="1">{#N/A,#N/A,FALSE,"Plan1";#N/A,#N/A,FALSE,"Plan2"}</definedName>
    <definedName name="XCGJKVHFDG" localSheetId="8" hidden="1">{#N/A,#N/A,FALSE,"Plan1";#N/A,#N/A,FALSE,"Plan2"}</definedName>
    <definedName name="xcgtrty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8" hidden="1">{#N/A,#N/A,FALSE,"Plan1";#N/A,#N/A,FALSE,"Plan2"}</definedName>
    <definedName name="xcndj" localSheetId="8" hidden="1">{#N/A,#N/A,FALSE,"Plan1";#N/A,#N/A,FALSE,"Plan2"}</definedName>
    <definedName name="XCVGGT" localSheetId="8" hidden="1">{#N/A,#N/A,FALSE,"Plan1";#N/A,#N/A,FALSE,"Plan2"}</definedName>
    <definedName name="xcvrg" localSheetId="8" hidden="1">{#N/A,#N/A,FALSE,"Plan1";#N/A,#N/A,FALSE,"Plan2"}</definedName>
    <definedName name="xdfef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8" hidden="1">{#N/A,#N/A,FALSE,"Plan1";#N/A,#N/A,FALSE,"Plan2"}</definedName>
    <definedName name="xfdlfj" localSheetId="8" hidden="1">{#N/A,#N/A,FALSE,"Plan1";#N/A,#N/A,FALSE,"Plan2"}</definedName>
    <definedName name="xfdxfdf" localSheetId="8" hidden="1">{#N/A,#N/A,FALSE,"Plan1";#N/A,#N/A,FALSE,"Plan2"}</definedName>
    <definedName name="XFJKLDJKLGJ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8" hidden="1">{#N/A,#N/A,FALSE,"Plan1";#N/A,#N/A,FALSE,"Plan2"}</definedName>
    <definedName name="XFT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8" hidden="1">{"Econ Consolidado",#N/A,FALSE,"Econ Consol";"Fluxo de Caixa",#N/A,FALSE,"Fluxo Caixa";"Investimentos",#N/A,FALSE,"Investimentos"}</definedName>
    <definedName name="xfvgcfgt" localSheetId="8" hidden="1">{#N/A,#N/A,FALSE,"Plan1";#N/A,#N/A,FALSE,"Plan2"}</definedName>
    <definedName name="xgrg" localSheetId="8" hidden="1">{#N/A,#N/A,FALSE,"Plan1";#N/A,#N/A,FALSE,"Plan2"}</definedName>
    <definedName name="xmght" localSheetId="8" hidden="1">{#N/A,#N/A,FALSE,"Plan1";#N/A,#N/A,FALSE,"Plan2"}</definedName>
    <definedName name="xo" localSheetId="8" hidden="1">{#N/A,#N/A,FALSE,"Global by BU";#N/A,#N/A,FALSE,"U.S. by BU";#N/A,#N/A,FALSE,"Canada by BU";#N/A,#N/A,FALSE,"Europe by BU";#N/A,#N/A,FALSE,"Asia by BU";#N/A,#N/A,FALSE,"Cala by BU"}</definedName>
    <definedName name="xxxx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8" hidden="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xx" localSheetId="8" hidden="1">{#N/A,#N/A,FALSE,"Plan1";#N/A,#N/A,FALSE,"Plan2"}</definedName>
    <definedName name="xzfrt" localSheetId="8" hidden="1">{#N/A,#N/A,FALSE,"Plan1";#N/A,#N/A,FALSE,"Plan2"}</definedName>
    <definedName name="yeitrtged" localSheetId="8" hidden="1">{#N/A,#N/A,FALSE,"Plan1";#N/A,#N/A,FALSE,"Plan2"}</definedName>
    <definedName name="yhdfiuygrui" localSheetId="8" hidden="1">{#N/A,#N/A,FALSE,"Plan1";#N/A,#N/A,FALSE,"Plan2"}</definedName>
    <definedName name="YRGUYDRIY" localSheetId="8" hidden="1">{"Econ Consolidado",#N/A,FALSE,"Econ Consol";"Fluxo de Caixa",#N/A,FALSE,"Fluxo Caixa";"Investimentos",#N/A,FALSE,"Investimentos"}</definedName>
    <definedName name="yuegursdmksf" localSheetId="8" hidden="1">{#N/A,#N/A,FALSE,"Plan1";#N/A,#N/A,FALSE,"Plan2"}</definedName>
    <definedName name="yuekl4fr" localSheetId="8" hidden="1">{#N/A,#N/A,FALSE,"Plan1";#N/A,#N/A,FALSE,"Plan2"}</definedName>
    <definedName name="yureytuyrea" localSheetId="8" hidden="1">{#N/A,#N/A,FALSE,"Plan1";#N/A,#N/A,FALSE,"Plan2"}</definedName>
    <definedName name="z" localSheetId="8" hidden="1">{"'Estimativa de Lançamento-JAN'!$A$1:$AI$85"}</definedName>
    <definedName name="z\djs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cdçskld" localSheetId="8" hidden="1">{#N/A,#N/A,FALSE,"Plan1";#N/A,#N/A,FALSE,"Plan2"}</definedName>
    <definedName name="zcsdrfrt" localSheetId="8" hidden="1">{#N/A,#N/A,FALSE,"Plan1";#N/A,#N/A,FALSE,"Plan2"}</definedName>
    <definedName name="ZDRE" localSheetId="8" hidden="1">{#N/A,#N/A,FALSE,"Plan1";#N/A,#N/A,FALSE,"Plan2"}</definedName>
    <definedName name="ZSADF" localSheetId="8" hidden="1">{#N/A,#N/A,FALSE,"Plan1";#N/A,#N/A,FALSE,"Plan2"}</definedName>
    <definedName name="zsads" localSheetId="8" hidden="1">{#N/A,#N/A,FALSE,"Plan1";#N/A,#N/A,FALSE,"Plan2"}</definedName>
    <definedName name="zsds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8" hidden="1">{#N/A,#N/A,FALSE,"Plan1";#N/A,#N/A,FALSE,"Plan2"}</definedName>
    <definedName name="zxcfdstrrt" localSheetId="8" hidden="1">{#N/A,#N/A,FALSE,"Plan1";#N/A,#N/A,FALSE,"Plan2"}</definedName>
    <definedName name="zxcx" localSheetId="8" hidden="1">{#N/A,#N/A,FALSE,"Plan1";#N/A,#N/A,FALSE,"Plan2"}</definedName>
    <definedName name="ZXFCRF" localSheetId="8" hidden="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8" hidden="1">{#N/A,#N/A,FALSE,"Plan1";#N/A,#N/A,FALSE,"Plan2"}</definedName>
    <definedName name="zzdftr" localSheetId="8" hidden="1">{#N/A,#N/A,FALSE,"Plan1";#N/A,#N/A,FALSE,"Plan2"}</definedName>
    <definedName name="ㄱ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8" hidden="1">{"'장비'!$A$3:$M$12"}</definedName>
    <definedName name="검증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8" hidden="1">{#N/A,#N/A,FALSE,"현장 NCR 분석";#N/A,#N/A,FALSE,"현장품질감사";#N/A,#N/A,FALSE,"현장품질감사"}</definedName>
    <definedName name="고문2" localSheetId="8" hidden="1">{#N/A,#N/A,FALSE,"현장 NCR 분석";#N/A,#N/A,FALSE,"현장품질감사";#N/A,#N/A,FALSE,"현장품질감사"}</definedName>
    <definedName name="공공공표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8" hidden="1">{#N/A,#N/A,FALSE,"ENG'G(보호계전기)"}</definedName>
    <definedName name="공급표표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8" hidden="1">{#N/A,#N/A,FALSE,"CCTV"}</definedName>
    <definedName name="ㄷㄳ" localSheetId="8" hidden="1">{"'장비'!$A$3:$M$12"}</definedName>
    <definedName name="ㄷㄷㄷㄷ" localSheetId="8" hidden="1">{"'장비'!$A$3:$M$12"}</definedName>
    <definedName name="ㄷㅈㅂㄷ" localSheetId="8" hidden="1">{"'장비'!$A$3:$M$12"}</definedName>
    <definedName name="ㄹㄹ" localSheetId="8" hidden="1">{"'장비'!$A$3:$M$12"}</definedName>
    <definedName name="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8" hidden="1">{#N/A,#N/A,FALSE,"현장 NCR 분석";#N/A,#N/A,FALSE,"현장품질감사";#N/A,#N/A,FALSE,"현장품질감사"}</definedName>
    <definedName name="ㅁ" localSheetId="8" hidden="1">{#N/A,#N/A,FALSE,"명세표"}</definedName>
    <definedName name="ㅁ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8" hidden="1">{#N/A,#N/A,FALSE,"명세표"}</definedName>
    <definedName name="ㅁㅁㅁㅁㅁㅁㅁㅁㅁㅁㅁㅁ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8" hidden="1">{#N/A,#N/A,FALSE,"명세표"}</definedName>
    <definedName name="ㅂㅂㅂㅂ" localSheetId="8" hidden="1">{#N/A,#N/A,FALSE,"명세표"}</definedName>
    <definedName name="ㅂㅂㅂㅂㅂㅂㅂ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8" hidden="1">{"'장비'!$A$3:$M$12"}</definedName>
    <definedName name="ㅂㅈㄷ" localSheetId="8" hidden="1">{"'장비'!$A$3:$M$12"}</definedName>
    <definedName name="ㅂㅈㄷㄷㅂㅈㅈㅂ" localSheetId="8" hidden="1">{"'장비'!$A$3:$M$12"}</definedName>
    <definedName name="ㅂㅈㄷㅂㅈ" localSheetId="8" hidden="1">{"'장비'!$A$3:$M$12"}</definedName>
    <definedName name="ㅂㅈㄷㅂㅈㅈㅂㄷ" localSheetId="8" hidden="1">{"'장비'!$A$3:$M$12"}</definedName>
    <definedName name="ㅂㅈㄷㅈㅂㄷ" localSheetId="8" hidden="1">{"'장비'!$A$3:$M$12"}</definedName>
    <definedName name="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8" hidden="1">{#N/A,#N/A,FALSE,"ENG'G(보호계전기)"}</definedName>
    <definedName name="본공사공정표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8" hidden="1">{#N/A,#N/A,FALSE,"현장 NCR 분석";#N/A,#N/A,FALSE,"현장품질감사";#N/A,#N/A,FALSE,"현장품질감사"}</definedName>
    <definedName name="분야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8" hidden="1">{"'장비'!$A$3:$M$12"}</definedName>
    <definedName name="ㅅㅅㅅㅅㅅ" localSheetId="8" hidden="1">{"'장비'!$A$3:$M$12"}</definedName>
    <definedName name="사업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8" hidden="1">{#N/A,#N/A,FALSE,"TABLE"}</definedName>
    <definedName name="석항" localSheetId="8" hidden="1">{#N/A,#N/A,FALSE,"명세표"}</definedName>
    <definedName name="설계현황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8" hidden="1">{"'장비'!$A$3:$M$12"}</definedName>
    <definedName name="신설" localSheetId="8" hidden="1">{#N/A,#N/A,FALSE,"명세표"}</definedName>
    <definedName name="ㅇㅇ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8" hidden="1">{#N/A,#N/A,FALSE,"명세표"}</definedName>
    <definedName name="ㅈㅈㅈㅈ" localSheetId="8" hidden="1">{#N/A,#N/A,FALSE,"명세표"}</definedName>
    <definedName name="자미" localSheetId="8" hidden="1">{#N/A,#N/A,FALSE,"명세표"}</definedName>
    <definedName name="자재3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8" hidden="1">{#N/A,#N/A,FALSE,"ENG'G(보호계전기)"}</definedName>
    <definedName name="집계" localSheetId="8" hidden="1">{#N/A,#N/A,FALSE,"명세표"}</definedName>
    <definedName name="철골공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8" hidden="1">{#N/A,#N/A,FALSE,"명세표"}</definedName>
    <definedName name="ㅋㅋㅋ" localSheetId="8" hidden="1">{#N/A,#N/A,FALSE,"명세표"}</definedName>
    <definedName name="ㅌㅌ" localSheetId="8" hidden="1">{#N/A,#N/A,FALSE,"명세표"}</definedName>
    <definedName name="토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8" hidden="1">{"'장비'!$A$3:$M$12"}</definedName>
    <definedName name="하하하" localSheetId="8" hidden="1">{#N/A,#N/A,FALSE,"명세표"}</definedName>
    <definedName name="한국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8" hidden="1">{#N/A,#N/A,FALSE,"명세표"}</definedName>
    <definedName name="ㅏㅏㅏ" localSheetId="8" hidden="1">{#N/A,#N/A,FALSE,"명세표"}</definedName>
    <definedName name="ㅔㅔ" localSheetId="8" hidden="1">{#N/A,#N/A,FALSE,"명세표"}</definedName>
    <definedName name="ㅔㅔㅔㅔㅔ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8" hidden="1">{"'장비'!$A$3:$M$12"}</definedName>
    <definedName name="ㅗㅗ" localSheetId="8" hidden="1">{#N/A,#N/A,FALSE,"명세표"}</definedName>
    <definedName name="ㅗㅗㅗㅗㅗ" localSheetId="8" hidden="1">{"'장비'!$A$3:$M$12"}</definedName>
    <definedName name="ㅛ" localSheetId="8" hidden="1">{"'장비'!$A$3:$M$12"}</definedName>
    <definedName name="ㅛㅕㅛㅕㅛ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8" hidden="1">{"'장비'!$A$3:$M$12"}</definedName>
    <definedName name="ㅜ" localSheetId="8" hidden="1">{#N/A,#N/A,FALSE,"명세표"}</definedName>
    <definedName name="ㅠㅠ" localSheetId="8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8" hidden="1">{#N/A,#N/A,FALSE,"명세표"}</definedName>
    <definedName name="_xlnm._FilterDatabase" localSheetId="8" hidden="1">'Ger_Tec e Adm'!$A$7:$L$819</definedName>
    <definedName name="_______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ACR10" localSheetId="9">#REF!</definedName>
    <definedName name="______ACR15" localSheetId="9">#REF!</definedName>
    <definedName name="______acr20" localSheetId="9">#REF!</definedName>
    <definedName name="______acr5" localSheetId="9">#REF!</definedName>
    <definedName name="______ARQ1" localSheetId="9">#REF!</definedName>
    <definedName name="______QT100" localSheetId="9">#REF!</definedName>
    <definedName name="______QT2" localSheetId="9">#REF!</definedName>
    <definedName name="______QT3" localSheetId="9">#REF!</definedName>
    <definedName name="______QT4" localSheetId="9">#REF!</definedName>
    <definedName name="______QT50" localSheetId="9">#REF!</definedName>
    <definedName name="______QT75" localSheetId="9">#REF!</definedName>
    <definedName name="_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ACR10" localSheetId="9">#REF!</definedName>
    <definedName name="_____ACR15" localSheetId="9">#REF!</definedName>
    <definedName name="_____acr20" localSheetId="9">#REF!</definedName>
    <definedName name="_____acr5" localSheetId="9">#REF!</definedName>
    <definedName name="_____ARQ1" localSheetId="9">#REF!</definedName>
    <definedName name="_____QT100" localSheetId="9">#REF!</definedName>
    <definedName name="_____QT2" localSheetId="9">#REF!</definedName>
    <definedName name="_____QT3" localSheetId="9">#REF!</definedName>
    <definedName name="_____QT4" localSheetId="9">#REF!</definedName>
    <definedName name="_____QT50" localSheetId="9">#REF!</definedName>
    <definedName name="_____QT75" localSheetId="9">#REF!</definedName>
    <definedName name="_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key2" localSheetId="9">#REF!</definedName>
    <definedName name="____PK2" localSheetId="9">{"'장비'!$A$3:$M$12"}</definedName>
    <definedName name="____PKG3" localSheetId="9">{"'장비'!$A$3:$M$12"}</definedName>
    <definedName name="____qqq222" localSheetId="9">{"'장비'!$A$3:$M$12"}</definedName>
    <definedName name="_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ACR10" localSheetId="9">#REF!</definedName>
    <definedName name="___ACR15" localSheetId="9">#REF!</definedName>
    <definedName name="___acr20" localSheetId="9">#REF!</definedName>
    <definedName name="___acr5" localSheetId="9">#REF!</definedName>
    <definedName name="___ARQ1" localSheetId="9">#REF!</definedName>
    <definedName name="___CO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key2" localSheetId="9">#REF!</definedName>
    <definedName name="___PK2" localSheetId="9">{"'장비'!$A$3:$M$12"}</definedName>
    <definedName name="___PKG3" localSheetId="9">{"'장비'!$A$3:$M$12"}</definedName>
    <definedName name="___qqq222" localSheetId="9">{"'장비'!$A$3:$M$12"}</definedName>
    <definedName name="___QT100" localSheetId="9">#REF!</definedName>
    <definedName name="___QT2" localSheetId="9">#REF!</definedName>
    <definedName name="___QT3" localSheetId="9">#REF!</definedName>
    <definedName name="___QT4" localSheetId="9">#REF!</definedName>
    <definedName name="___QT50" localSheetId="9">#REF!</definedName>
    <definedName name="___QT75" localSheetId="9">#REF!</definedName>
    <definedName name="_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123Graph_AChart1" localSheetId="9">#REF!</definedName>
    <definedName name="__123Graph_AGRA1" localSheetId="9">#REF!</definedName>
    <definedName name="__123Graph_ARES" localSheetId="9">#REF!</definedName>
    <definedName name="__123Graph_B" localSheetId="9">#REF!</definedName>
    <definedName name="__123Graph_BChart1" localSheetId="9">#REF!</definedName>
    <definedName name="__123Graph_C" localSheetId="9">#REF!</definedName>
    <definedName name="__123Graph_D" localSheetId="9">#REF!</definedName>
    <definedName name="__123Graph_X" localSheetId="9">#REF!</definedName>
    <definedName name="__123Graph_XChart1" localSheetId="9">#REF!</definedName>
    <definedName name="__123Graph_XGRA1" localSheetId="9">#REF!</definedName>
    <definedName name="__123Graph_XRES" localSheetId="9">#REF!</definedName>
    <definedName name="__ACR10" localSheetId="9">#REF!</definedName>
    <definedName name="__ACR15" localSheetId="9">#REF!</definedName>
    <definedName name="__acr20" localSheetId="9">#REF!</definedName>
    <definedName name="__acr5" localSheetId="9">#REF!</definedName>
    <definedName name="__ARQ1" localSheetId="9">#REF!</definedName>
    <definedName name="__Axe3" localSheetId="9">#REF!</definedName>
    <definedName name="__Axe4" localSheetId="9">#REF!</definedName>
    <definedName name="__CO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htm2" localSheetId="9">#REF!</definedName>
    <definedName name="__htn2" localSheetId="9">#REF!</definedName>
    <definedName name="__iss2" localSheetId="9">#REF!</definedName>
    <definedName name="__PK2" localSheetId="9">{"'장비'!$A$3:$M$12"}</definedName>
    <definedName name="__PKG3" localSheetId="9">{"'장비'!$A$3:$M$12"}</definedName>
    <definedName name="__qqq222" localSheetId="9">{"'장비'!$A$3:$M$12"}</definedName>
    <definedName name="__QT100" localSheetId="9">#REF!</definedName>
    <definedName name="__QT2" localSheetId="9">#REF!</definedName>
    <definedName name="__QT3" localSheetId="9">#REF!</definedName>
    <definedName name="__QT4" localSheetId="9">#REF!</definedName>
    <definedName name="__QT50" localSheetId="9">#REF!</definedName>
    <definedName name="__QT75" localSheetId="9">#REF!</definedName>
    <definedName name="_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0.CURVA_OBRA" localSheetId="9">#REF!</definedName>
    <definedName name="_00.VAR._GASTO" localSheetId="9">#REF!</definedName>
    <definedName name="_000.CURVA_FINA" localSheetId="9">#REF!</definedName>
    <definedName name="_1" localSheetId="9">#REF!</definedName>
    <definedName name="_1__123Graph_ACHART_1" localSheetId="9">#REF!</definedName>
    <definedName name="_10__123Graph_CCHART_1" localSheetId="9">#REF!</definedName>
    <definedName name="_11.SERV.TECNIC" localSheetId="9">#REF!</definedName>
    <definedName name="_11__123Graph_DCHART_1" localSheetId="9">#REF!</definedName>
    <definedName name="_12.GAST_GERAIS" localSheetId="9">#REF!</definedName>
    <definedName name="_13.P._PERMAN." localSheetId="9">#REF!</definedName>
    <definedName name="_15.IMPL._CANT" localSheetId="9">#REF!</definedName>
    <definedName name="_16.EQUIPAM." localSheetId="9">#REF!</definedName>
    <definedName name="_17.OPER._CANT." localSheetId="9">#REF!</definedName>
    <definedName name="_19.TRANC_LIMP." localSheetId="9">#REF!</definedName>
    <definedName name="_2" localSheetId="9">#REF!</definedName>
    <definedName name="_2__123Graph_BCHART_1" localSheetId="9">#REF!</definedName>
    <definedName name="_25.PREP.TERREN" localSheetId="9">#REF!</definedName>
    <definedName name="_27.FUND._ESCOR" localSheetId="9">#REF!</definedName>
    <definedName name="_3__123Graph_XCHART_1" localSheetId="9">#REF!</definedName>
    <definedName name="_31_32_33.C_A" localSheetId="9">#REF!</definedName>
    <definedName name="_41.ALVENARIA" localSheetId="9">#REF!</definedName>
    <definedName name="_47.IMP._ISOLA." localSheetId="9">#REF!</definedName>
    <definedName name="_5__123Graph_ACHART_1" localSheetId="9">#REF!</definedName>
    <definedName name="_51.REV.ARGAMAS" localSheetId="9">#REF!</definedName>
    <definedName name="_52.REV.CERAM.I" localSheetId="9">#REF!</definedName>
    <definedName name="_53.REV.CERAM.E" localSheetId="9">#REF!</definedName>
    <definedName name="_54.TACOS_E_ASS" localSheetId="9">#REF!</definedName>
    <definedName name="_55.MARM._E_GRA" localSheetId="9">#REF!</definedName>
    <definedName name="_56.MARMORITE" localSheetId="9">#REF!</definedName>
    <definedName name="_59.OUTRS_REVES" localSheetId="9">#REF!</definedName>
    <definedName name="_61.ESQUAD._MAD" localSheetId="9">#REF!</definedName>
    <definedName name="_63.ESQUAD._ALU" localSheetId="9">#REF!</definedName>
    <definedName name="_65.ESQUAD._FER" localSheetId="9">#REF!</definedName>
    <definedName name="_67.VIDROS" localSheetId="9">#REF!</definedName>
    <definedName name="_7__123Graph_ACHART_2" localSheetId="9">#REF!</definedName>
    <definedName name="_71_73.I.ELET_H" localSheetId="9">#REF!</definedName>
    <definedName name="_77.OUTRAS_INST." localSheetId="9">#REF!</definedName>
    <definedName name="_78.ELEVADORES" localSheetId="9">#REF!</definedName>
    <definedName name="_81.APAR._SANIT" localSheetId="9">#REF!</definedName>
    <definedName name="_83_85.PINT_LIM" localSheetId="9">#REF!</definedName>
    <definedName name="_9__123Graph_BCHART_2" localSheetId="9">#REF!</definedName>
    <definedName name="_ACR10" localSheetId="9">#REF!</definedName>
    <definedName name="_ACR15" localSheetId="9">#REF!</definedName>
    <definedName name="_acr20" localSheetId="9">#REF!</definedName>
    <definedName name="_acr5" localSheetId="9">#REF!</definedName>
    <definedName name="_akhnsdkjsdb" localSheetId="9">#REF!</definedName>
    <definedName name="_ARQ1" localSheetId="9">#REF!</definedName>
    <definedName name="_Axe3" localSheetId="9">#REF!</definedName>
    <definedName name="_Axe4" localSheetId="9">#REF!</definedName>
    <definedName name="_Builtin13" localSheetId="9">#REF!</definedName>
    <definedName name="_CAB1" localSheetId="9">#REF!</definedName>
    <definedName name="_CAB2" localSheetId="9">#REF!</definedName>
    <definedName name="_CO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Dist_Bin" localSheetId="9">#REF!</definedName>
    <definedName name="_Dist_Values" localSheetId="9">#REF!</definedName>
    <definedName name="_ECS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htm2" localSheetId="9">#REF!</definedName>
    <definedName name="_htn2" localSheetId="9">#REF!</definedName>
    <definedName name="_IA0542" localSheetId="9">{#N/A,#N/A,FALSE,"Plan1";#N/A,#N/A,FALSE,"Plan2"}</definedName>
    <definedName name="_iss2" localSheetId="9">#REF!</definedName>
    <definedName name="_IV65617" localSheetId="9">#REF!</definedName>
    <definedName name="_IV65999" localSheetId="9">#REF!</definedName>
    <definedName name="_IV66000" localSheetId="9">#REF!</definedName>
    <definedName name="_IV67021" localSheetId="9">#REF!</definedName>
    <definedName name="_IV67022" localSheetId="9">#REF!</definedName>
    <definedName name="_Key1" localSheetId="9">#REF!</definedName>
    <definedName name="_l" localSheetId="9">#REF!</definedName>
    <definedName name="_la29" localSheetId="9">#REF!</definedName>
    <definedName name="_la3" localSheetId="9">#REF!</definedName>
    <definedName name="_MatMult_A" localSheetId="9">#REF!</definedName>
    <definedName name="_new11" localSheetId="9">{#N/A,#N/A,FALSE,"Global by BU";#N/A,#N/A,FALSE,"U.S. by BU";#N/A,#N/A,FALSE,"Canada by BU";#N/A,#N/A,FALSE,"Europe by BU";#N/A,#N/A,FALSE,"Asia by BU";#N/A,#N/A,FALSE,"Cala by BU"}</definedName>
    <definedName name="_Order2" localSheetId="9">255</definedName>
    <definedName name="_PAV01" localSheetId="9">#REF!</definedName>
    <definedName name="_PAV02" localSheetId="9">#REF!</definedName>
    <definedName name="_PAV03" localSheetId="9">#REF!</definedName>
    <definedName name="_PAV04" localSheetId="9">#REF!</definedName>
    <definedName name="_PAV05" localSheetId="9">#REF!</definedName>
    <definedName name="_PAV06" localSheetId="9">#REF!</definedName>
    <definedName name="_PAV07" localSheetId="9">#REF!</definedName>
    <definedName name="_PAV08" localSheetId="9">#REF!</definedName>
    <definedName name="_PAV09" localSheetId="9">#REF!</definedName>
    <definedName name="_PAV10" localSheetId="9">#REF!</definedName>
    <definedName name="_PAV11" localSheetId="9">#REF!</definedName>
    <definedName name="_PK2" localSheetId="9">{"'장비'!$A$3:$M$12"}</definedName>
    <definedName name="_PKG3" localSheetId="9">{"'장비'!$A$3:$M$12"}</definedName>
    <definedName name="_qqq222" localSheetId="9">{"'장비'!$A$3:$M$12"}</definedName>
    <definedName name="_QT100" localSheetId="9">#REF!</definedName>
    <definedName name="_QT2" localSheetId="9">#REF!</definedName>
    <definedName name="_QT3" localSheetId="9">#REF!</definedName>
    <definedName name="_QT4" localSheetId="9">#REF!</definedName>
    <definedName name="_QT50" localSheetId="9">#REF!</definedName>
    <definedName name="_QT75" localSheetId="9">#REF!</definedName>
    <definedName name="_r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egression_Out" localSheetId="9">#REF!</definedName>
    <definedName name="_sfe5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Sort" localSheetId="9">#REF!</definedName>
    <definedName name="_T" localSheetId="9">#REF!</definedName>
    <definedName name="_wer3" localSheetId="9">{#N/A,#N/A,FALSE,"Plan1";#N/A,#N/A,FALSE,"Plan2"}</definedName>
    <definedName name="_wrn.pendencias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x10" localSheetId="9">#REF!</definedName>
    <definedName name="_x11" localSheetId="9">#REF!</definedName>
    <definedName name="_x12" localSheetId="9">#REF!</definedName>
    <definedName name="_xlcn.WorksheetConnection_2018_03ResumoRGOObrasRJ.xlsbTabela1" localSheetId="9">#REF!</definedName>
    <definedName name="_xlcn.WorksheetConnection_ProjetocontrolefisicoefinanceiroRJ.xlsxTabela31" localSheetId="9">#REF!</definedName>
    <definedName name="a" localSheetId="9">#REF!</definedName>
    <definedName name="aa" localSheetId="9">#REF!</definedName>
    <definedName name="aaa" localSheetId="9">#REF!</definedName>
    <definedName name="AAAA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aaaaa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adc" localSheetId="9">#REF!</definedName>
    <definedName name="aaacccc" localSheetId="9">{#N/A,#N/A,FALSE,"Plan1";#N/A,#N/A,FALSE,"Plan2"}</definedName>
    <definedName name="aaas" localSheetId="9">#REF!</definedName>
    <definedName name="AB" localSheetId="9">#REF!</definedName>
    <definedName name="Abat_ISS" localSheetId="9">#REF!</definedName>
    <definedName name="abc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ebqt" localSheetId="9">#REF!</definedName>
    <definedName name="abr17RJ" localSheetId="9">#REF!</definedName>
    <definedName name="ABRIL" localSheetId="9">#REF!</definedName>
    <definedName name="ABRIL2001" localSheetId="9">#REF!</definedName>
    <definedName name="Acabam." localSheetId="9">#REF!</definedName>
    <definedName name="ACADUC" localSheetId="9">#REF!</definedName>
    <definedName name="ACBEB" localSheetId="9">#REF!</definedName>
    <definedName name="ACBOMB" localSheetId="9">#REF!</definedName>
    <definedName name="ACCHAF" localSheetId="9">#REF!</definedName>
    <definedName name="acdb" localSheetId="9">#REF!</definedName>
    <definedName name="ACDER" localSheetId="9">#REF!</definedName>
    <definedName name="ACDIV" localSheetId="9">#REF!</definedName>
    <definedName name="ACEQP" localSheetId="9">#REF!</definedName>
    <definedName name="ACHAFQT" localSheetId="9">#REF!</definedName>
    <definedName name="ACMUR" localSheetId="9">#REF!</definedName>
    <definedName name="açoeeer" localSheetId="9">{#N/A,#N/A,FALSE,"Plan1";#N/A,#N/A,FALSE,"Plan2"}</definedName>
    <definedName name="ACOMP" localSheetId="9">#REF!</definedName>
    <definedName name="ACONT2" localSheetId="9">#REF!</definedName>
    <definedName name="ACPIPA" localSheetId="9">#REF!</definedName>
    <definedName name="ACTRANSP" localSheetId="9">#REF!</definedName>
    <definedName name="ACwvu.PLANILHA2." localSheetId="9">#REF!</definedName>
    <definedName name="ad" localSheetId="9">{#N/A,#N/A,FALSE,"Plan1";#N/A,#N/A,FALSE,"Plan2"}</definedName>
    <definedName name="adads" localSheetId="9">{#N/A,#N/A,FALSE,"Plan1";#N/A,#N/A,FALSE,"Plan2"}</definedName>
    <definedName name="adads2" localSheetId="9">{#N/A,#N/A,FALSE,"Plan1";#N/A,#N/A,FALSE,"Plan2"}</definedName>
    <definedName name="adced" localSheetId="9">{#N/A,#N/A,FALSE,"Plan1";#N/A,#N/A,FALSE,"Plan2"}</definedName>
    <definedName name="adced2" localSheetId="9">{#N/A,#N/A,FALSE,"Plan1";#N/A,#N/A,FALSE,"Plan2"}</definedName>
    <definedName name="ader" localSheetId="9">{#N/A,#N/A,FALSE,"Plan1";#N/A,#N/A,FALSE,"Plan2"}</definedName>
    <definedName name="ader2" localSheetId="9">{#N/A,#N/A,FALSE,"Plan1";#N/A,#N/A,FALSE,"Plan2"}</definedName>
    <definedName name="adesr" localSheetId="9">{#N/A,#N/A,FALSE,"Plan1";#N/A,#N/A,FALSE,"Plan2"}</definedName>
    <definedName name="adewr" localSheetId="9">{#N/A,#N/A,FALSE,"Plan1";#N/A,#N/A,FALSE,"Plan2"}</definedName>
    <definedName name="adf" localSheetId="9">{#N/A,#N/A,FALSE,"Plan1";#N/A,#N/A,FALSE,"Plan2"}</definedName>
    <definedName name="ADITIVO_BRUTO" localSheetId="9">#REF!</definedName>
    <definedName name="ADITIVO_LIQUIDO" localSheetId="9">#REF!</definedName>
    <definedName name="ADM.EXTERNA" localSheetId="9">#REF!</definedName>
    <definedName name="adsfr" localSheetId="9">{#N/A,#N/A,FALSE,"Plan1";#N/A,#N/A,FALSE,"Plan2"}</definedName>
    <definedName name="adssrgtg" localSheetId="9">{#N/A,#N/A,FALSE,"Plan1";#N/A,#N/A,FALSE,"Plan2"}</definedName>
    <definedName name="adtsetrr6t" localSheetId="9">{#N/A,#N/A,FALSE,"Plan1";#N/A,#N/A,FALSE,"Plan2"}</definedName>
    <definedName name="ADUCQT" localSheetId="9">#REF!</definedName>
    <definedName name="adwr" localSheetId="9">{#N/A,#N/A,FALSE,"Plan1";#N/A,#N/A,FALSE,"Plan2"}</definedName>
    <definedName name="aeiresft" localSheetId="9">{#N/A,#N/A,FALSE,"Plan1";#N/A,#N/A,FALSE,"Plan2"}</definedName>
    <definedName name="aEL3QE" localSheetId="9">{#N/A,#N/A,FALSE,"Plan1";#N/A,#N/A,FALSE,"Plan2"}</definedName>
    <definedName name="afeasfre" localSheetId="9">{#N/A,#N/A,FALSE,"Plan1";#N/A,#N/A,FALSE,"Plan2"}</definedName>
    <definedName name="agdsf" localSheetId="9">#REF!</definedName>
    <definedName name="ago17RJ" localSheetId="9">#REF!</definedName>
    <definedName name="AGOSTO" localSheetId="9">#REF!</definedName>
    <definedName name="agua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9">{#N/A,#N/A,FALSE,"CCTV"}</definedName>
    <definedName name="AITEM" localSheetId="9">#REF!</definedName>
    <definedName name="Ajudante_Geral" localSheetId="9">#REF!</definedName>
    <definedName name="ajudante_mes" localSheetId="9">#REF!</definedName>
    <definedName name="AL" localSheetId="9">#REF!</definedName>
    <definedName name="ALTADUC" localSheetId="9">#REF!</definedName>
    <definedName name="ALTBOMB" localSheetId="9">#REF!</definedName>
    <definedName name="ALTCAP" localSheetId="9">#REF!</definedName>
    <definedName name="ALTDER" localSheetId="9">#REF!</definedName>
    <definedName name="ALTEQUIP" localSheetId="9">#REF!</definedName>
    <definedName name="ALTIEQP" localSheetId="9">#REF!</definedName>
    <definedName name="ALTMUR" localSheetId="9">#REF!</definedName>
    <definedName name="ALTRES10" localSheetId="9">#REF!</definedName>
    <definedName name="ALTRES15" localSheetId="9">#REF!</definedName>
    <definedName name="ALTRES20" localSheetId="9">#REF!</definedName>
    <definedName name="ALTTRANS" localSheetId="9">#REF!</definedName>
    <definedName name="ALUMÍNIO_2" localSheetId="9">#REF!</definedName>
    <definedName name="angelo" localSheetId="9">#REF!</definedName>
    <definedName name="anscount" localSheetId="9">3</definedName>
    <definedName name="AQE" localSheetId="9">{"'장비'!$A$3:$M$12"}</definedName>
    <definedName name="AQTEMP1" localSheetId="9">#REF!</definedName>
    <definedName name="AQTEMP2" localSheetId="9">#REF!</definedName>
    <definedName name="ArComprimido" localSheetId="9">{"'Estimativa de Lançamento-JAN'!$A$1:$AI$85"}</definedName>
    <definedName name="area" localSheetId="9">{#N/A,#N/A,FALSE,"Plan1";#N/A,#N/A,FALSE,"Plan2"}</definedName>
    <definedName name="área" localSheetId="9">#REF!</definedName>
    <definedName name="Área_Construída" localSheetId="9">#REF!</definedName>
    <definedName name="Área_impressão_IM" localSheetId="9">#REF!</definedName>
    <definedName name="Área_Privativa" localSheetId="9">#REF!</definedName>
    <definedName name="Área_Terreno" localSheetId="9">#REF!</definedName>
    <definedName name="area1" localSheetId="9">#REF!</definedName>
    <definedName name="Areaimpresso" localSheetId="9">#REF!</definedName>
    <definedName name="ARM" localSheetId="9">#REF!</definedName>
    <definedName name="ARMABLOCOS" localSheetId="9">#REF!</definedName>
    <definedName name="ARMAÇÃO" localSheetId="9">#REF!</definedName>
    <definedName name="ARQ" localSheetId="9">#REF!</definedName>
    <definedName name="ARQERR" localSheetId="9">#REF!</definedName>
    <definedName name="ARQPLAN" localSheetId="9">#REF!</definedName>
    <definedName name="ARQT" localSheetId="9">#REF!</definedName>
    <definedName name="ARQTEMP" localSheetId="9">#REF!</definedName>
    <definedName name="ARQTXT" localSheetId="9">#REF!</definedName>
    <definedName name="ARTEMP" localSheetId="9">#REF!</definedName>
    <definedName name="AS" localSheetId="9">#REF!</definedName>
    <definedName name="asawe3" localSheetId="9">{#N/A,#N/A,FALSE,"Plan1";#N/A,#N/A,FALSE,"Plan2"}</definedName>
    <definedName name="ASD" localSheetId="9">17</definedName>
    <definedName name="ASDA" localSheetId="9">{#N/A,#N/A,FALSE,"Plan1";#N/A,#N/A,FALSE,"Plan2"}</definedName>
    <definedName name="asdade" localSheetId="9">{#N/A,#N/A,FALSE,"Plan1";#N/A,#N/A,FALSE,"Plan2"}</definedName>
    <definedName name="asdas" localSheetId="9">{#N/A,#N/A,FALSE,"Plan1";#N/A,#N/A,FALSE,"Plan2"}</definedName>
    <definedName name="asdawed" localSheetId="9">{#N/A,#N/A,FALSE,"Plan1";#N/A,#N/A,FALSE,"Plan2"}</definedName>
    <definedName name="ASDER" localSheetId="9">{#N/A,#N/A,FALSE,"Plan1";#N/A,#N/A,FALSE,"Plan2"}</definedName>
    <definedName name="asderr" localSheetId="9">{#N/A,#N/A,FALSE,"Plan1";#N/A,#N/A,FALSE,"Plan2"}</definedName>
    <definedName name="asdesre" localSheetId="9">{#N/A,#N/A,FALSE,"Plan1";#N/A,#N/A,FALSE,"Plan2"}</definedName>
    <definedName name="asdewr" localSheetId="9">{#N/A,#N/A,FALSE,"Plan1";#N/A,#N/A,FALSE,"Plan2"}</definedName>
    <definedName name="ASDFASDFA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9">{#N/A,#N/A,FALSE,"Plan1";#N/A,#N/A,FALSE,"Plan2"}</definedName>
    <definedName name="asdg" localSheetId="9">{#N/A,#N/A,FALSE,"Plan1";#N/A,#N/A,FALSE,"Plan2"}</definedName>
    <definedName name="asdjksej" localSheetId="9">#REF!</definedName>
    <definedName name="asdke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9">{#N/A,#N/A,FALSE,"Plan1";#N/A,#N/A,FALSE,"Plan2"}</definedName>
    <definedName name="asdqwe" localSheetId="9">{#N/A,#N/A,FALSE,"Plan1";#N/A,#N/A,FALSE,"Plan2"}</definedName>
    <definedName name="asdsa" localSheetId="9">{#N/A,#N/A,FALSE,"Plan1";#N/A,#N/A,FALSE,"Plan2"}</definedName>
    <definedName name="asdser" localSheetId="9">{#N/A,#N/A,FALSE,"Plan1";#N/A,#N/A,FALSE,"Plan2"}</definedName>
    <definedName name="asdwef" localSheetId="9">{#N/A,#N/A,FALSE,"Plan1";#N/A,#N/A,FALSE,"Plan2"}</definedName>
    <definedName name="aseiuw" localSheetId="9">#REF!</definedName>
    <definedName name="ASET" localSheetId="9">{#N/A,#N/A,FALSE,"Plan1";#N/A,#N/A,FALSE,"Plan2"}</definedName>
    <definedName name="asfDSF" localSheetId="9">{#N/A,#N/A,FALSE,"Plan1";#N/A,#N/A,FALSE,"Plan2"}</definedName>
    <definedName name="ASFERTE" localSheetId="9">{#N/A,#N/A,FALSE,"Plan1";#N/A,#N/A,FALSE,"Plan2"}</definedName>
    <definedName name="asfl" localSheetId="9">{#N/A,#N/A,FALSE,"Plan1";#N/A,#N/A,FALSE,"Plan2"}</definedName>
    <definedName name="asfsz" localSheetId="9">{#N/A,#N/A,FALSE,"Plan1";#N/A,#N/A,FALSE,"Plan2"}</definedName>
    <definedName name="askserf" localSheetId="9">{#N/A,#N/A,FALSE,"Plan1";#N/A,#N/A,FALSE,"Plan2"}</definedName>
    <definedName name="ASSFSDF" localSheetId="9">{#N/A,#N/A,FALSE,"Plan1";#N/A,#N/A,FALSE,"Plan2"}</definedName>
    <definedName name="asw" localSheetId="9">{#N/A,#N/A,FALSE,"Plan1";#N/A,#N/A,FALSE,"Plan2"}</definedName>
    <definedName name="Até_Chaves" localSheetId="9">#REF!</definedName>
    <definedName name="ATIVOS" localSheetId="9">{#N/A,#N/A,FALSE,"F-01"}</definedName>
    <definedName name="Ato" localSheetId="9">#REF!</definedName>
    <definedName name="ATUAL" localSheetId="9">#REF!</definedName>
    <definedName name="aux" localSheetId="9">#REF!</definedName>
    <definedName name="AUXILIO" localSheetId="9">#REF!</definedName>
    <definedName name="avulsos" localSheetId="9">#REF!</definedName>
    <definedName name="awdjw" localSheetId="9">{#N/A,#N/A,FALSE,"Plan1";#N/A,#N/A,FALSE,"Plan2"}</definedName>
    <definedName name="aweqw4" localSheetId="9">{#N/A,#N/A,FALSE,"Plan1";#N/A,#N/A,FALSE,"Plan2"}</definedName>
    <definedName name="awssdwaer" localSheetId="9">{#N/A,#N/A,FALSE,"Plan1";#N/A,#N/A,FALSE,"Plan2"}</definedName>
    <definedName name="AZ" localSheetId="9">#REF!</definedName>
    <definedName name="B" localSheetId="9">#REF!</definedName>
    <definedName name="BA" localSheetId="9">#REF!</definedName>
    <definedName name="BANCO" localSheetId="9">#REF!</definedName>
    <definedName name="Banco_dados_IM" localSheetId="9">#REF!</definedName>
    <definedName name="BANCO1" localSheetId="9">#REF!</definedName>
    <definedName name="BANCO2" localSheetId="9">#REF!</definedName>
    <definedName name="BANCO3" localSheetId="9">#REF!</definedName>
    <definedName name="BANCO4" localSheetId="9">#REF!</definedName>
    <definedName name="BASE" localSheetId="9">OFFSET(#REF!,0,0,COUNTA(#REF!)+1,5)</definedName>
    <definedName name="BASE_DE_DADOS_FLUXO_DE_CAIXA" localSheetId="9">OFFSET(#REF!,0,0,COUNTA(#REF!),COUNTA(#REF!))</definedName>
    <definedName name="BASE_FL_CX_3S" localSheetId="9">OFFSET(#REF!,0,0,COUNTA(#REF!),COUNTA(#REF!))</definedName>
    <definedName name="BASE_FLUXO_CAIXA_2017" localSheetId="9">OFFSET(#REF!,0,0,COUNTA(#REF!),COUNTA(#REF!))</definedName>
    <definedName name="bb" localSheetId="9">#REF!</definedName>
    <definedName name="bbb" localSheetId="9">#REF!</definedName>
    <definedName name="bbbbbbbbbbbbbbb" localSheetId="9">{"'Edit'!$A$1:$V$2277"}</definedName>
    <definedName name="BD" localSheetId="9">#REF!</definedName>
    <definedName name="BDA" localSheetId="9">#REF!</definedName>
    <definedName name="bdfjghf" localSheetId="9">{#N/A,#N/A,FALSE,"Plan1";#N/A,#N/A,FALSE,"Plan2"}</definedName>
    <definedName name="BDI" localSheetId="9">#REF!</definedName>
    <definedName name="bdzbfbdr" localSheetId="9">{#N/A,#N/A,FALSE,"Plan1";#N/A,#N/A,FALSE,"Plan2"}</definedName>
    <definedName name="be" localSheetId="9">#REF!</definedName>
    <definedName name="bebqt" localSheetId="9">#REF!</definedName>
    <definedName name="bela_cdi" localSheetId="9">#REF!</definedName>
    <definedName name="bela_hist" localSheetId="9">#REF!</definedName>
    <definedName name="bela_uss" localSheetId="9">#REF!</definedName>
    <definedName name="BGG" localSheetId="9">{#N/A,#N/A,FALSE,"Plan1";#N/A,#N/A,FALSE,"Plan2"}</definedName>
    <definedName name="bhjgfhfh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9">{#N/A,#N/A,FALSE,"Plan1";#N/A,#N/A,FALSE,"Plan2"}</definedName>
    <definedName name="bloco" localSheetId="9">#REF!</definedName>
    <definedName name="BLPH1" localSheetId="9">#REF!</definedName>
    <definedName name="BLPH100" localSheetId="9">#REF!</definedName>
    <definedName name="BLPH101" localSheetId="9">#REF!</definedName>
    <definedName name="BLPH102" localSheetId="9">#REF!</definedName>
    <definedName name="BLPH103" localSheetId="9">#REF!</definedName>
    <definedName name="BLPH104" localSheetId="9">#REF!</definedName>
    <definedName name="BLPH96" localSheetId="9">#REF!</definedName>
    <definedName name="BLPH97" localSheetId="9">#REF!</definedName>
    <definedName name="BLPH98" localSheetId="9">#REF!</definedName>
    <definedName name="BLPH99" localSheetId="9">#REF!</definedName>
    <definedName name="bmdgghrtfde" localSheetId="9">{#N/A,#N/A,FALSE,"Plan1";#N/A,#N/A,FALSE,"Plan2"}</definedName>
    <definedName name="bnkjhjhdfxgt" localSheetId="9">{#N/A,#N/A,FALSE,"Plan1";#N/A,#N/A,FALSE,"Plan2"}</definedName>
    <definedName name="BORBA2" localSheetId="9">#REF!</definedName>
    <definedName name="BuiltIn_Print_Area" localSheetId="9">#REF!</definedName>
    <definedName name="BuiltIn_Print_Area___0" localSheetId="9">#REF!</definedName>
    <definedName name="BuiltIn_Print_Titles" localSheetId="9">#REF!</definedName>
    <definedName name="BuiltIn_Print_Titles___0" localSheetId="9">#REF!</definedName>
    <definedName name="bxnzfmkzxbhdf" localSheetId="9">{#N/A,#N/A,FALSE,"Plan1";#N/A,#N/A,FALSE,"Plan2"}</definedName>
    <definedName name="ca" localSheetId="9">#REF!</definedName>
    <definedName name="CAGR" localSheetId="9">#REF!</definedName>
    <definedName name="caixa" localSheetId="9">#REF!</definedName>
    <definedName name="caixas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ambio" localSheetId="9">#REF!</definedName>
    <definedName name="CAMP" localSheetId="9">#REF!</definedName>
    <definedName name="CAMPOS" localSheetId="9">#REF!</definedName>
    <definedName name="Capa" localSheetId="9">#REF!</definedName>
    <definedName name="CAPA2" localSheetId="9">#REF!</definedName>
    <definedName name="CAPA55" localSheetId="9">#REF!</definedName>
    <definedName name="CAPA55A" localSheetId="9">#REF!</definedName>
    <definedName name="CAPELA" localSheetId="9">#REF!</definedName>
    <definedName name="CARLOS1" localSheetId="9">#REF!</definedName>
    <definedName name="CARTÃO4" localSheetId="9">#REF!</definedName>
    <definedName name="CAT6_IP" localSheetId="9">{#N/A,#N/A,FALSE,"F-01"}</definedName>
    <definedName name="categori45" localSheetId="9">#REF!</definedName>
    <definedName name="CATEGORIA1" localSheetId="9">#REF!</definedName>
    <definedName name="CATEGORIA10" localSheetId="9">#REF!</definedName>
    <definedName name="CATEGORIA11" localSheetId="9">#REF!</definedName>
    <definedName name="CATEGORIA12" localSheetId="9">#REF!</definedName>
    <definedName name="CATEGORIA13" localSheetId="9">#REF!</definedName>
    <definedName name="CATEGORIA14" localSheetId="9">#REF!</definedName>
    <definedName name="CATEGORIA15" localSheetId="9">#REF!</definedName>
    <definedName name="CATEGORIA16" localSheetId="9">#REF!</definedName>
    <definedName name="CATEGORIA17" localSheetId="9">#REF!</definedName>
    <definedName name="CATEGORIA18" localSheetId="9">#REF!</definedName>
    <definedName name="CATEGORIA19" localSheetId="9">#REF!</definedName>
    <definedName name="CATEGORIA2" localSheetId="9">#REF!</definedName>
    <definedName name="CATEGORIA20" localSheetId="9">#REF!</definedName>
    <definedName name="CATEGORIA21" localSheetId="9">#REF!</definedName>
    <definedName name="CATEGORIA22" localSheetId="9">#REF!</definedName>
    <definedName name="CATEGORIA3" localSheetId="9">#REF!</definedName>
    <definedName name="CATEGORIA4" localSheetId="9">#REF!</definedName>
    <definedName name="CATEGORIA5" localSheetId="9">#REF!</definedName>
    <definedName name="CATEGORIA6" localSheetId="9">#REF!</definedName>
    <definedName name="CATEGORIA7" localSheetId="9">#REF!</definedName>
    <definedName name="CATEGORIA8" localSheetId="9">#REF!</definedName>
    <definedName name="CATEGORIA9" localSheetId="9">#REF!</definedName>
    <definedName name="CATORZE" localSheetId="9">#REF!</definedName>
    <definedName name="CAUX2" localSheetId="9">OFFSET(#REF!,0,0,COUNTA(#REF!)+1,1)</definedName>
    <definedName name="CAUX3" localSheetId="9">OFFSET(#REF!,0,0,COUNTA(#REF!)+1,1)</definedName>
    <definedName name="CCC" localSheetId="9">#REF!</definedName>
    <definedName name="ççç" localSheetId="9">{#N/A,#N/A,FALSE,"Plan1";#N/A,#N/A,FALSE,"Plan2"}</definedName>
    <definedName name="cccc" localSheetId="9">{#N/A,#N/A,FALSE,"Plan1";#N/A,#N/A,FALSE,"Plan2"}</definedName>
    <definedName name="ççççççç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9">{"HW",#N/A,FALSE,"1998"}</definedName>
    <definedName name="cchart1" localSheetId="9">#REF!</definedName>
    <definedName name="cchart10" localSheetId="9">#REF!</definedName>
    <definedName name="cchart11" localSheetId="9">#REF!</definedName>
    <definedName name="çcklfjk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D" localSheetId="9">#REF!</definedName>
    <definedName name="çdfmerf" localSheetId="9">{#N/A,#N/A,FALSE,"Plan1";#N/A,#N/A,FALSE,"Plan2"}</definedName>
    <definedName name="CDSGHE" localSheetId="9">{#N/A,#N/A,FALSE,"Plan1";#N/A,#N/A,FALSE,"Plan2"}</definedName>
    <definedName name="cdvthd" localSheetId="9">#REF!</definedName>
    <definedName name="Cel_Constr" localSheetId="9">#REF!</definedName>
    <definedName name="CestaExcel" localSheetId="9">#REF!</definedName>
    <definedName name="CevaG" localSheetId="9">#REF!</definedName>
    <definedName name="CevaGS" localSheetId="9">#REF!</definedName>
    <definedName name="çfhjglkjhkljyh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9">{#N/A,#N/A,FALSE,"Plan1";#N/A,#N/A,FALSE,"Plan2"}</definedName>
    <definedName name="CHAFQT" localSheetId="9">#REF!</definedName>
    <definedName name="Chaves" localSheetId="9">#REF!</definedName>
    <definedName name="chfch" localSheetId="9">{#N/A,#N/A,FALSE,"Plan1";#N/A,#N/A,FALSE,"Plan2"}</definedName>
    <definedName name="CI" localSheetId="9">#REF!</definedName>
    <definedName name="cidades" localSheetId="9">#REF!</definedName>
    <definedName name="CIFIXA" localSheetId="9">#REF!</definedName>
    <definedName name="CINCO" localSheetId="9">#REF!</definedName>
    <definedName name="CITOTAL" localSheetId="9">#REF!</definedName>
    <definedName name="CIVAR" localSheetId="9">#REF!</definedName>
    <definedName name="ÇJKRÇLFS" localSheetId="9">{"Econ Consolidado",#N/A,FALSE,"Econ Consol";"Fluxo de Caixa",#N/A,FALSE,"Fluxo Caixa";"Investimentos",#N/A,FALSE,"Investimentos"}</definedName>
    <definedName name="ÇJsrejtçe" localSheetId="9">{#N/A,#N/A,FALSE,"Plan1";#N/A,#N/A,FALSE,"Plan2"}</definedName>
    <definedName name="çkaçekow" localSheetId="9">{#N/A,#N/A,FALSE,"Plan1";#N/A,#N/A,FALSE,"Plan2"}</definedName>
    <definedName name="ÇKSDOEKR" localSheetId="9">{#N/A,#N/A,FALSE,"Plan1";#N/A,#N/A,FALSE,"Plan2"}</definedName>
    <definedName name="çl" localSheetId="9">{#N/A,#N/A,FALSE,"Plan1";#N/A,#N/A,FALSE,"Plan2"}</definedName>
    <definedName name="çlassde" localSheetId="9">{#N/A,#N/A,FALSE,"Plan1";#N/A,#N/A,FALSE,"Plan2"}</definedName>
    <definedName name="Classificação" localSheetId="9">#REF!</definedName>
    <definedName name="çlçlç" localSheetId="9">{#N/A,#N/A,FALSE,"Plan1";#N/A,#N/A,FALSE,"Plan2"}</definedName>
    <definedName name="çld" localSheetId="9">{#N/A,#N/A,FALSE,"Plan1";#N/A,#N/A,FALSE,"Plan2"}</definedName>
    <definedName name="çlererr" localSheetId="9">{#N/A,#N/A,FALSE,"Plan1";#N/A,#N/A,FALSE,"Plan2"}</definedName>
    <definedName name="çlertert" localSheetId="9">{#N/A,#N/A,FALSE,"Plan1";#N/A,#N/A,FALSE,"Plan2"}</definedName>
    <definedName name="çlkdflçkrlr" localSheetId="9">#REF!</definedName>
    <definedName name="çll" localSheetId="9">{#N/A,#N/A,FALSE,"Plan1";#N/A,#N/A,FALSE,"Plan2"}</definedName>
    <definedName name="CMC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BRANÇA" localSheetId="9">#REF!</definedName>
    <definedName name="Cod_Esquadrias" localSheetId="9">#REF!</definedName>
    <definedName name="CÓDG" localSheetId="9">OFFSET(#REF!,0,0,COUNTA(#REF!),1)</definedName>
    <definedName name="codigo2" localSheetId="9">#REF!</definedName>
    <definedName name="codigo3" localSheetId="9">#REF!</definedName>
    <definedName name="CÓDT" localSheetId="9">OFFSET(#REF!,0,0,COUNTA(#REF!)+1,1)</definedName>
    <definedName name="COFINS" localSheetId="9">#REF!</definedName>
    <definedName name="cofins2" localSheetId="9">#REF!</definedName>
    <definedName name="COGS" localSheetId="9">#REF!</definedName>
    <definedName name="COLSUB" localSheetId="9">#REF!</definedName>
    <definedName name="COMISSOES" localSheetId="9">#REF!</definedName>
    <definedName name="COMPOSICAO" localSheetId="9">#REF!</definedName>
    <definedName name="composição" localSheetId="9">#REF!</definedName>
    <definedName name="COMPR" localSheetId="9">#REF!</definedName>
    <definedName name="COMPRIMENTO" localSheetId="9">#REF!</definedName>
    <definedName name="COMPROMETIDO" localSheetId="9">#REF!</definedName>
    <definedName name="CONFIRMAR" localSheetId="9">{#N/A,#N/A,TRUE,"Quinzena 01 à 15-04-98 "}</definedName>
    <definedName name="cont" localSheetId="9">{#N/A,#N/A,FALSE,"Plan1";#N/A,#N/A,FALSE,"Plan2"}</definedName>
    <definedName name="CONT1" localSheetId="9">#REF!</definedName>
    <definedName name="CONT2" localSheetId="9">#REF!</definedName>
    <definedName name="CONT3" localSheetId="9">#REF!</definedName>
    <definedName name="CONTAIT" localSheetId="9">#REF!</definedName>
    <definedName name="CONTREC" localSheetId="9">#REF!</definedName>
    <definedName name="CONTRES" localSheetId="9">#REF!</definedName>
    <definedName name="CONTROLE" localSheetId="9">#REF!</definedName>
    <definedName name="CONVERSÃO" localSheetId="9">#REF!</definedName>
    <definedName name="cpmf" localSheetId="9">#REF!</definedName>
    <definedName name="Credor_Rel_Sienge" localSheetId="9">#REF!</definedName>
    <definedName name="CRONG" localSheetId="9">#REF!</definedName>
    <definedName name="cronograma" localSheetId="9">#REF!</definedName>
    <definedName name="CRONOGRAMA_FÍSICO_FINANCEIRO" localSheetId="9">#REF!</definedName>
    <definedName name="CS" localSheetId="9">#REF!</definedName>
    <definedName name="cs_diferida" localSheetId="9">#REF!</definedName>
    <definedName name="ÇSAÇDFW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dkfçdrkt" localSheetId="9">#REF!</definedName>
    <definedName name="CS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9">{#N/A,#N/A,FALSE,"Plan1";#N/A,#N/A,FALSE,"Plan2"}</definedName>
    <definedName name="CTH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UST_DIR_IND" localSheetId="9">#REF!</definedName>
    <definedName name="CUSTINDIRETO" localSheetId="9">#REF!</definedName>
    <definedName name="CUSTO_DIR_IND" localSheetId="9">#REF!</definedName>
    <definedName name="Custo_Direto_de_Obras_Civis_e_Instalações_..........................................." localSheetId="9">#REF!</definedName>
    <definedName name="Custo_Direto_em_geral" localSheetId="9">#REF!</definedName>
    <definedName name="custo_financing" localSheetId="9">#REF!</definedName>
    <definedName name="CUSTO_OUTROS" localSheetId="9">#REF!</definedName>
    <definedName name="Custo_Outros1" localSheetId="9">#REF!</definedName>
    <definedName name="CUSTODIRETO" localSheetId="9">#REF!</definedName>
    <definedName name="CUSTODIRETO_R" localSheetId="9">#REF!</definedName>
    <definedName name="CUSTODIRETO_U" localSheetId="9">#REF!</definedName>
    <definedName name="CUSTODIRETO1" localSheetId="9">#REF!</definedName>
    <definedName name="CUSTOFIN" localSheetId="9">#REF!</definedName>
    <definedName name="D" localSheetId="9">#REF!</definedName>
    <definedName name="da" localSheetId="9">#REF!</definedName>
    <definedName name="dalmo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9">{#N/A,#N/A,FALSE,"Plan1";#N/A,#N/A,FALSE,"Plan2"}</definedName>
    <definedName name="DATA" localSheetId="9">#REF!</definedName>
    <definedName name="Data_base" localSheetId="9">#REF!</definedName>
    <definedName name="data_base_VL" localSheetId="9">#REF!</definedName>
    <definedName name="DATA_COTAÇÃO" localSheetId="9">#REF!</definedName>
    <definedName name="DATA_ENTREGA" localSheetId="9">#REF!</definedName>
    <definedName name="DATA_FECHA" localSheetId="9">#REF!</definedName>
    <definedName name="Data_Inicio" localSheetId="9">#REF!</definedName>
    <definedName name="Data_Lançado_Sienge" localSheetId="9">#REF!</definedName>
    <definedName name="Data_Pagamento_Sienge" localSheetId="9">#REF!</definedName>
    <definedName name="Data_Previsão_Medição_Fin_Medição" localSheetId="9">#REF!</definedName>
    <definedName name="Data_Tendência_Recebimento_Fin_Medições" localSheetId="9">#REF!</definedName>
    <definedName name="DATA1" localSheetId="9">#REF!</definedName>
    <definedName name="DATA3" localSheetId="9">#REF!</definedName>
    <definedName name="DATA4" localSheetId="9">#REF!</definedName>
    <definedName name="DATA6" localSheetId="9">#REF!</definedName>
    <definedName name="DataChaves_MAP" localSheetId="9">#REF!</definedName>
    <definedName name="DatasOut13AteDez20" localSheetId="9">#REF!</definedName>
    <definedName name="DÇDL" localSheetId="9">{#N/A,#N/A,FALSE,"Plan1";#N/A,#N/A,FALSE,"Plan2"}</definedName>
    <definedName name="dchart26" localSheetId="9">#REF!</definedName>
    <definedName name="dchart31" localSheetId="9">#REF!</definedName>
    <definedName name="dcnsfgdjkgb" localSheetId="9">{#N/A,#N/A,FALSE,"Plan1";#N/A,#N/A,FALSE,"Plan2"}</definedName>
    <definedName name="DÇWK" localSheetId="9">{#N/A,#N/A,FALSE,"Plan1";#N/A,#N/A,FALSE,"Plan2"}</definedName>
    <definedName name="DD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9">#REF!</definedName>
    <definedName name="ddddd" localSheetId="9">{#N/A,#N/A,FALSE,"Plan1";#N/A,#N/A,FALSE,"Plan2"}</definedName>
    <definedName name="ddddddddddd" localSheetId="9">#REF!</definedName>
    <definedName name="dddddddddddddddddddddddddd" localSheetId="9">#REF!</definedName>
    <definedName name="dddddddddddddppppppppp" localSheetId="9">#REF!</definedName>
    <definedName name="dde" localSheetId="9">{#N/A,#N/A,FALSE,"Plan1";#N/A,#N/A,FALSE,"Plan2"}</definedName>
    <definedName name="ddfs" localSheetId="9">#REF!</definedName>
    <definedName name="ddgfdvgd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9">{#N/A,#N/A,FALSE,"Plan1";#N/A,#N/A,FALSE,"Plan2"}</definedName>
    <definedName name="dede" localSheetId="9">{#N/A,#N/A,FALSE,"Plan1";#N/A,#N/A,FALSE,"Plan2"}</definedName>
    <definedName name="defasagem" localSheetId="9">OFFSET(INDEX(#REF!,MATCH(#REF!,#REF!,0)),1,0,COUNTA(#REF!)-1)</definedName>
    <definedName name="depara" localSheetId="9">#REF!</definedName>
    <definedName name="DERIVQT" localSheetId="9">#REF!</definedName>
    <definedName name="des" localSheetId="9">{#N/A,#N/A,FALSE,"Plan1";#N/A,#N/A,FALSE,"Plan2"}</definedName>
    <definedName name="desc" localSheetId="9">{#N/A,#N/A,FALSE,"Plan1";#N/A,#N/A,FALSE,"Plan2"}</definedName>
    <definedName name="DESCONTO" localSheetId="9">#REF!</definedName>
    <definedName name="DESCRIÇÃO_OBRA" localSheetId="9">#REF!</definedName>
    <definedName name="DespFatur" localSheetId="9">#REF!</definedName>
    <definedName name="DEZ" localSheetId="9">#REF!</definedName>
    <definedName name="dez17RJ" localSheetId="9">#REF!</definedName>
    <definedName name="DEZEMBRO" localSheetId="9">#REF!</definedName>
    <definedName name="DEZENOVE" localSheetId="9">#REF!</definedName>
    <definedName name="DEZESSEIS" localSheetId="9">#REF!</definedName>
    <definedName name="DEZESSETE" localSheetId="9">#REF!</definedName>
    <definedName name="DEZOITO" localSheetId="9">#REF!</definedName>
    <definedName name="d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9">{#N/A,#N/A,FALSE,"명세표"}</definedName>
    <definedName name="dfdfty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9">{#N/A,#N/A,FALSE,"Plan1";#N/A,#N/A,FALSE,"Plan2"}</definedName>
    <definedName name="dfdrtrr" localSheetId="9">{#N/A,#N/A,FALSE,"Plan1";#N/A,#N/A,FALSE,"Plan2"}</definedName>
    <definedName name="DFDSG" localSheetId="9">{#N/A,#N/A,FALSE,"Plan1";#N/A,#N/A,FALSE,"Plan2"}</definedName>
    <definedName name="dfer" localSheetId="9">{#N/A,#N/A,FALSE,"Plan1";#N/A,#N/A,FALSE,"Plan2"}</definedName>
    <definedName name="dffbty" localSheetId="9">{#N/A,#N/A,FALSE,"Plan1";#N/A,#N/A,FALSE,"Plan2"}</definedName>
    <definedName name="dffgk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9">{#N/A,#N/A,FALSE,"Plan1";#N/A,#N/A,FALSE,"Plan2"}</definedName>
    <definedName name="dfg" localSheetId="9">{#N/A,#N/A,FALSE,"Plan1";#N/A,#N/A,FALSE,"Plan2"}</definedName>
    <definedName name="dfgdf" localSheetId="9">{#N/A,#N/A,FALSE,"Plan1";#N/A,#N/A,FALSE,"Plan2"}</definedName>
    <definedName name="dfgdytygr" localSheetId="9">{#N/A,#N/A,FALSE,"Plan1";#N/A,#N/A,FALSE,"Plan2"}</definedName>
    <definedName name="dfgftrrdt5" localSheetId="9">{#N/A,#N/A,FALSE,"Plan1";#N/A,#N/A,FALSE,"Plan2"}</definedName>
    <definedName name="dfgh" localSheetId="9">#REF!</definedName>
    <definedName name="dfghjfhsg" localSheetId="9">{#N/A,#N/A,FALSE,"Plan1";#N/A,#N/A,FALSE,"Plan2"}</definedName>
    <definedName name="dfgj" localSheetId="9">{#N/A,#N/A,FALSE,"Plan1";#N/A,#N/A,FALSE,"Plan2"}</definedName>
    <definedName name="dfgjfttyd" localSheetId="9">{#N/A,#N/A,FALSE,"Plan1";#N/A,#N/A,FALSE,"Plan2"}</definedName>
    <definedName name="dfgjjtdrtg" localSheetId="9">{#N/A,#N/A,FALSE,"Plan1";#N/A,#N/A,FALSE,"Plan2"}</definedName>
    <definedName name="dfgt" localSheetId="9">{#N/A,#N/A,FALSE,"Plan1";#N/A,#N/A,FALSE,"Plan2"}</definedName>
    <definedName name="dfgtrkjhk" localSheetId="9">{#N/A,#N/A,FALSE,"Plan1";#N/A,#N/A,FALSE,"Plan2"}</definedName>
    <definedName name="dfgty" localSheetId="9">{#N/A,#N/A,FALSE,"Plan1";#N/A,#N/A,FALSE,"Plan2"}</definedName>
    <definedName name="dfhdgfdgf" localSheetId="9">{#N/A,#N/A,FALSE,"Plan1";#N/A,#N/A,FALSE,"Plan2"}</definedName>
    <definedName name="DFHDJGJFHJGF" localSheetId="9">{#N/A,#N/A,FALSE,"Plan1";#N/A,#N/A,FALSE,"Plan2"}</definedName>
    <definedName name="dfhdyg" localSheetId="9">{#N/A,#N/A,FALSE,"Plan1";#N/A,#N/A,FALSE,"Plan2"}</definedName>
    <definedName name="DFHGDHUR" localSheetId="9">{#N/A,#N/A,FALSE,"Plan1";#N/A,#N/A,FALSE,"Plan2"}</definedName>
    <definedName name="dfhgjfgdhfjdrf" localSheetId="9">{#N/A,#N/A,FALSE,"Plan1";#N/A,#N/A,FALSE,"Plan2"}</definedName>
    <definedName name="dfhgkhfut" localSheetId="9">{#N/A,#N/A,FALSE,"Plan1";#N/A,#N/A,FALSE,"Plan2"}</definedName>
    <definedName name="dfhgkjdhkjghjd" localSheetId="9">#REF!</definedName>
    <definedName name="dfhguitrhfg" localSheetId="9">{#N/A,#N/A,FALSE,"Plan1";#N/A,#N/A,FALSE,"Plan2"}</definedName>
    <definedName name="DFHKHDGKJHDKS" localSheetId="9">{#N/A,#N/A,FALSE,"Plan1";#N/A,#N/A,FALSE,"Plan2"}</definedName>
    <definedName name="dfijvnqienvvnjv" localSheetId="9">#REF!</definedName>
    <definedName name="dfjgjfhykj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9">{#N/A,#N/A,FALSE,"Plan1";#N/A,#N/A,FALSE,"Plan2"}</definedName>
    <definedName name="dfkhgfg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9">{#N/A,#N/A,FALSE,"Plan1";#N/A,#N/A,FALSE,"Plan2"}</definedName>
    <definedName name="dfnert" localSheetId="9">{#N/A,#N/A,FALSE,"Plan1";#N/A,#N/A,FALSE,"Plan2"}</definedName>
    <definedName name="dfrt" localSheetId="9">{#N/A,#N/A,FALSE,"Plan1";#N/A,#N/A,FALSE,"Plan2"}</definedName>
    <definedName name="dfsdr5tt" localSheetId="9">{#N/A,#N/A,FALSE,"Plan1";#N/A,#N/A,FALSE,"Plan2"}</definedName>
    <definedName name="dfsds" localSheetId="9">#REF!</definedName>
    <definedName name="dfsd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9">{#N/A,#N/A,FALSE,"Plan1";#N/A,#N/A,FALSE,"Plan2"}</definedName>
    <definedName name="dfsf" localSheetId="9">{#N/A,#N/A,FALSE,"Plan1";#N/A,#N/A,FALSE,"Plan2"}</definedName>
    <definedName name="DFT" localSheetId="9">{#N/A,#N/A,FALSE,"Plan1";#N/A,#N/A,FALSE,"Plan2"}</definedName>
    <definedName name="DFTRTTY" localSheetId="9">{#N/A,#N/A,FALSE,"Plan1";#N/A,#N/A,FALSE,"Plan2"}</definedName>
    <definedName name="dfurghifdjyhits" localSheetId="9">{#N/A,#N/A,FALSE,"Plan1";#N/A,#N/A,FALSE,"Plan2"}</definedName>
    <definedName name="dfxgdrged" localSheetId="9">{#N/A,#N/A,FALSE,"Plan1";#N/A,#N/A,FALSE,"Plan2"}</definedName>
    <definedName name="dgfrtyt" localSheetId="9">{#N/A,#N/A,FALSE,"Plan1";#N/A,#N/A,FALSE,"Plan2"}</definedName>
    <definedName name="dggfdg" localSheetId="9">{#N/A,#N/A,FALSE,"Plan1";#N/A,#N/A,FALSE,"Plan2"}</definedName>
    <definedName name="dgldfhgkljslh" localSheetId="9">{#N/A,#N/A,FALSE,"Plan1";#N/A,#N/A,FALSE,"Plan2"}</definedName>
    <definedName name="dhfgdhrehrwe" localSheetId="9">{#N/A,#N/A,FALSE,"Plan1";#N/A,#N/A,FALSE,"Plan2"}</definedName>
    <definedName name="dhgfdgrfgdfgd" localSheetId="9">{#N/A,#N/A,FALSE,"Plan1";#N/A,#N/A,FALSE,"Plan2"}</definedName>
    <definedName name="dhkjfhdhfjdh" localSheetId="9">{#N/A,#N/A,FALSE,"Plan1";#N/A,#N/A,FALSE,"Plan2"}</definedName>
    <definedName name="DHTJRT" localSheetId="9">{#N/A,#N/A,FALSE,"Plan1";#N/A,#N/A,FALSE,"Plan2"}</definedName>
    <definedName name="DI" localSheetId="9">#REF!</definedName>
    <definedName name="dia3estac" localSheetId="9">#REF!</definedName>
    <definedName name="diaestaca" localSheetId="9">#REF!</definedName>
    <definedName name="diambase" localSheetId="9">#REF!</definedName>
    <definedName name="DIFQT" localSheetId="9">#REF!</definedName>
    <definedName name="dijghdhks" localSheetId="9">{#N/A,#N/A,FALSE,"Plan1";#N/A,#N/A,FALSE,"Plan2"}</definedName>
    <definedName name="DIMENSÕES" localSheetId="9">#REF!</definedName>
    <definedName name="DIR_OPER" localSheetId="9">#REF!</definedName>
    <definedName name="DIR_TECNICO" localSheetId="9">#REF!</definedName>
    <definedName name="direto" localSheetId="9">#REF!</definedName>
    <definedName name="DIRETORIA" localSheetId="9">#REF!</definedName>
    <definedName name="diretorias" localSheetId="9">#REF!</definedName>
    <definedName name="Discrim" localSheetId="9">#REF!</definedName>
    <definedName name="DISCRIMINAÇÃO" localSheetId="9">#REF!</definedName>
    <definedName name="Discriminação_Controladoria" localSheetId="9">#REF!</definedName>
    <definedName name="DistCidade" localSheetId="9">#REF!</definedName>
    <definedName name="distratos" localSheetId="9">#REF!</definedName>
    <definedName name="div" localSheetId="9">#REF!</definedName>
    <definedName name="djasdrjas" localSheetId="9">{#N/A,#N/A,FALSE,"Plan1";#N/A,#N/A,FALSE,"Plan2"}</definedName>
    <definedName name="dj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9">{#N/A,#N/A,FALSE,"Plan1";#N/A,#N/A,FALSE,"Plan2"}</definedName>
    <definedName name="djfkhsdkjhf" localSheetId="9">{#N/A,#N/A,FALSE,"Plan1";#N/A,#N/A,FALSE,"Plan2"}</definedName>
    <definedName name="djfldjsgljslkjtg" localSheetId="9">{#N/A,#N/A,FALSE,"Plan1";#N/A,#N/A,FALSE,"Plan2"}</definedName>
    <definedName name="djflkdjgdth" localSheetId="9">{#N/A,#N/A,FALSE,"Plan1";#N/A,#N/A,FALSE,"Plan2"}</definedName>
    <definedName name="DJFLKDJGKTJYJT" localSheetId="9">{#N/A,#N/A,FALSE,"Plan1";#N/A,#N/A,FALSE,"Plan2"}</definedName>
    <definedName name="djgkfjgtiyty" localSheetId="9">{#N/A,#N/A,FALSE,"Plan1";#N/A,#N/A,FALSE,"Plan2"}</definedName>
    <definedName name="djrkehrjfhng" localSheetId="9">{#N/A,#N/A,FALSE,"Plan1";#N/A,#N/A,FALSE,"Plan2"}</definedName>
    <definedName name="djswfr" localSheetId="9">#REF!</definedName>
    <definedName name="djtkjldfr" localSheetId="9">{#N/A,#N/A,FALSE,"Plan1";#N/A,#N/A,FALSE,"Plan2"}</definedName>
    <definedName name="DJXDLFGDFG" localSheetId="9">{#N/A,#N/A,FALSE,"Plan1";#N/A,#N/A,FALSE,"Plan2"}</definedName>
    <definedName name="dkdkdkdkd" localSheetId="9">{#N/A,#N/A,FALSE,"명세표"}</definedName>
    <definedName name="dkfhskgf" localSheetId="9">{#N/A,#N/A,FALSE,"Plan1";#N/A,#N/A,FALSE,"Plan2"}</definedName>
    <definedName name="dkjfk" localSheetId="9">{#N/A,#N/A,FALSE,"Plan1";#N/A,#N/A,FALSE,"Plan2"}</definedName>
    <definedName name="DKLD" localSheetId="9">{#N/A,#N/A,FALSE,"Plan1";#N/A,#N/A,FALSE,"Plan2"}</definedName>
    <definedName name="DKLFJDKFD" localSheetId="9">{#N/A,#N/A,FALSE,"Plan1";#N/A,#N/A,FALSE,"Plan2"}</definedName>
    <definedName name="dklfjgirtgid" localSheetId="9">{#N/A,#N/A,FALSE,"Plan1";#N/A,#N/A,FALSE,"Plan2"}</definedName>
    <definedName name="dklfm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9">{#N/A,#N/A,FALSE,"Plan1";#N/A,#N/A,FALSE,"Plan2"}</definedName>
    <definedName name="DNFJKDHTKRE" localSheetId="9">{#N/A,#N/A,FALSE,"Plan1";#N/A,#N/A,FALSE,"Plan2"}</definedName>
    <definedName name="dng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OCUMENT" localSheetId="9">#REF!</definedName>
    <definedName name="DOIS" localSheetId="9">#REF!</definedName>
    <definedName name="dolar" localSheetId="9">#REF!</definedName>
    <definedName name="dolar_dez" localSheetId="9">#REF!</definedName>
    <definedName name="dolar_nov" localSheetId="9">#REF!</definedName>
    <definedName name="dolar_out" localSheetId="9">#REF!</definedName>
    <definedName name="dolar2" localSheetId="9">#REF!</definedName>
    <definedName name="dolarabr" localSheetId="9">#REF!</definedName>
    <definedName name="dolarabr02" localSheetId="9">#REF!</definedName>
    <definedName name="DolarAgo" localSheetId="9">#REF!</definedName>
    <definedName name="dolarago02" localSheetId="9">#REF!</definedName>
    <definedName name="dolardez" localSheetId="9">#REF!</definedName>
    <definedName name="dolarfev" localSheetId="9">#REF!</definedName>
    <definedName name="dolarfev02" localSheetId="9">#REF!</definedName>
    <definedName name="dolarfimdez" localSheetId="9">#REF!</definedName>
    <definedName name="dolarFimJun" localSheetId="9">#REF!</definedName>
    <definedName name="dolarfindez" localSheetId="9">#REF!</definedName>
    <definedName name="dolarfinmar" localSheetId="9">#REF!</definedName>
    <definedName name="DolarFinSet" localSheetId="9">#REF!</definedName>
    <definedName name="dolarjan" localSheetId="9">#REF!</definedName>
    <definedName name="dolarjan02" localSheetId="9">#REF!</definedName>
    <definedName name="DolarJul" localSheetId="9">#REF!</definedName>
    <definedName name="dolarjul02" localSheetId="9">#REF!</definedName>
    <definedName name="dolarjun" localSheetId="9">#REF!</definedName>
    <definedName name="dolarjun02" localSheetId="9">#REF!</definedName>
    <definedName name="dolarmai" localSheetId="9">#REF!</definedName>
    <definedName name="dolarmai02" localSheetId="9">#REF!</definedName>
    <definedName name="dolarmar" localSheetId="9">#REF!</definedName>
    <definedName name="dolarmar02" localSheetId="9">#REF!</definedName>
    <definedName name="dolarnov" localSheetId="9">#REF!</definedName>
    <definedName name="dolarout" localSheetId="9">#REF!</definedName>
    <definedName name="DolarSet" localSheetId="9">#REF!</definedName>
    <definedName name="dolarset02" localSheetId="9">#REF!</definedName>
    <definedName name="DOZE" localSheetId="9">#REF!</definedName>
    <definedName name="DRE" localSheetId="9">#REF!</definedName>
    <definedName name="drewr" localSheetId="9">{#N/A,#N/A,FALSE,"Plan1";#N/A,#N/A,FALSE,"Plan2"}</definedName>
    <definedName name="DRRJR" localSheetId="9">{#N/A,#N/A,FALSE,"Plan1";#N/A,#N/A,FALSE,"Plan2"}</definedName>
    <definedName name="drtrt" localSheetId="9">{"'Estimativa de Lançamento-JAN'!$A$1:$AI$85"}</definedName>
    <definedName name="dsdrf" localSheetId="9">{#N/A,#N/A,FALSE,"Plan1";#N/A,#N/A,FALSE,"Plan2"}</definedName>
    <definedName name="dsfdf" localSheetId="9">{#N/A,#N/A,FALSE,"Plan1";#N/A,#N/A,FALSE,"Plan2"}</definedName>
    <definedName name="dsfg" localSheetId="9">{#N/A,#N/A,FALSE,"Plan1";#N/A,#N/A,FALSE,"Plan2"}</definedName>
    <definedName name="DSFKDSKH" localSheetId="9">{#N/A,#N/A,FALSE,"Plan1";#N/A,#N/A,FALSE,"Plan2"}</definedName>
    <definedName name="DSFR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9">{#N/A,#N/A,FALSE,"Plan1";#N/A,#N/A,FALSE,"Plan2"}</definedName>
    <definedName name="DSFSAD" localSheetId="9">{#N/A,#N/A,FALSE,"Plan1";#N/A,#N/A,FALSE,"Plan2"}</definedName>
    <definedName name="dsfsdf" localSheetId="9">{#N/A,#N/A,FALSE,"Plan1";#N/A,#N/A,FALSE,"Plan2"}</definedName>
    <definedName name="dsfsdgfb" localSheetId="9">{#N/A,#N/A,FALSE,"Plan1";#N/A,#N/A,FALSE,"Plan2"}</definedName>
    <definedName name="dsgfr" localSheetId="9">{#N/A,#N/A,FALSE,"Plan1";#N/A,#N/A,FALSE,"Plan2"}</definedName>
    <definedName name="dshfkhkrhesru" localSheetId="9">{#N/A,#N/A,FALSE,"Plan1";#N/A,#N/A,FALSE,"Plan2"}</definedName>
    <definedName name="dsjkthkr" localSheetId="9">{#N/A,#N/A,FALSE,"Plan1";#N/A,#N/A,FALSE,"Plan2"}</definedName>
    <definedName name="DSLFJSLFJ" localSheetId="9">{#N/A,#N/A,FALSE,"Plan1";#N/A,#N/A,FALSE,"Plan2"}</definedName>
    <definedName name="dsrff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9">{#N/A,#N/A,FALSE,"Plan1";#N/A,#N/A,FALSE,"Plan2"}</definedName>
    <definedName name="dtgsrytt" localSheetId="9">{#N/A,#N/A,FALSE,"Plan1";#N/A,#N/A,FALSE,"Plan2"}</definedName>
    <definedName name="dtrjkhtrgkfh" localSheetId="9">{#N/A,#N/A,FALSE,"Plan1";#N/A,#N/A,FALSE,"Plan2"}</definedName>
    <definedName name="dttjuk" localSheetId="9">{#N/A,#N/A,FALSE,"Plan1";#N/A,#N/A,FALSE,"Plan2"}</definedName>
    <definedName name="dvtry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9">{#N/A,#N/A,FALSE,"Plan1";#N/A,#N/A,FALSE,"Plan2"}</definedName>
    <definedName name="dwqhdjwqgdwq" localSheetId="9">#REF!</definedName>
    <definedName name="DY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9">{#N/A,#N/A,FALSE,"Plan1";#N/A,#N/A,FALSE,"Plan2"}</definedName>
    <definedName name="dzdfr" localSheetId="9">{#N/A,#N/A,FALSE,"Plan1";#N/A,#N/A,FALSE,"Plan2"}</definedName>
    <definedName name="e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a" localSheetId="9">#REF!</definedName>
    <definedName name="EC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9">{#N/A,#N/A,FALSE,"F-01"}</definedName>
    <definedName name="ECEW_1" localSheetId="9">{#N/A,#N/A,FALSE,"F-01"}</definedName>
    <definedName name="echart31" localSheetId="9">#REF!</definedName>
    <definedName name="EcoPark" localSheetId="9">#REF!</definedName>
    <definedName name="ECS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9">{#N/A,#N/A,FALSE,"Plan1";#N/A,#N/A,FALSE,"Plan2"}</definedName>
    <definedName name="ee" localSheetId="9">#REF!</definedName>
    <definedName name="eee" localSheetId="9">{#N/A,#N/A,FALSE,"ET-CAPA";#N/A,#N/A,FALSE,"ET-PAG1";#N/A,#N/A,FALSE,"ET-PAG2";#N/A,#N/A,FALSE,"ET-PAG3";#N/A,#N/A,FALSE,"ET-PAG4";#N/A,#N/A,FALSE,"ET-PAG5"}</definedName>
    <definedName name="EF" localSheetId="9">#REF!</definedName>
    <definedName name="efestfr" localSheetId="9">{#N/A,#N/A,FALSE,"Plan1";#N/A,#N/A,FALSE,"Plan2"}</definedName>
    <definedName name="EFICIÊNCIA" localSheetId="9">#REF!</definedName>
    <definedName name="Eficiência1" localSheetId="9">#REF!</definedName>
    <definedName name="efrdrt" localSheetId="9">{#N/A,#N/A,FALSE,"Plan1";#N/A,#N/A,FALSE,"Plan2"}</definedName>
    <definedName name="efrg" localSheetId="9">{#N/A,#N/A,FALSE,"Plan1";#N/A,#N/A,FALSE,"Plan2"}</definedName>
    <definedName name="efsgfr" localSheetId="9">{#N/A,#N/A,FALSE,"Plan1";#N/A,#N/A,FALSE,"Plan2"}</definedName>
    <definedName name="eixo_x_fluxo_graf1" localSheetId="9">IFERROR(OFFSET(INDEX(#REF!,MATCH((INDEX(#REF!,MATCH(1,#REF!,0))),#REF!,0)),0,0,1,COUNTIF(#REF!,"&gt;=0")+COUNTIF(#REF!,"&lt;0")),0)</definedName>
    <definedName name="eixo_x_graf2" localSheetId="9">IFERROR(OFFSET(INDEX(#REF!,MATCH((INDEX(#REF!,MATCH(1,#REF!,0))),#REF!,0)),0,0,1,COUNTIF(#REF!,"&gt;=0")+COUNTIF(#REF!,"&lt;0")),0)</definedName>
    <definedName name="eixo_x_graf3_distratos" localSheetId="9">#REF!</definedName>
    <definedName name="eixo_x_graf3_vendas" localSheetId="9">#REF!</definedName>
    <definedName name="eixo_y_cury_graf2" localSheetId="9">IFERROR(OFFSET(INDEX(#REF!,MATCH((INDEX(#REF!,MATCH(1,#REF!,0))),#REF!,0)),0,0,1,COUNTIF(#REF!,"&gt;=0")+COUNTIF(#REF!,"&lt;0")),0)</definedName>
    <definedName name="eixo_y_fluxo_graf1" localSheetId="9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forecast_graf1" localSheetId="9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real" localSheetId="9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1_obraVL" localSheetId="9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ixo_y_graf3" localSheetId="9">#REF!</definedName>
    <definedName name="eixo_y_socio_graf2" localSheetId="9">IFERROR(OFFSET(INDEX(#REF!,MATCH((INDEX(#REF!,MATCH(1,#REF!,0))),#REF!,0)),0,0,1,COUNTIF(#REF!,"&gt;=0")+COUNTIF(#REF!,"&lt;0")),0)</definedName>
    <definedName name="eixo_y_viab_graf1" localSheetId="9">IFERROR(IF(#REF!="Nominal", OFFSET(INDEX(#REF!,MATCH((INDEX(#REF!,MATCH(1,#REF!,0))),#REF!,0)),0,0,1,COUNTIF(#REF!,"&gt;=0")+COUNTIF(#REF!,"&lt;0")), OFFSET(INDEX(#REF!,MATCH((INDEX(#REF!,MATCH(1,#REF!,0))),#REF!,0)),0,0,1,COUNTIF(#REF!,"&gt;=0")+COUNTIF(#REF!,"&lt;0"))),0)</definedName>
    <definedName name="EM" localSheetId="9">#REF!</definedName>
    <definedName name="Empreend" localSheetId="9">#REF!</definedName>
    <definedName name="Empreendimentos" localSheetId="9">#REF!</definedName>
    <definedName name="empresas" localSheetId="9">#REF!</definedName>
    <definedName name="encanador" localSheetId="9">#REF!</definedName>
    <definedName name="EPI" localSheetId="9">#REF!</definedName>
    <definedName name="EQUIP" localSheetId="9">#REF!</definedName>
    <definedName name="equipamento" localSheetId="9">#REF!</definedName>
    <definedName name="ER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9">{#N/A,#N/A,FALSE,"Plan1";#N/A,#N/A,FALSE,"Plan2"}</definedName>
    <definedName name="erne_cdi" localSheetId="9">#REF!</definedName>
    <definedName name="erne_hist" localSheetId="9">#REF!</definedName>
    <definedName name="erne_uss" localSheetId="9">#REF!</definedName>
    <definedName name="ESGFDSFD" localSheetId="9">{#N/A,#N/A,FALSE,"Plan1";#N/A,#N/A,FALSE,"Plan2"}</definedName>
    <definedName name="esp" localSheetId="9">#REF!</definedName>
    <definedName name="ESPESSURA" localSheetId="9">#REF!</definedName>
    <definedName name="estaca" localSheetId="9">#REF!</definedName>
    <definedName name="estaca3" localSheetId="9">#REF!</definedName>
    <definedName name="ESTADO" localSheetId="9">#REF!</definedName>
    <definedName name="estados" localSheetId="9">#REF!</definedName>
    <definedName name="estagiário" localSheetId="9">#REF!</definedName>
    <definedName name="ESTOQUE" localSheetId="9">#REF!</definedName>
    <definedName name="Etq_final" localSheetId="9">#REF!</definedName>
    <definedName name="EU" localSheetId="9">{#N/A,#N/A,FALSE,"Plan1";#N/A,#N/A,FALSE,"Plan2"}</definedName>
    <definedName name="EVL" localSheetId="9">{"Econ Consolidado",#N/A,FALSE,"Econ Consol";"Fluxo de Caixa",#N/A,FALSE,"Fluxo Caixa";"Investimentos",#N/A,FALSE,"Investimentos"}</definedName>
    <definedName name="Evol." localSheetId="9">{"Econ Consolidado",#N/A,FALSE,"Econ Consol";"Fluxo de Caixa",#N/A,FALSE,"Fluxo Caixa";"Investimentos",#N/A,FALSE,"Investimentos"}</definedName>
    <definedName name="ewfr" localSheetId="9">{#N/A,#N/A,FALSE,"Plan1";#N/A,#N/A,FALSE,"Plan2"}</definedName>
    <definedName name="exce_cdi" localSheetId="9">#REF!</definedName>
    <definedName name="exce_hist" localSheetId="9">#REF!</definedName>
    <definedName name="exce_uss" localSheetId="9">#REF!</definedName>
    <definedName name="Excel_BuiltIn__FilterDatabase_1" localSheetId="9">#REF!</definedName>
    <definedName name="Excel_BuiltIn__FilterDatabase_1_1" localSheetId="9">#REF!</definedName>
    <definedName name="Excel_BuiltIn__FilterDatabase_6" localSheetId="9">#REF!</definedName>
    <definedName name="Excel_BuiltIn_Print_Area_0" localSheetId="9">#REF!</definedName>
    <definedName name="Excel_BuiltIn_Print_Area_1_1" localSheetId="9">#REF!</definedName>
    <definedName name="Excel_BuiltIn_Print_Titles_1_1_1" localSheetId="9">#REF!</definedName>
    <definedName name="Excel_BuiltIn_Print_Titles_1_1_4" localSheetId="9">#REF!</definedName>
    <definedName name="Excel_BuiltIn_Print_Titles_1_1_5" localSheetId="9">#REF!</definedName>
    <definedName name="Exrate" localSheetId="9">#REF!</definedName>
    <definedName name="eyruieyteta" localSheetId="9">{#N/A,#N/A,FALSE,"Plan1";#N/A,#N/A,FALSE,"Plan2"}</definedName>
    <definedName name="f" localSheetId="9">#REF!</definedName>
    <definedName name="FACULDADE" localSheetId="9">#REF!</definedName>
    <definedName name="FAL" localSheetId="9">#REF!</definedName>
    <definedName name="farialima" localSheetId="9">#REF!</definedName>
    <definedName name="FAS" localSheetId="9">{"'Total'!$A$1","'Total'!$A$3"}</definedName>
    <definedName name="fasfasf" localSheetId="9">{#N/A,#N/A,TRUE,"Quinzena 01 à 15-04-98 "}</definedName>
    <definedName name="FATOR_K" localSheetId="9">#REF!</definedName>
    <definedName name="FATORK" localSheetId="9">#REF!</definedName>
    <definedName name="FBancaria" localSheetId="9">#REF!</definedName>
    <definedName name="fddhght" localSheetId="9">{#N/A,#N/A,FALSE,"Plan1";#N/A,#N/A,FALSE,"Plan2"}</definedName>
    <definedName name="fdfgd" localSheetId="9">{#N/A,#N/A,FALSE,"Plan1";#N/A,#N/A,FALSE,"Plan2"}</definedName>
    <definedName name="fdfng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9">{#N/A,#N/A,FALSE,"Plan1";#N/A,#N/A,FALSE,"Plan2"}</definedName>
    <definedName name="fdgdf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9">{#N/A,#N/A,FALSE,"Plan1";#N/A,#N/A,FALSE,"Plan2"}</definedName>
    <definedName name="fdgfyhygfuj" localSheetId="9">{#N/A,#N/A,FALSE,"Plan1";#N/A,#N/A,FALSE,"Plan2"}</definedName>
    <definedName name="fdhgfdf" localSheetId="9">{#N/A,#N/A,FALSE,"Plan1";#N/A,#N/A,FALSE,"Plan2"}</definedName>
    <definedName name="fdjfgdfjg" localSheetId="9">{#N/A,#N/A,FALSE,"Plan1";#N/A,#N/A,FALSE,"Plan2"}</definedName>
    <definedName name="fdjghkshtygt" localSheetId="9">{#N/A,#N/A,FALSE,"Plan1";#N/A,#N/A,FALSE,"Plan2"}</definedName>
    <definedName name="fdnhgf" localSheetId="9">{"'Estimativa de Lançamento-JAN'!$A$1:$AI$85"}</definedName>
    <definedName name="fdsf" localSheetId="9">{#N/A,#N/A,FALSE,"Plan1";#N/A,#N/A,FALSE,"Plan2"}</definedName>
    <definedName name="FE" localSheetId="9">#REF!</definedName>
    <definedName name="fefefefe" localSheetId="9">#REF!</definedName>
    <definedName name="fev17RJ" localSheetId="9">#REF!</definedName>
    <definedName name="FEVEREIRO2001" localSheetId="9">#REF!</definedName>
    <definedName name="ff" localSheetId="9">#REF!</definedName>
    <definedName name="fffefes" localSheetId="9">#REF!</definedName>
    <definedName name="fffff" localSheetId="9">{#N/A,#N/A,FALSE,"Plan1";#N/A,#N/A,FALSE,"Plan2"}</definedName>
    <definedName name="FFFFFFF" localSheetId="9">#REF!</definedName>
    <definedName name="FFTY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9">{#N/A,#N/A,FALSE,"Plan1";#N/A,#N/A,FALSE,"Plan2"}</definedName>
    <definedName name="fgg" localSheetId="9">{"'장비'!$A$3:$M$12"}</definedName>
    <definedName name="fghfh" localSheetId="9">{"'Estimativa de Lançamento-JAN'!$A$1:$AI$85"}</definedName>
    <definedName name="fghgfh" localSheetId="9">{#N/A,#N/A,FALSE,"Plan1";#N/A,#N/A,FALSE,"Plan2"}</definedName>
    <definedName name="FGJHFGK" localSheetId="9">{#N/A,#N/A,FALSE,"Plan1";#N/A,#N/A,FALSE,"Plan2"}</definedName>
    <definedName name="fgktyhdf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9">{#N/A,#N/A,FALSE,"Plan1";#N/A,#N/A,FALSE,"Plan2"}</definedName>
    <definedName name="fgty" localSheetId="9">#REF!</definedName>
    <definedName name="fhgjfgyt" localSheetId="9">{#N/A,#N/A,FALSE,"Plan1";#N/A,#N/A,FALSE,"Plan2"}</definedName>
    <definedName name="fhgjkhtrfg" localSheetId="9">{#N/A,#N/A,FALSE,"Plan1";#N/A,#N/A,FALSE,"Plan2"}</definedName>
    <definedName name="FHGTGSRSG" localSheetId="9">{#N/A,#N/A,FALSE,"Plan1";#N/A,#N/A,FALSE,"Plan2"}</definedName>
    <definedName name="FIELD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9">{#N/A,#N/A,TRUE,"Quinzena 01 à 15-04-98 "}</definedName>
    <definedName name="Filtro_Rel_Sienge" localSheetId="9">#REF!</definedName>
    <definedName name="Firs_hist" localSheetId="9">#REF!</definedName>
    <definedName name="First_cdi" localSheetId="9">#REF!</definedName>
    <definedName name="First_uss" localSheetId="9">#REF!</definedName>
    <definedName name="fjdhfgjdhtgu" localSheetId="9">{#N/A,#N/A,FALSE,"Plan1";#N/A,#N/A,FALSE,"Plan2"}</definedName>
    <definedName name="fjfjg" localSheetId="9">{#N/A,#N/A,FALSE,"명세표"}</definedName>
    <definedName name="FJGH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9">{#N/A,#N/A,FALSE,"Plan1";#N/A,#N/A,FALSE,"Plan2"}</definedName>
    <definedName name="fjtgfh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9">{#N/A,#N/A,FALSE,"Plan1";#N/A,#N/A,FALSE,"Plan2"}</definedName>
    <definedName name="fl" localSheetId="9">#REF!</definedName>
    <definedName name="FL_1" localSheetId="9">#REF!</definedName>
    <definedName name="FL_2" localSheetId="9">#REF!</definedName>
    <definedName name="FL_3" localSheetId="9">#REF!</definedName>
    <definedName name="Fluxo_captação" localSheetId="9">#REF!</definedName>
    <definedName name="FOLHA2" localSheetId="9">#REF!</definedName>
    <definedName name="Format" localSheetId="9">#REF!</definedName>
    <definedName name="Formato_da_Loja" localSheetId="9">#REF!</definedName>
    <definedName name="FORMULA" localSheetId="9">#REF!</definedName>
    <definedName name="FORNECEDOR" localSheetId="9">OFFSET(#REF!,6,0,COUNTA(#REF!))</definedName>
    <definedName name="FORNECEDOR_2" localSheetId="9">OFFSET(#REF!,6,0,COUNTA(#REF!))</definedName>
    <definedName name="FORNECEDOR_3" localSheetId="9">OFFSET(#REF!,6,0,COUNTA(#REF!))</definedName>
    <definedName name="FORNECEDOR_4" localSheetId="9">OFFSET(#REF!,6,0,COUNTA(#REF!))</definedName>
    <definedName name="FORNECEDOR_5" localSheetId="9">OFFSET(#REF!,6,0,COUNTA(#REF!))</definedName>
    <definedName name="FORNECEDOR_7" localSheetId="9">OFFSET(#REF!,6,0,COUNTA(#REF!))</definedName>
    <definedName name="FORNECEDOR_8" localSheetId="9">OFFSET(#REF!,6,0,COUNTA(#REF!))</definedName>
    <definedName name="frçt4r" localSheetId="9">{#N/A,#N/A,FALSE,"Plan1";#N/A,#N/A,FALSE,"Plan2"}</definedName>
    <definedName name="frdtty" localSheetId="9">{#N/A,#N/A,FALSE,"Plan1";#N/A,#N/A,FALSE,"Plan2"}</definedName>
    <definedName name="fsdfsf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9">{#N/A,#N/A,FALSE,"Plan1";#N/A,#N/A,FALSE,"Plan2"}</definedName>
    <definedName name="fuste" localSheetId="9">#REF!</definedName>
    <definedName name="fxjghkfg" localSheetId="9">{#N/A,#N/A,FALSE,"Plan1";#N/A,#N/A,FALSE,"Plan2"}</definedName>
    <definedName name="g_10" localSheetId="9">#REF!</definedName>
    <definedName name="g_11" localSheetId="9">#REF!</definedName>
    <definedName name="g_12" localSheetId="9">#REF!</definedName>
    <definedName name="g_13" localSheetId="9">#REF!</definedName>
    <definedName name="g_15" localSheetId="9">#REF!</definedName>
    <definedName name="g_16" localSheetId="9">#REF!</definedName>
    <definedName name="g_17" localSheetId="9">#REF!</definedName>
    <definedName name="g_19" localSheetId="9">#REF!</definedName>
    <definedName name="g_21" localSheetId="9">#REF!</definedName>
    <definedName name="g_25" localSheetId="9">#REF!</definedName>
    <definedName name="g_27" localSheetId="9">#REF!</definedName>
    <definedName name="g_31" localSheetId="9">#REF!</definedName>
    <definedName name="g_32" localSheetId="9">#REF!</definedName>
    <definedName name="g_33" localSheetId="9">#REF!</definedName>
    <definedName name="g_34" localSheetId="9">#REF!</definedName>
    <definedName name="G_35" localSheetId="9">#REF!</definedName>
    <definedName name="g_37" localSheetId="9">#REF!</definedName>
    <definedName name="g_41" localSheetId="9">#REF!</definedName>
    <definedName name="g_42" localSheetId="9">#REF!</definedName>
    <definedName name="g_45" localSheetId="9">#REF!</definedName>
    <definedName name="g_47" localSheetId="9">#REF!</definedName>
    <definedName name="g_51" localSheetId="9">#REF!</definedName>
    <definedName name="g_52" localSheetId="9">#REF!</definedName>
    <definedName name="g_53" localSheetId="9">#REF!</definedName>
    <definedName name="G_54" localSheetId="9">#REF!</definedName>
    <definedName name="G_55" localSheetId="9">#REF!</definedName>
    <definedName name="G_56" localSheetId="9">#REF!</definedName>
    <definedName name="G_57" localSheetId="9">#REF!</definedName>
    <definedName name="G_58" localSheetId="9">#REF!</definedName>
    <definedName name="G_59" localSheetId="9">#REF!</definedName>
    <definedName name="G_61" localSheetId="9">#REF!</definedName>
    <definedName name="G_63" localSheetId="9">#REF!</definedName>
    <definedName name="G_65" localSheetId="9">#REF!</definedName>
    <definedName name="G_67" localSheetId="9">#REF!</definedName>
    <definedName name="g_68" localSheetId="9">#REF!</definedName>
    <definedName name="g_69" localSheetId="9">#REF!</definedName>
    <definedName name="G_71" localSheetId="9">#REF!</definedName>
    <definedName name="G_73" localSheetId="9">#REF!</definedName>
    <definedName name="G_75" localSheetId="9">#REF!</definedName>
    <definedName name="G_77" localSheetId="9">#REF!</definedName>
    <definedName name="G_78" localSheetId="9">#REF!</definedName>
    <definedName name="G_81" localSheetId="9">#REF!</definedName>
    <definedName name="G_83" localSheetId="9">#REF!</definedName>
    <definedName name="G_85" localSheetId="9">#REF!</definedName>
    <definedName name="G_87" localSheetId="9">#REF!</definedName>
    <definedName name="G_90" localSheetId="9">#REF!</definedName>
    <definedName name="G_91" localSheetId="9">#REF!</definedName>
    <definedName name="G_92" localSheetId="9">#REF!</definedName>
    <definedName name="G_94" localSheetId="9">#REF!</definedName>
    <definedName name="G_95" localSheetId="9">#REF!</definedName>
    <definedName name="G_96" localSheetId="9">#REF!</definedName>
    <definedName name="galo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ARAGEM" localSheetId="9">#REF!</definedName>
    <definedName name="garcia" localSheetId="9">#REF!</definedName>
    <definedName name="GASTOS_JULHO" localSheetId="9">#REF!</definedName>
    <definedName name="gbdjkvhgd" localSheetId="9">{#N/A,#N/A,FALSE,"Plan1";#N/A,#N/A,FALSE,"Plan2"}</definedName>
    <definedName name="gbdsjgsjfdgj" localSheetId="9">{#N/A,#N/A,FALSE,"Plan1";#N/A,#N/A,FALSE,"Plan2"}</definedName>
    <definedName name="gdfdhgfjgj" localSheetId="9">{#N/A,#N/A,FALSE,"Plan1";#N/A,#N/A,FALSE,"Plan2"}</definedName>
    <definedName name="gdfgdstggt" localSheetId="9">{#N/A,#N/A,FALSE,"Plan1";#N/A,#N/A,FALSE,"Plan2"}</definedName>
    <definedName name="GDFHGRJGFJDRF" localSheetId="9">{"Econ Consolidado",#N/A,FALSE,"Econ Consol";"Fluxo de Caixa",#N/A,FALSE,"Fluxo Caixa";"Investimentos",#N/A,FALSE,"Investimentos"}</definedName>
    <definedName name="gdfigfhuyuy" localSheetId="9">{#N/A,#N/A,FALSE,"Plan1";#N/A,#N/A,FALSE,"Plan2"}</definedName>
    <definedName name="gdfsgfew" localSheetId="9">{#N/A,#N/A,FALSE,"Plan1";#N/A,#N/A,FALSE,"Plan2"}</definedName>
    <definedName name="gdhfgdhfgf" localSheetId="9">{#N/A,#N/A,FALSE,"Plan1";#N/A,#N/A,FALSE,"Plan2"}</definedName>
    <definedName name="gdsfhefrwrw" localSheetId="9">{#N/A,#N/A,FALSE,"Plan1";#N/A,#N/A,FALSE,"Plan2"}</definedName>
    <definedName name="GER_TECNICO" localSheetId="9">#REF!</definedName>
    <definedName name="Gerentes" localSheetId="9">#REF!</definedName>
    <definedName name="geshrjhed" localSheetId="9">{#N/A,#N/A,FALSE,"Plan1";#N/A,#N/A,FALSE,"Plan2"}</definedName>
    <definedName name="gestao" localSheetId="9">OFFSET(INDEX(#REF!,MATCH(#REF!,#REF!,0)),1,0,COUNTA(#REF!)-1)</definedName>
    <definedName name="gfdcgnkf" localSheetId="9">{#N/A,#N/A,FALSE,"Plan1";#N/A,#N/A,FALSE,"Plan2"}</definedName>
    <definedName name="gfdjtgur" localSheetId="9">{#N/A,#N/A,FALSE,"Plan1";#N/A,#N/A,FALSE,"Plan2"}</definedName>
    <definedName name="gfdrtg" localSheetId="9">#REF!</definedName>
    <definedName name="gfgdhxgfdhf" localSheetId="9">{#N/A,#N/A,FALSE,"Plan1";#N/A,#N/A,FALSE,"Plan2"}</definedName>
    <definedName name="gfhfdtgjb" localSheetId="9">{#N/A,#N/A,FALSE,"Plan1";#N/A,#N/A,FALSE,"Plan2"}</definedName>
    <definedName name="gfjdshrtjhtged" localSheetId="9">{#N/A,#N/A,FALSE,"Plan1";#N/A,#N/A,FALSE,"Plan2"}</definedName>
    <definedName name="gfjgkddgfd" localSheetId="9">{#N/A,#N/A,FALSE,"Plan1";#N/A,#N/A,FALSE,"Plan2"}</definedName>
    <definedName name="gfsghjdgygr" localSheetId="9">{#N/A,#N/A,FALSE,"Plan1";#N/A,#N/A,FALSE,"Plan2"}</definedName>
    <definedName name="gftfy" localSheetId="9">{#N/A,#N/A,FALSE,"Plan1";#N/A,#N/A,FALSE,"Plan2"}</definedName>
    <definedName name="gfty" localSheetId="9">{#N/A,#N/A,FALSE,"Plan1";#N/A,#N/A,FALSE,"Plan2"}</definedName>
    <definedName name="GFUJU9" localSheetId="9">{#N/A,#N/A,FALSE,"Plan1";#N/A,#N/A,FALSE,"Plan2"}</definedName>
    <definedName name="ggg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9">{#N/A,#N/A,FALSE,"Plan1";#N/A,#N/A,FALSE,"Plan2"}</definedName>
    <definedName name="ggggggggg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9">{"'장비'!$A$3:$M$12"}</definedName>
    <definedName name="ghfgdfrtert" localSheetId="9">{#N/A,#N/A,FALSE,"Plan1";#N/A,#N/A,FALSE,"Plan2"}</definedName>
    <definedName name="ghfhghft" localSheetId="9">{#N/A,#N/A,FALSE,"Plan1";#N/A,#N/A,FALSE,"Plan2"}</definedName>
    <definedName name="ghjg" localSheetId="9">{"'Estimativa de Lançamento-JAN'!$A$1:$AI$85"}</definedName>
    <definedName name="ghkfhgh" localSheetId="9">{#N/A,#N/A,FALSE,"Plan1";#N/A,#N/A,FALSE,"Plan2"}</definedName>
    <definedName name="ghkjh" localSheetId="9">{#N/A,#N/A,FALSE,"ENG'G(보호계전기)"}</definedName>
    <definedName name="GJ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9">{#N/A,#N/A,FALSE,"Plan1";#N/A,#N/A,FALSE,"Plan2"}</definedName>
    <definedName name="GJ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9">{#N/A,#N/A,FALSE,"Plan1";#N/A,#N/A,FALSE,"Plan2"}</definedName>
    <definedName name="glgl" localSheetId="9">{#N/A,#N/A,FALSE,"Plan1";#N/A,#N/A,FALSE,"Plan2"}</definedName>
    <definedName name="GLOBAL" localSheetId="9">#REF!</definedName>
    <definedName name="gnfrth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rec_cdi" localSheetId="9">#REF!</definedName>
    <definedName name="grec_hist" localSheetId="9">#REF!</definedName>
    <definedName name="grec_uss" localSheetId="9">#REF!</definedName>
    <definedName name="grua" localSheetId="9">#REF!</definedName>
    <definedName name="GSDWJSTGE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9">{#N/A,#N/A,FALSE,"Plan1";#N/A,#N/A,FALSE,"Plan2"}</definedName>
    <definedName name="GUI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9">{#N/A,#N/A,FALSE,"CCTV"}</definedName>
    <definedName name="h" localSheetId="9">#REF!</definedName>
    <definedName name="hbjgjuae" localSheetId="9">#REF!</definedName>
    <definedName name="hcjfkhdghfktg" localSheetId="9">{#N/A,#N/A,FALSE,"Plan1";#N/A,#N/A,FALSE,"Plan2"}</definedName>
    <definedName name="hckhjfdkgfdg" localSheetId="9">#REF!</definedName>
    <definedName name="hddfndgdfg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9">{#N/A,#N/A,FALSE,"Plan1";#N/A,#N/A,FALSE,"Plan2"}</definedName>
    <definedName name="HDFGJKHKFDHTY" localSheetId="9">{#N/A,#N/A,FALSE,"Plan1";#N/A,#N/A,FALSE,"Plan2"}</definedName>
    <definedName name="hdfhdhrtgd" localSheetId="9">{#N/A,#N/A,FALSE,"Plan1";#N/A,#N/A,FALSE,"Plan2"}</definedName>
    <definedName name="hdfhftde" localSheetId="9">{#N/A,#N/A,FALSE,"Plan1";#N/A,#N/A,FALSE,"Plan2"}</definedName>
    <definedName name="hdfhgkdhgtrf" localSheetId="9">{#N/A,#N/A,FALSE,"Plan1";#N/A,#N/A,FALSE,"Plan2"}</definedName>
    <definedName name="hdfjhdkzhgdr" localSheetId="9">{#N/A,#N/A,FALSE,"Plan1";#N/A,#N/A,FALSE,"Plan2"}</definedName>
    <definedName name="hdfjkgvjgtd" localSheetId="9">{#N/A,#N/A,FALSE,"Plan1";#N/A,#N/A,FALSE,"Plan2"}</definedName>
    <definedName name="hdfjkhdhrute" localSheetId="9">{#N/A,#N/A,FALSE,"Plan1";#N/A,#N/A,FALSE,"Plan2"}</definedName>
    <definedName name="HDFKGVF" localSheetId="9">{#N/A,#N/A,FALSE,"Plan1";#N/A,#N/A,FALSE,"Plan2"}</definedName>
    <definedName name="hdgfhdgtdrt" localSheetId="9">{#N/A,#N/A,FALSE,"Plan1";#N/A,#N/A,FALSE,"Plan2"}</definedName>
    <definedName name="hdghgtgtrgd" localSheetId="9">{#N/A,#N/A,FALSE,"Plan1";#N/A,#N/A,FALSE,"Plan2"}</definedName>
    <definedName name="HDHDGHTUHDTG" localSheetId="9">{#N/A,#N/A,FALSE,"Plan1";#N/A,#N/A,FALSE,"Plan2"}</definedName>
    <definedName name="hdhghfthrrhy" localSheetId="9">{#N/A,#N/A,FALSE,"Plan1";#N/A,#N/A,FALSE,"Plan2"}</definedName>
    <definedName name="hdkfjhydjh" localSheetId="9">{#N/A,#N/A,FALSE,"Plan1";#N/A,#N/A,FALSE,"Plan2"}</definedName>
    <definedName name="hdsgfgrrdgr" localSheetId="9">{#N/A,#N/A,FALSE,"Plan1";#N/A,#N/A,FALSE,"Plan2"}</definedName>
    <definedName name="hdtertkkdsa" localSheetId="9">{#N/A,#N/A,FALSE,"Plan1";#N/A,#N/A,FALSE,"Plan2"}</definedName>
    <definedName name="Header" localSheetId="9">#REF!</definedName>
    <definedName name="HEDHA" localSheetId="9">{#N/A,#N/A,FALSE,"Plan1";#N/A,#N/A,FALSE,"Plan2"}</definedName>
    <definedName name="heife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LP" localSheetId="9">#REF!</definedName>
    <definedName name="herkfdshfker" localSheetId="9">{#N/A,#N/A,FALSE,"Plan1";#N/A,#N/A,FALSE,"Plan2"}</definedName>
    <definedName name="hersdtretyt" localSheetId="9">{#N/A,#N/A,FALSE,"Plan1";#N/A,#N/A,FALSE,"Plan2"}</definedName>
    <definedName name="HFDJTHTRS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9">{#N/A,#N/A,FALSE,"Plan1";#N/A,#N/A,FALSE,"Plan2"}</definedName>
    <definedName name="hfdkhgkfdhtj" localSheetId="9">{#N/A,#N/A,FALSE,"Plan1";#N/A,#N/A,FALSE,"Plan2"}</definedName>
    <definedName name="hfgfktgkhyt" localSheetId="9">{#N/A,#N/A,FALSE,"Plan1";#N/A,#N/A,FALSE,"Plan2"}</definedName>
    <definedName name="hfghdkhrgkjg" localSheetId="9">{#N/A,#N/A,FALSE,"Plan1";#N/A,#N/A,FALSE,"Plan2"}</definedName>
    <definedName name="hfighfth" localSheetId="9">{#N/A,#N/A,FALSE,"Plan1";#N/A,#N/A,FALSE,"Plan2"}</definedName>
    <definedName name="hfjghtfuyrf" localSheetId="9">{#N/A,#N/A,FALSE,"Plan1";#N/A,#N/A,FALSE,"Plan2"}</definedName>
    <definedName name="HFKJHDJGHFJ" localSheetId="9">{#N/A,#N/A,FALSE,"Plan1";#N/A,#N/A,FALSE,"Plan2"}</definedName>
    <definedName name="hgdesgfgsj" localSheetId="9">{#N/A,#N/A,FALSE,"Plan1";#N/A,#N/A,FALSE,"Plan2"}</definedName>
    <definedName name="hgdgfd" localSheetId="9">{#N/A,#N/A,FALSE,"Plan1";#N/A,#N/A,FALSE,"Plan2"}</definedName>
    <definedName name="hgfhjkdfhj" localSheetId="9">{#N/A,#N/A,FALSE,"Plan1";#N/A,#N/A,FALSE,"Plan2"}</definedName>
    <definedName name="hgg" localSheetId="9">{#N/A,#N/A,FALSE,"Plan1";#N/A,#N/A,FALSE,"Plan2"}</definedName>
    <definedName name="hgjdfgghg" localSheetId="9">{#N/A,#N/A,FALSE,"Plan1";#N/A,#N/A,FALSE,"Plan2"}</definedName>
    <definedName name="hgjkfdhg" localSheetId="9">{#N/A,#N/A,FALSE,"Plan1";#N/A,#N/A,FALSE,"Plan2"}</definedName>
    <definedName name="hgkdfhkfk" localSheetId="9">{#N/A,#N/A,FALSE,"Plan1";#N/A,#N/A,FALSE,"Plan2"}</definedName>
    <definedName name="hgkjhdfhtrdyt" localSheetId="9">{#N/A,#N/A,FALSE,"Plan1";#N/A,#N/A,FALSE,"Plan2"}</definedName>
    <definedName name="hgkjhdfkhgtfhg" localSheetId="9">{#N/A,#N/A,FALSE,"Plan1";#N/A,#N/A,FALSE,"Plan2"}</definedName>
    <definedName name="hgkjhkfhsdkdhgk" localSheetId="9">{#N/A,#N/A,FALSE,"Plan1";#N/A,#N/A,FALSE,"Plan2"}</definedName>
    <definedName name="hgsufgdhghd" localSheetId="9">{#N/A,#N/A,FALSE,"Plan1";#N/A,#N/A,FALSE,"Plan2"}</definedName>
    <definedName name="HHGFHTYUT" localSheetId="9">{#N/A,#N/A,FALSE,"Plan1";#N/A,#N/A,FALSE,"Plan2"}</definedName>
    <definedName name="hhh" localSheetId="9">{"'Total'!$A$1","'Total'!$A$3"}</definedName>
    <definedName name="HHIHLK" localSheetId="9">#REF!</definedName>
    <definedName name="hik" localSheetId="9">{#N/A,#N/A,FALSE,"TABLE"}</definedName>
    <definedName name="hist" localSheetId="9">#REF!</definedName>
    <definedName name="HIST1" localSheetId="9">#REF!</definedName>
    <definedName name="HISTEQ" localSheetId="9">#REF!</definedName>
    <definedName name="HISTOGRAMA" localSheetId="9">#REF!</definedName>
    <definedName name="hjdgtjdjxrfg" localSheetId="9">{#N/A,#N/A,FALSE,"Plan1";#N/A,#N/A,FALSE,"Plan2"}</definedName>
    <definedName name="HJFDGD" localSheetId="9">{#N/A,#N/A,FALSE,"Plan1";#N/A,#N/A,FALSE,"Plan2"}</definedName>
    <definedName name="HJGASD" localSheetId="9">{#N/A,#N/A,FALSE,"Plan1";#N/A,#N/A,FALSE,"Plan2"}</definedName>
    <definedName name="HJGFGTFDG" localSheetId="9">{#N/A,#N/A,FALSE,"Plan1";#N/A,#N/A,FALSE,"Plan2"}</definedName>
    <definedName name="hjgfhdsgfhsd" localSheetId="9">{#N/A,#N/A,FALSE,"Plan1";#N/A,#N/A,FALSE,"Plan2"}</definedName>
    <definedName name="hjgxfjgdjyftr" localSheetId="9">{#N/A,#N/A,FALSE,"Plan1";#N/A,#N/A,FALSE,"Plan2"}</definedName>
    <definedName name="hjgyugasd" localSheetId="9">{#N/A,#N/A,FALSE,"Plan1";#N/A,#N/A,FALSE,"Plan2"}</definedName>
    <definedName name="hjjfyfy" localSheetId="9">{#N/A,#N/A,FALSE,"Plan1";#N/A,#N/A,FALSE,"Plan2"}</definedName>
    <definedName name="hjkchkvjhdjkgh" localSheetId="9">{#N/A,#N/A,FALSE,"Plan1";#N/A,#N/A,FALSE,"Plan2"}</definedName>
    <definedName name="hjkfjdyht" localSheetId="9">{#N/A,#N/A,FALSE,"Plan1";#N/A,#N/A,FALSE,"Plan2"}</definedName>
    <definedName name="hjsdffe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9">{#N/A,#N/A,FALSE,"Plan1";#N/A,#N/A,FALSE,"Plan2"}</definedName>
    <definedName name="hjsrdfre" localSheetId="9">{"Econ Consolidado",#N/A,FALSE,"Econ Consol";"Fluxo de Caixa",#N/A,FALSE,"Fluxo Caixa";"Investimentos",#N/A,FALSE,"Investimentos"}</definedName>
    <definedName name="HKewewsr" localSheetId="9">{#N/A,#N/A,FALSE,"Plan1";#N/A,#N/A,FALSE,"Plan2"}</definedName>
    <definedName name="hkhdskacd" localSheetId="9">{#N/A,#N/A,FALSE,"Plan1";#N/A,#N/A,FALSE,"Plan2"}</definedName>
    <definedName name="hkjfgfhgfh" localSheetId="9">{#N/A,#N/A,FALSE,"Plan1";#N/A,#N/A,FALSE,"Plan2"}</definedName>
    <definedName name="hkjfhgjkfhghfg" localSheetId="9">{#N/A,#N/A,FALSE,"Plan1";#N/A,#N/A,FALSE,"Plan2"}</definedName>
    <definedName name="HKLZHFRH" localSheetId="9">{#N/A,#N/A,FALSE,"Plan1";#N/A,#N/A,FALSE,"Plan2"}</definedName>
    <definedName name="ho" localSheetId="9">{#N/A,#N/A,FALSE,"TABLE"}</definedName>
    <definedName name="HOJE" localSheetId="9">#REF!</definedName>
    <definedName name="HONORARIOS" localSheetId="9">#REF!</definedName>
    <definedName name="HOSPEDES" localSheetId="9">#REF!</definedName>
    <definedName name="HOTEL" localSheetId="9">#REF!</definedName>
    <definedName name="hrterte" localSheetId="9">{#N/A,#N/A,FALSE,"Plan1";#N/A,#N/A,FALSE,"Plan2"}</definedName>
    <definedName name="hsdf" localSheetId="9">{#N/A,#N/A,FALSE,"Plan1";#N/A,#N/A,FALSE,"Plan2"}</definedName>
    <definedName name="hsdfgdgudrt" localSheetId="9">{#N/A,#N/A,FALSE,"Plan1";#N/A,#N/A,FALSE,"Plan2"}</definedName>
    <definedName name="hsdfjkdhur" localSheetId="9">{#N/A,#N/A,FALSE,"Plan1";#N/A,#N/A,FALSE,"Plan2"}</definedName>
    <definedName name="hsdgftdht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9">{#N/A,#N/A,FALSE,"Plan1";#N/A,#N/A,FALSE,"Plan2"}</definedName>
    <definedName name="hsdjffe" localSheetId="9">{#N/A,#N/A,FALSE,"Plan1";#N/A,#N/A,FALSE,"Plan2"}</definedName>
    <definedName name="HSFIHDTR" localSheetId="9">{"Econ Consolidado",#N/A,FALSE,"Econ Consol";"Fluxo de Caixa",#N/A,FALSE,"Fluxo Caixa";"Investimentos",#N/A,FALSE,"Investimentos"}</definedName>
    <definedName name="hsfjkdshrgf" localSheetId="9">{#N/A,#N/A,FALSE,"Plan1";#N/A,#N/A,FALSE,"Plan2"}</definedName>
    <definedName name="hthhrtetdre" localSheetId="9">{#N/A,#N/A,FALSE,"Plan1";#N/A,#N/A,FALSE,"Plan2"}</definedName>
    <definedName name="HTM" localSheetId="9">#REF!</definedName>
    <definedName name="HTML_Control" localSheetId="9">{"'장비'!$A$3:$M$12"}</definedName>
    <definedName name="HTML2_CONTROL" localSheetId="9">{"'Estimativa de Lançamento-JAN'!$A$1:$AI$85"}</definedName>
    <definedName name="HTML3_CONTROL" localSheetId="9">{"'Estimativa de Lançamento-JAN'!$A$1:$AI$85"}</definedName>
    <definedName name="HTMLControl" localSheetId="9">{"'Edit'!$A$1:$V$2277"}</definedName>
    <definedName name="HTN" localSheetId="9">#REF!</definedName>
    <definedName name="HVJKHGKFXHFD" localSheetId="9">{#N/A,#N/A,FALSE,"Plan1";#N/A,#N/A,FALSE,"Plan2"}</definedName>
    <definedName name="hwekjhekhf" localSheetId="9">{#N/A,#N/A,FALSE,"Plan1";#N/A,#N/A,FALSE,"Plan2"}</definedName>
    <definedName name="HXFRE" localSheetId="9">{#N/A,#N/A,FALSE,"Plan1";#N/A,#N/A,FALSE,"Plan2"}</definedName>
    <definedName name="HXKJFGDKHG" localSheetId="9">{#N/A,#N/A,FALSE,"Plan1";#N/A,#N/A,FALSE,"Plan2"}</definedName>
    <definedName name="I" localSheetId="9">#REF!</definedName>
    <definedName name="ibir_cdi" localSheetId="9">#REF!</definedName>
    <definedName name="ibir_hist" localSheetId="9">#REF!</definedName>
    <definedName name="ibir_uss" localSheetId="9">#REF!</definedName>
    <definedName name="icoa_cdi" localSheetId="9">#REF!</definedName>
    <definedName name="icoa_hist" localSheetId="9">#REF!</definedName>
    <definedName name="icoa_uss" localSheetId="9">#REF!</definedName>
    <definedName name="Identificação" localSheetId="9">#REF!</definedName>
    <definedName name="idfhgkjhfkthy" localSheetId="9">{#N/A,#N/A,FALSE,"Plan1";#N/A,#N/A,FALSE,"Plan2"}</definedName>
    <definedName name="ieroweft" localSheetId="9">{#N/A,#N/A,FALSE,"Plan1";#N/A,#N/A,FALSE,"Plan2"}</definedName>
    <definedName name="iewpotqi5poejy" localSheetId="9">{#N/A,#N/A,FALSE,"Plan1";#N/A,#N/A,FALSE,"Plan2"}</definedName>
    <definedName name="ihdfifguhgfuiyh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eidhgufr" localSheetId="9">#REF!</definedName>
    <definedName name="ihfdkjhktgrd" localSheetId="9">{#N/A,#N/A,FALSE,"Plan1";#N/A,#N/A,FALSE,"Plan2"}</definedName>
    <definedName name="ihrtetw4r" localSheetId="9">{#N/A,#N/A,FALSE,"Plan1";#N/A,#N/A,FALSE,"Plan2"}</definedName>
    <definedName name="II" localSheetId="9">#REF!</definedName>
    <definedName name="IIASDSAWE" localSheetId="9">{"Econ Consolidado",#N/A,FALSE,"Econ Consol";"Fluxo de Caixa",#N/A,FALSE,"Fluxo Caixa";"Investimentos",#N/A,FALSE,"Investimentos"}</definedName>
    <definedName name="III" localSheetId="9">#REF!</definedName>
    <definedName name="iinstalações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9">{#N/A,#N/A,FALSE,"Plan1";#N/A,#N/A,FALSE,"Plan2"}</definedName>
    <definedName name="ilsdr4wf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M" localSheetId="9">#REF!</definedName>
    <definedName name="IMP" localSheetId="9">#REF!</definedName>
    <definedName name="IMPERMEABILIZ." localSheetId="9">#REF!</definedName>
    <definedName name="IMPF" localSheetId="9">#REF!</definedName>
    <definedName name="IMPI" localSheetId="9">#REF!</definedName>
    <definedName name="IMPOSTO" localSheetId="9">#REF!</definedName>
    <definedName name="INCC" localSheetId="9">#REF!</definedName>
    <definedName name="Incorido_Aplicado_X_Físico" localSheetId="9">#REF!</definedName>
    <definedName name="INCORPORAÇÃO" localSheetId="9">#REF!</definedName>
    <definedName name="Index" localSheetId="9">#REF!</definedName>
    <definedName name="Indice" localSheetId="9">#REF!</definedName>
    <definedName name="indice_correcao_proj" localSheetId="9">#REF!</definedName>
    <definedName name="infra" localSheetId="9">#REF!</definedName>
    <definedName name="Infra_OBra_Sienge" localSheetId="9">#REF!</definedName>
    <definedName name="Infra_Projetos_Sienge" localSheetId="9">#REF!</definedName>
    <definedName name="INFRA2" localSheetId="9">#REF!</definedName>
    <definedName name="Insatalações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S_Bloqueado_Fin_Medição" localSheetId="9">#REF!</definedName>
    <definedName name="Inss_Bloqueado_Previsão_Fin_Medições" localSheetId="9">#REF!</definedName>
    <definedName name="instalaçoes2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U" localSheetId="9">OFFSET(#REF!,0,0,COUNTA(#REF!),1)</definedName>
    <definedName name="INSUMOS" localSheetId="9">#REF!</definedName>
    <definedName name="INT.FILTRO.NBASE" localSheetId="9">#REF!</definedName>
    <definedName name="INTEGRA" localSheetId="9">{"'Edit'!$A$1:$V$2277"}</definedName>
    <definedName name="ioeriotyt" localSheetId="9">{#N/A,#N/A,FALSE,"Plan1";#N/A,#N/A,FALSE,"Plan2"}</definedName>
    <definedName name="iohudtorh" localSheetId="9">{#N/A,#N/A,FALSE,"Plan1";#N/A,#N/A,FALSE,"Plan2"}</definedName>
    <definedName name="iojtkheayed" localSheetId="9">{#N/A,#N/A,FALSE,"Plan1";#N/A,#N/A,FALSE,"Plan2"}</definedName>
    <definedName name="iouweroieuw4" localSheetId="9">{#N/A,#N/A,FALSE,"Plan1";#N/A,#N/A,FALSE,"Plan2"}</definedName>
    <definedName name="iphifpgh" localSheetId="9">{#N/A,#N/A,FALSE,"Plan1";#N/A,#N/A,FALSE,"Plan2"}</definedName>
    <definedName name="IPMF" localSheetId="9">#REF!</definedName>
    <definedName name="ipodsifgpds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9">{#N/A,#N/A,FALSE,"Plan1";#N/A,#N/A,FALSE,"Plan2"}</definedName>
    <definedName name="IR_diferido" localSheetId="9">#REF!</definedName>
    <definedName name="ISOPOR" localSheetId="9">#REF!</definedName>
    <definedName name="ISS" localSheetId="9">#REF!</definedName>
    <definedName name="ItalieNS" localSheetId="9">#REF!</definedName>
    <definedName name="ItalieNT" localSheetId="9">#REF!</definedName>
    <definedName name="itc_cdi" localSheetId="9">#REF!</definedName>
    <definedName name="itc_hist" localSheetId="9">#REF!</definedName>
    <definedName name="itc_uss" localSheetId="9">#REF!</definedName>
    <definedName name="item_1" localSheetId="9">#REF!</definedName>
    <definedName name="ITEMCONT" localSheetId="9">#REF!</definedName>
    <definedName name="ITEMDER" localSheetId="9">#REF!</definedName>
    <definedName name="ITEMIZAÇÃO" localSheetId="9">#REF!</definedName>
    <definedName name="ITEMIZAÇÃO_2" localSheetId="9">#REF!</definedName>
    <definedName name="ITEMIZAÇÃO_3" localSheetId="9">#REF!</definedName>
    <definedName name="ITEMIZAÇÃO_4" localSheetId="9">#REF!</definedName>
    <definedName name="ITEMIZAÇÃO_5" localSheetId="9">#REF!</definedName>
    <definedName name="ITEMIZAÇÃO_7" localSheetId="9">#REF!</definedName>
    <definedName name="ITEMIZAÇÃO_8" localSheetId="9">#REF!</definedName>
    <definedName name="ITEMR20" localSheetId="9">#REF!</definedName>
    <definedName name="ITEM별상세업무분장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NS" localSheetId="9">#REF!</definedName>
    <definedName name="ITENS0" localSheetId="9">#REF!</definedName>
    <definedName name="ITENS1" localSheetId="9">#REF!</definedName>
    <definedName name="ITENSP" localSheetId="9">#REF!</definedName>
    <definedName name="ITENSPMED" localSheetId="9">#REF!</definedName>
    <definedName name="IUGFGDFUY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V" localSheetId="9">#REF!</definedName>
    <definedName name="iyguygiyt" localSheetId="9">{#N/A,#N/A,FALSE,"Plan1";#N/A,#N/A,FALSE,"Plan2"}</definedName>
    <definedName name="iyuyheturtd" localSheetId="9">{#N/A,#N/A,FALSE,"Plan1";#N/A,#N/A,FALSE,"Plan2"}</definedName>
    <definedName name="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9">{#N/A,#N/A,FALSE,"Plan1";#N/A,#N/A,FALSE,"Plan2"}</definedName>
    <definedName name="jan_05" localSheetId="9">#REF!</definedName>
    <definedName name="jan17RJ" localSheetId="9">#REF!</definedName>
    <definedName name="JANEIRO2001" localSheetId="9">#REF!</definedName>
    <definedName name="JASDJS" localSheetId="9">{#N/A,#N/A,FALSE,"Plan1";#N/A,#N/A,FALSE,"Plan2"}</definedName>
    <definedName name="jaskldjlse" localSheetId="9">{#N/A,#N/A,FALSE,"Plan1";#N/A,#N/A,FALSE,"Plan2"}</definedName>
    <definedName name="JASLDKLD" localSheetId="9">{#N/A,#N/A,FALSE,"Plan1";#N/A,#N/A,FALSE,"Plan2"}</definedName>
    <definedName name="jasoe" localSheetId="9">#REF!</definedName>
    <definedName name="jbzxffcbgdhgft" localSheetId="9">#REF!</definedName>
    <definedName name="JÇDFHDF" localSheetId="9">{"Econ Consolidado",#N/A,FALSE,"Econ Consol";"Fluxo de Caixa",#N/A,FALSE,"Fluxo Caixa";"Investimentos",#N/A,FALSE,"Investimentos"}</definedName>
    <definedName name="jdbgftbhr" localSheetId="9">{#N/A,#N/A,FALSE,"Plan1";#N/A,#N/A,FALSE,"Plan2"}</definedName>
    <definedName name="jdfgkrhgft" localSheetId="9">#REF!</definedName>
    <definedName name="jdfgldfjgklh" localSheetId="9">{#N/A,#N/A,FALSE,"Plan1";#N/A,#N/A,FALSE,"Plan2"}</definedName>
    <definedName name="jdfhjkdrhjtkg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9">{#N/A,#N/A,FALSE,"Plan1";#N/A,#N/A,FALSE,"Plan2"}</definedName>
    <definedName name="JDFJLDJR" localSheetId="9">{#N/A,#N/A,FALSE,"Plan1";#N/A,#N/A,FALSE,"Plan2"}</definedName>
    <definedName name="jdfkgitfgdrtt" localSheetId="9">{#N/A,#N/A,FALSE,"Plan1";#N/A,#N/A,FALSE,"Plan2"}</definedName>
    <definedName name="JDFKHFKJ" localSheetId="9">{#N/A,#N/A,FALSE,"Plan1";#N/A,#N/A,FALSE,"Plan2"}</definedName>
    <definedName name="jdfklgtdtr" localSheetId="9">{#N/A,#N/A,FALSE,"Plan1";#N/A,#N/A,FALSE,"Plan2"}</definedName>
    <definedName name="JDFKTHRT" localSheetId="9">{#N/A,#N/A,FALSE,"Plan1";#N/A,#N/A,FALSE,"Plan2"}</definedName>
    <definedName name="JDFLKJDRF" localSheetId="9">{#N/A,#N/A,FALSE,"Plan1";#N/A,#N/A,FALSE,"Plan2"}</definedName>
    <definedName name="jdfzlkjgfdht" localSheetId="9">{#N/A,#N/A,FALSE,"Plan1";#N/A,#N/A,FALSE,"Plan2"}</definedName>
    <definedName name="jdglhfghkt" localSheetId="9">{#N/A,#N/A,FALSE,"Plan1";#N/A,#N/A,FALSE,"Plan2"}</definedName>
    <definedName name="jdhfjdhgfd" localSheetId="9">{#N/A,#N/A,FALSE,"Plan1";#N/A,#N/A,FALSE,"Plan2"}</definedName>
    <definedName name="jdjdjdjd" localSheetId="9">{#N/A,#N/A,FALSE,"명세표"}</definedName>
    <definedName name="jdkfhgjhf" localSheetId="9">{#N/A,#N/A,FALSE,"Plan1";#N/A,#N/A,FALSE,"Plan2"}</definedName>
    <definedName name="jdkfjdtr" localSheetId="9">{#N/A,#N/A,FALSE,"Plan1";#N/A,#N/A,FALSE,"Plan2"}</definedName>
    <definedName name="jdljgftldjti5r" localSheetId="9">{#N/A,#N/A,FALSE,"Plan1";#N/A,#N/A,FALSE,"Plan2"}</definedName>
    <definedName name="JDLKJDASGF" localSheetId="9">{#N/A,#N/A,FALSE,"Plan1";#N/A,#N/A,FALSE,"Plan2"}</definedName>
    <definedName name="jdrfkdjfghrtfjg" localSheetId="9">{#N/A,#N/A,FALSE,"Plan1";#N/A,#N/A,FALSE,"Plan2"}</definedName>
    <definedName name="jdskfhdk" localSheetId="9">{#N/A,#N/A,FALSE,"Plan1";#N/A,#N/A,FALSE,"Plan2"}</definedName>
    <definedName name="JDSKLGKDRHGGF" localSheetId="9">{#N/A,#N/A,FALSE,"Plan1";#N/A,#N/A,FALSE,"Plan2"}</definedName>
    <definedName name="jefsgfr" localSheetId="9">{#N/A,#N/A,FALSE,"Plan1";#N/A,#N/A,FALSE,"Plan2"}</definedName>
    <definedName name="JERHIEHYURE" localSheetId="9">{#N/A,#N/A,FALSE,"Plan1";#N/A,#N/A,FALSE,"Plan2"}</definedName>
    <definedName name="jfddlsrtyty" localSheetId="9">{#N/A,#N/A,FALSE,"Plan1";#N/A,#N/A,FALSE,"Plan2"}</definedName>
    <definedName name="jfdjtgdjghitfyh" localSheetId="9">{#N/A,#N/A,FALSE,"Plan1";#N/A,#N/A,FALSE,"Plan2"}</definedName>
    <definedName name="jfdkgkftftg" localSheetId="9">{#N/A,#N/A,FALSE,"Plan1";#N/A,#N/A,FALSE,"Plan2"}</definedName>
    <definedName name="jfghjkfdhtkyru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9">{#N/A,#N/A,FALSE,"Plan1";#N/A,#N/A,FALSE,"Plan2"}</definedName>
    <definedName name="jfgkflcnjkglc" localSheetId="9">{#N/A,#N/A,FALSE,"Plan1";#N/A,#N/A,FALSE,"Plan2"}</definedName>
    <definedName name="JFHRE" localSheetId="9">{#N/A,#N/A,FALSE,"Plan1";#N/A,#N/A,FALSE,"Plan2"}</definedName>
    <definedName name="jfkdls5jtirjd" localSheetId="9">{#N/A,#N/A,FALSE,"Plan1";#N/A,#N/A,FALSE,"Plan2"}</definedName>
    <definedName name="jfkljdkfcj" localSheetId="9">{#N/A,#N/A,FALSE,"Plan1";#N/A,#N/A,FALSE,"Plan2"}</definedName>
    <definedName name="jfkrhdtghdut" localSheetId="9">{#N/A,#N/A,FALSE,"Plan1";#N/A,#N/A,FALSE,"Plan2"}</definedName>
    <definedName name="JFRESR" localSheetId="9">{#N/A,#N/A,FALSE,"Plan1";#N/A,#N/A,FALSE,"Plan2"}</definedName>
    <definedName name="jgdfdgfjgdj" localSheetId="9">{#N/A,#N/A,FALSE,"Plan1";#N/A,#N/A,FALSE,"Plan2"}</definedName>
    <definedName name="jgdfght" localSheetId="9">{#N/A,#N/A,FALSE,"Plan1";#N/A,#N/A,FALSE,"Plan2"}</definedName>
    <definedName name="jgfgdsgfdhrf" localSheetId="9">{#N/A,#N/A,FALSE,"Plan1";#N/A,#N/A,FALSE,"Plan2"}</definedName>
    <definedName name="JGFJGTFT" localSheetId="9">{#N/A,#N/A,FALSE,"Plan1";#N/A,#N/A,FALSE,"Plan2"}</definedName>
    <definedName name="jgkjkhjuftgi" localSheetId="9">{#N/A,#N/A,FALSE,"Plan1";#N/A,#N/A,FALSE,"Plan2"}</definedName>
    <definedName name="jh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9">{#N/A,#N/A,FALSE,"Plan1";#N/A,#N/A,FALSE,"Plan2"}</definedName>
    <definedName name="jhdfjkhtrdhf" localSheetId="9">{#N/A,#N/A,FALSE,"Plan1";#N/A,#N/A,FALSE,"Plan2"}</definedName>
    <definedName name="jhdfuthr" localSheetId="9">{#N/A,#N/A,FALSE,"Plan1";#N/A,#N/A,FALSE,"Plan2"}</definedName>
    <definedName name="JHDFZGRDHF" localSheetId="9">{"Econ Consolidado",#N/A,FALSE,"Econ Consol";"Fluxo de Caixa",#N/A,FALSE,"Fluxo Caixa";"Investimentos",#N/A,FALSE,"Investimentos"}</definedName>
    <definedName name="JHERKHKFGH" localSheetId="9">{#N/A,#N/A,FALSE,"Plan1";#N/A,#N/A,FALSE,"Plan2"}</definedName>
    <definedName name="jhfhhztfhe" localSheetId="9">#REF!</definedName>
    <definedName name="JHGKJFJFJGL" localSheetId="9">{#N/A,#N/A,FALSE,"Plan1";#N/A,#N/A,FALSE,"Plan2"}</definedName>
    <definedName name="jhsdjkhfuks" localSheetId="9">{#N/A,#N/A,FALSE,"Plan1";#N/A,#N/A,FALSE,"Plan2"}</definedName>
    <definedName name="jisdrkje" localSheetId="9">{#N/A,#N/A,FALSE,"Plan1";#N/A,#N/A,FALSE,"Plan2"}</definedName>
    <definedName name="jishfrieyhtau" localSheetId="9">{#N/A,#N/A,FALSE,"Plan1";#N/A,#N/A,FALSE,"Plan2"}</definedName>
    <definedName name="jiu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9">{"'Apr-00'!$B$4:$AD$44"}</definedName>
    <definedName name="jjfdsktyhhy" localSheetId="9">{#N/A,#N/A,FALSE,"Plan1";#N/A,#N/A,FALSE,"Plan2"}</definedName>
    <definedName name="jjjjjjjjjjjjjjjjjjjj" localSheetId="9">#REF!</definedName>
    <definedName name="jjkjkjk" localSheetId="9">{#N/A,#N/A,FALSE,"Plan1";#N/A,#N/A,FALSE,"Plan2"}</definedName>
    <definedName name="JKDCK" localSheetId="9">{#N/A,#N/A,FALSE,"Plan1";#N/A,#N/A,FALSE,"Plan2"}</definedName>
    <definedName name="JKDFHKHFR" localSheetId="9">{#N/A,#N/A,FALSE,"Plan1";#N/A,#N/A,FALSE,"Plan2"}</definedName>
    <definedName name="JKDFTRDRJ" localSheetId="9">{#N/A,#N/A,FALSE,"Plan1";#N/A,#N/A,FALSE,"Plan2"}</definedName>
    <definedName name="jkdhfukhddf" localSheetId="9">{#N/A,#N/A,FALSE,"Plan1";#N/A,#N/A,FALSE,"Plan2"}</definedName>
    <definedName name="JKDRKGJHTDR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9">{#N/A,#N/A,FALSE,"Plan1";#N/A,#N/A,FALSE,"Plan2"}</definedName>
    <definedName name="jkfhjgkfhghh" localSheetId="9">{#N/A,#N/A,FALSE,"Plan1";#N/A,#N/A,FALSE,"Plan2"}</definedName>
    <definedName name="jkhderjkhes" localSheetId="9">{#N/A,#N/A,FALSE,"Plan1";#N/A,#N/A,FALSE,"Plan2"}</definedName>
    <definedName name="jkhdfhfd" localSheetId="9">{#N/A,#N/A,FALSE,"Plan1";#N/A,#N/A,FALSE,"Plan2"}</definedName>
    <definedName name="jkhfhest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9">{#N/A,#N/A,FALSE,"Plan1";#N/A,#N/A,FALSE,"Plan2"}</definedName>
    <definedName name="JKHGDHFUHTG" localSheetId="9">{#N/A,#N/A,FALSE,"Plan1";#N/A,#N/A,FALSE,"Plan2"}</definedName>
    <definedName name="jkhsdzjkfyiu" localSheetId="9">{#N/A,#N/A,FALSE,"Plan1";#N/A,#N/A,FALSE,"Plan2"}</definedName>
    <definedName name="jkjsdkhfdhrf" localSheetId="9">{#N/A,#N/A,FALSE,"Plan1";#N/A,#N/A,FALSE,"Plan2"}</definedName>
    <definedName name="jklgfsjgtjtg" localSheetId="9">{#N/A,#N/A,FALSE,"Plan1";#N/A,#N/A,FALSE,"Plan2"}</definedName>
    <definedName name="jksldfjsdhf" localSheetId="9">{#N/A,#N/A,FALSE,"Plan1";#N/A,#N/A,FALSE,"Plan2"}</definedName>
    <definedName name="jkxhcjkhfr" localSheetId="9">{#N/A,#N/A,FALSE,"Plan1";#N/A,#N/A,FALSE,"Plan2"}</definedName>
    <definedName name="JNGCKFKJFGH" localSheetId="9">{#N/A,#N/A,FALSE,"Plan1";#N/A,#N/A,FALSE,"Plan2"}</definedName>
    <definedName name="JOALDO" localSheetId="9">#REF!</definedName>
    <definedName name="joao_cdi" localSheetId="9">#REF!</definedName>
    <definedName name="joao_hist" localSheetId="9">#REF!</definedName>
    <definedName name="joao_uss" localSheetId="9">#REF!</definedName>
    <definedName name="JREJRW" localSheetId="9">{#N/A,#N/A,FALSE,"Plan1";#N/A,#N/A,FALSE,"Plan2"}</definedName>
    <definedName name="JSADKAH" localSheetId="9">{"Econ Consolidado",#N/A,FALSE,"Econ Consol";"Fluxo de Caixa",#N/A,FALSE,"Fluxo Caixa";"Investimentos",#N/A,FALSE,"Investimentos"}</definedName>
    <definedName name="JSDAJRE" localSheetId="9">{#N/A,#N/A,FALSE,"Plan1";#N/A,#N/A,FALSE,"Plan2"}</definedName>
    <definedName name="jsdffse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9">{#N/A,#N/A,FALSE,"Plan1";#N/A,#N/A,FALSE,"Plan2"}</definedName>
    <definedName name="jsdfkgnfr" localSheetId="9">#REF!</definedName>
    <definedName name="jsdfsdfd" localSheetId="9">{#N/A,#N/A,FALSE,"Plan1";#N/A,#N/A,FALSE,"Plan2"}</definedName>
    <definedName name="jsdljficd" localSheetId="9">{#N/A,#N/A,FALSE,"Plan1";#N/A,#N/A,FALSE,"Plan2"}</definedName>
    <definedName name="JSDTLFJDRG" localSheetId="9">{#N/A,#N/A,FALSE,"Plan1";#N/A,#N/A,FALSE,"Plan2"}</definedName>
    <definedName name="jsfjsjferwea" localSheetId="9">{#N/A,#N/A,FALSE,"Plan1";#N/A,#N/A,FALSE,"Plan2"}</definedName>
    <definedName name="jslrjer" localSheetId="9">{#N/A,#N/A,FALSE,"Plan1";#N/A,#N/A,FALSE,"Plan2"}</definedName>
    <definedName name="juklhkhdf" localSheetId="9">{#N/A,#N/A,FALSE,"Plan1";#N/A,#N/A,FALSE,"Plan2"}</definedName>
    <definedName name="jul17RJ" localSheetId="9">#REF!</definedName>
    <definedName name="JULHO" localSheetId="9">#REF!</definedName>
    <definedName name="JULHO2001" localSheetId="9">#REF!</definedName>
    <definedName name="JULHO99" localSheetId="9">{#N/A,#N/A,TRUE,"Quinzena 01 à 15-04-98 "}</definedName>
    <definedName name="jun17RJ" localSheetId="9">#REF!</definedName>
    <definedName name="JUNHO" localSheetId="9">#REF!</definedName>
    <definedName name="JUNHO2001" localSheetId="9">#REF!</definedName>
    <definedName name="JurosTpMes" localSheetId="9">#REF!</definedName>
    <definedName name="jwekljd" localSheetId="9">{#N/A,#N/A,FALSE,"Plan1";#N/A,#N/A,FALSE,"Plan2"}</definedName>
    <definedName name="JWEOITORU5Y" localSheetId="9">{#N/A,#N/A,FALSE,"Plan1";#N/A,#N/A,FALSE,"Plan2"}</definedName>
    <definedName name="jxdfjsrf" localSheetId="9">{#N/A,#N/A,FALSE,"Plan1";#N/A,#N/A,FALSE,"Plan2"}</definedName>
    <definedName name="jxdklfjv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Y" localSheetId="9">#REF!</definedName>
    <definedName name="jzsdjkszl" localSheetId="9">{#N/A,#N/A,FALSE,"Plan1";#N/A,#N/A,FALSE,"Plan2"}</definedName>
    <definedName name="JZXFKLJLDJF" localSheetId="9">{#N/A,#N/A,FALSE,"Plan1";#N/A,#N/A,FALSE,"Plan2"}</definedName>
    <definedName name="jzxklfdlvgfg" localSheetId="9">{#N/A,#N/A,FALSE,"Plan1";#N/A,#N/A,FALSE,"Plan2"}</definedName>
    <definedName name="k" localSheetId="9">{#N/A,#N/A,FALSE,"Plan1";#N/A,#N/A,FALSE,"Plan2"}</definedName>
    <definedName name="K_1" localSheetId="9">#REF!</definedName>
    <definedName name="kaedkroswr" localSheetId="9">{"Econ Consolidado",#N/A,FALSE,"Econ Consol";"Fluxo de Caixa",#N/A,FALSE,"Fluxo Caixa";"Investimentos",#N/A,FALSE,"Investimentos"}</definedName>
    <definedName name="kapa" localSheetId="9">#REF!</definedName>
    <definedName name="kçdasekr" localSheetId="9">{#N/A,#N/A,FALSE,"Plan1";#N/A,#N/A,FALSE,"Plan2"}</definedName>
    <definedName name="kçfdljtredr" localSheetId="9">{#N/A,#N/A,FALSE,"Plan1";#N/A,#N/A,FALSE,"Plan2"}</definedName>
    <definedName name="KCIVIL" localSheetId="9">#REF!</definedName>
    <definedName name="kclçkglf" localSheetId="9">{#N/A,#N/A,FALSE,"Plan1";#N/A,#N/A,FALSE,"Plan2"}</definedName>
    <definedName name="kçlkasçkere" localSheetId="9">{#N/A,#N/A,FALSE,"Plan1";#N/A,#N/A,FALSE,"Plan2"}</definedName>
    <definedName name="kdfbngtjkbf" localSheetId="9">{#N/A,#N/A,FALSE,"Plan1";#N/A,#N/A,FALSE,"Plan2"}</definedName>
    <definedName name="kdfhkghkrh" localSheetId="9">{#N/A,#N/A,FALSE,"Plan1";#N/A,#N/A,FALSE,"Plan2"}</definedName>
    <definedName name="kdfier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9">{#N/A,#N/A,FALSE,"Plan1";#N/A,#N/A,FALSE,"Plan2"}</definedName>
    <definedName name="kdfljlfr" localSheetId="9">{#N/A,#N/A,FALSE,"Plan1";#N/A,#N/A,FALSE,"Plan2"}</definedName>
    <definedName name="kdhfgkdfhytgu" localSheetId="9">{#N/A,#N/A,FALSE,"Plan1";#N/A,#N/A,FALSE,"Plan2"}</definedName>
    <definedName name="kdhgftfg" localSheetId="9">{#N/A,#N/A,FALSE,"Plan1";#N/A,#N/A,FALSE,"Plan2"}</definedName>
    <definedName name="KDHKFGKKHGF" localSheetId="9">{#N/A,#N/A,FALSE,"Plan1";#N/A,#N/A,FALSE,"Plan2"}</definedName>
    <definedName name="kdjfdr" localSheetId="9">#REF!</definedName>
    <definedName name="kdjgkfjgd" localSheetId="9">{#N/A,#N/A,FALSE,"Plan1";#N/A,#N/A,FALSE,"Plan2"}</definedName>
    <definedName name="kdjglkdlgjd" localSheetId="9">{#N/A,#N/A,FALSE,"Plan1";#N/A,#N/A,FALSE,"Plan2"}</definedName>
    <definedName name="kdjsfkldjgkty" localSheetId="9">{#N/A,#N/A,FALSE,"Plan1";#N/A,#N/A,FALSE,"Plan2"}</definedName>
    <definedName name="KDJU" localSheetId="9">{"'장비'!$A$3:$M$12"}</definedName>
    <definedName name="kdkjhgdkfhjk" localSheetId="9">{#N/A,#N/A,FALSE,"Plan1";#N/A,#N/A,FALSE,"Plan2"}</definedName>
    <definedName name="kdsf" localSheetId="9">{#N/A,#N/A,FALSE,"Plan1";#N/A,#N/A,FALSE,"Plan2"}</definedName>
    <definedName name="kdsr" localSheetId="9">{#N/A,#N/A,FALSE,"Plan1";#N/A,#N/A,FALSE,"Plan2"}</definedName>
    <definedName name="kergtfdstr" localSheetId="9">{#N/A,#N/A,FALSE,"Plan1";#N/A,#N/A,FALSE,"Plan2"}</definedName>
    <definedName name="kesp" localSheetId="9">#REF!</definedName>
    <definedName name="KFDKTHGT" localSheetId="9">{#N/A,#N/A,FALSE,"Plan1";#N/A,#N/A,FALSE,"Plan2"}</definedName>
    <definedName name="kfdxlfdzs" localSheetId="9">{"Econ Consolidado",#N/A,FALSE,"Econ Consol";"Fluxo de Caixa",#N/A,FALSE,"Fluxo Caixa";"Investimentos",#N/A,FALSE,"Investimentos"}</definedName>
    <definedName name="kfgkhjkjhy" localSheetId="9">{#N/A,#N/A,FALSE,"Plan1";#N/A,#N/A,FALSE,"Plan2"}</definedName>
    <definedName name="KFJFDSDF" localSheetId="9">{#N/A,#N/A,FALSE,"Plan1";#N/A,#N/A,FALSE,"Plan2"}</definedName>
    <definedName name="kfnkeasd" localSheetId="9">{#N/A,#N/A,FALSE,"Plan1";#N/A,#N/A,FALSE,"Plan2"}</definedName>
    <definedName name="khdjkfkjhtg" localSheetId="9">{#N/A,#N/A,FALSE,"Plan1";#N/A,#N/A,FALSE,"Plan2"}</definedName>
    <definedName name="khdkfjhhfsdg" localSheetId="9">{#N/A,#N/A,FALSE,"Plan1";#N/A,#N/A,FALSE,"Plan2"}</definedName>
    <definedName name="khdkjfhgudytu" localSheetId="9">{#N/A,#N/A,FALSE,"Plan1";#N/A,#N/A,FALSE,"Plan2"}</definedName>
    <definedName name="khfdghhhgd" localSheetId="9">{#N/A,#N/A,FALSE,"Plan1";#N/A,#N/A,FALSE,"Plan2"}</definedName>
    <definedName name="khfdkjhsdjf" localSheetId="9">{#N/A,#N/A,FALSE,"Plan1";#N/A,#N/A,FALSE,"Plan2"}</definedName>
    <definedName name="khgdkftfy" localSheetId="9">{#N/A,#N/A,FALSE,"Plan1";#N/A,#N/A,FALSE,"Plan2"}</definedName>
    <definedName name="khgfhhtuhf" localSheetId="9">{#N/A,#N/A,FALSE,"Plan1";#N/A,#N/A,FALSE,"Plan2"}</definedName>
    <definedName name="khjkh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9">{#N/A,#N/A,FALSE,"Plan1";#N/A,#N/A,FALSE,"Plan2"}</definedName>
    <definedName name="kieret" localSheetId="9">{#N/A,#N/A,FALSE,"Plan1";#N/A,#N/A,FALSE,"Plan2"}</definedName>
    <definedName name="kiweokwr" localSheetId="9">#REF!</definedName>
    <definedName name="kjchkfhsezk" localSheetId="9">{#N/A,#N/A,FALSE,"Plan1";#N/A,#N/A,FALSE,"Plan2"}</definedName>
    <definedName name="kjdghksef" localSheetId="9">{#N/A,#N/A,FALSE,"Plan1";#N/A,#N/A,FALSE,"Plan2"}</definedName>
    <definedName name="kjdkftyhtert" localSheetId="9">{#N/A,#N/A,FALSE,"Plan1";#N/A,#N/A,FALSE,"Plan2"}</definedName>
    <definedName name="kjdlfkjds" localSheetId="9">{#N/A,#N/A,FALSE,"Plan1";#N/A,#N/A,FALSE,"Plan2"}</definedName>
    <definedName name="kjdzhfytrfy" localSheetId="9">{#N/A,#N/A,FALSE,"Plan1";#N/A,#N/A,FALSE,"Plan2"}</definedName>
    <definedName name="kjhdfgjthdft" localSheetId="9">{#N/A,#N/A,FALSE,"Plan1";#N/A,#N/A,FALSE,"Plan2"}</definedName>
    <definedName name="kjhsdfk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9">{#N/A,#N/A,FALSE,"Plan1";#N/A,#N/A,FALSE,"Plan2"}</definedName>
    <definedName name="KJ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9">{#N/A,#N/A,FALSE,"Plan1";#N/A,#N/A,FALSE,"Plan2"}</definedName>
    <definedName name="kjl" localSheetId="9">{#N/A,#N/A,FALSE,"ENG'G(보호계전기)"}</definedName>
    <definedName name="KJOI" localSheetId="9">{#N/A,#N/A,FALSE,"Plan1";#N/A,#N/A,FALSE,"Plan2"}</definedName>
    <definedName name="kjqwerw" localSheetId="9">{#N/A,#N/A,FALSE,"Plan1";#N/A,#N/A,FALSE,"Plan2"}</definedName>
    <definedName name="kjsfert" localSheetId="9">{#N/A,#N/A,FALSE,"Plan1";#N/A,#N/A,FALSE,"Plan2"}</definedName>
    <definedName name="KJXCFKR" localSheetId="9">{#N/A,#N/A,FALSE,"Plan1";#N/A,#N/A,FALSE,"Plan2"}</definedName>
    <definedName name="KJXDFD" localSheetId="9">{#N/A,#N/A,FALSE,"Plan1";#N/A,#N/A,FALSE,"Plan2"}</definedName>
    <definedName name="kjydhfkjghkjfh" localSheetId="9">#REF!</definedName>
    <definedName name="kk" localSheetId="9">#REF!</definedName>
    <definedName name="kk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9">{#N/A,#N/A,FALSE,"Plan1";#N/A,#N/A,FALSE,"Plan2"}</definedName>
    <definedName name="kkkkk" localSheetId="9">{#N/A,#N/A,FALSE,"Plan1";#N/A,#N/A,FALSE,"Plan2"}</definedName>
    <definedName name="kkkkkk" localSheetId="9">{#N/A,#N/A,FALSE,"Plan1";#N/A,#N/A,FALSE,"Plan2"}</definedName>
    <definedName name="kko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9">{#N/A,#N/A,FALSE,"Plan1";#N/A,#N/A,FALSE,"Plan2"}</definedName>
    <definedName name="kksarde" localSheetId="9">{#N/A,#N/A,FALSE,"Plan1";#N/A,#N/A,FALSE,"Plan2"}</definedName>
    <definedName name="klaskldjsw" localSheetId="9">{#N/A,#N/A,FALSE,"Plan1";#N/A,#N/A,FALSE,"Plan2"}</definedName>
    <definedName name="klçkop" localSheetId="9">{#N/A,#N/A,FALSE,"Plan1";#N/A,#N/A,FALSE,"Plan2"}</definedName>
    <definedName name="KLDFNTRDT" localSheetId="9">{#N/A,#N/A,FALSE,"Plan1";#N/A,#N/A,FALSE,"Plan2"}</definedName>
    <definedName name="klhjsdklhdf" localSheetId="9">{#N/A,#N/A,FALSE,"Plan1";#N/A,#N/A,FALSE,"Plan2"}</definedName>
    <definedName name="KLHSKLRHWE" localSheetId="9">{#N/A,#N/A,FALSE,"Plan1";#N/A,#N/A,FALSE,"Plan2"}</definedName>
    <definedName name="KLJASKJD" localSheetId="9">{#N/A,#N/A,FALSE,"Plan1";#N/A,#N/A,FALSE,"Plan2"}</definedName>
    <definedName name="KLJDXLG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9">{#N/A,#N/A,FALSE,"Plan1";#N/A,#N/A,FALSE,"Plan2"}</definedName>
    <definedName name="kljflgjrf" localSheetId="9">{#N/A,#N/A,FALSE,"Plan1";#N/A,#N/A,FALSE,"Plan2"}</definedName>
    <definedName name="kljgfdfr" localSheetId="9">{#N/A,#N/A,FALSE,"Plan1";#N/A,#N/A,FALSE,"Plan2"}</definedName>
    <definedName name="kljgfjrt" localSheetId="9">{#N/A,#N/A,FALSE,"Plan1";#N/A,#N/A,FALSE,"Plan2"}</definedName>
    <definedName name="kljlkdfj" localSheetId="9">{#N/A,#N/A,FALSE,"Plan1";#N/A,#N/A,FALSE,"Plan2"}</definedName>
    <definedName name="kljsakjfr" localSheetId="9">{#N/A,#N/A,FALSE,"Plan1";#N/A,#N/A,FALSE,"Plan2"}</definedName>
    <definedName name="kljsdje" localSheetId="9">{#N/A,#N/A,FALSE,"Plan1";#N/A,#N/A,FALSE,"Plan2"}</definedName>
    <definedName name="kljsfwe" localSheetId="9">{#N/A,#N/A,FALSE,"Plan1";#N/A,#N/A,FALSE,"Plan2"}</definedName>
    <definedName name="klk" localSheetId="9">{#N/A,#N/A,FALSE,"Plan1";#N/A,#N/A,FALSE,"Plan2"}</definedName>
    <definedName name="KLKKLKÇJÇ" localSheetId="9">{#N/A,#N/A,FALSE,"Plan1";#N/A,#N/A,FALSE,"Plan2"}</definedName>
    <definedName name="KLSDFT" localSheetId="9">{#N/A,#N/A,FALSE,"Plan1";#N/A,#N/A,FALSE,"Plan2"}</definedName>
    <definedName name="KLSDHSJKHF" localSheetId="9">{#N/A,#N/A,FALSE,"Plan1";#N/A,#N/A,FALSE,"Plan2"}</definedName>
    <definedName name="klsdkre" localSheetId="9">{#N/A,#N/A,FALSE,"Plan1";#N/A,#N/A,FALSE,"Plan2"}</definedName>
    <definedName name="KLSIDJE" localSheetId="9">{#N/A,#N/A,FALSE,"Plan1";#N/A,#N/A,FALSE,"Plan2"}</definedName>
    <definedName name="klsjarsf" localSheetId="9">{#N/A,#N/A,FALSE,"Plan1";#N/A,#N/A,FALSE,"Plan2"}</definedName>
    <definedName name="klsjdwe" localSheetId="9">#REF!</definedName>
    <definedName name="klxhjfdkhser" localSheetId="9">{#N/A,#N/A,FALSE,"Plan1";#N/A,#N/A,FALSE,"Plan2"}</definedName>
    <definedName name="kopipnsdfne" localSheetId="9">{#N/A,#N/A,FALSE,"Plan1";#N/A,#N/A,FALSE,"Plan2"}</definedName>
    <definedName name="kp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9">{#N/A,#N/A,FALSE,"Plan1";#N/A,#N/A,FALSE,"Plan2"}</definedName>
    <definedName name="ksdlkfsçzd" localSheetId="9">{#N/A,#N/A,FALSE,"Plan1";#N/A,#N/A,FALSE,"Plan2"}</definedName>
    <definedName name="KSDNFK" localSheetId="9">#REF!</definedName>
    <definedName name="ksdoçierfe" localSheetId="9">{#N/A,#N/A,FALSE,"Plan1";#N/A,#N/A,FALSE,"Plan2"}</definedName>
    <definedName name="ksdtrdrkf" localSheetId="9">{#N/A,#N/A,FALSE,"Plan1";#N/A,#N/A,FALSE,"Plan2"}</definedName>
    <definedName name="KSFÇJDFJL" localSheetId="9">{#N/A,#N/A,FALSE,"Plan1";#N/A,#N/A,FALSE,"Plan2"}</definedName>
    <definedName name="ksfhse" localSheetId="9">{#N/A,#N/A,FALSE,"Plan1";#N/A,#N/A,FALSE,"Plan2"}</definedName>
    <definedName name="KSRKOE" localSheetId="9">{#N/A,#N/A,FALSE,"Plan1";#N/A,#N/A,FALSE,"Plan2"}</definedName>
    <definedName name="KSWKE" localSheetId="9">{#N/A,#N/A,FALSE,"Plan1";#N/A,#N/A,FALSE,"Plan2"}</definedName>
    <definedName name="kubus" localSheetId="9">#REF!</definedName>
    <definedName name="kubus1" localSheetId="9">#REF!</definedName>
    <definedName name="kysdusf" localSheetId="9">{#N/A,#N/A,FALSE,"Plan1";#N/A,#N/A,FALSE,"Plan2"}</definedName>
    <definedName name="kzslçdkçle" localSheetId="9">{#N/A,#N/A,FALSE,"Plan1";#N/A,#N/A,FALSE,"Plan2"}</definedName>
    <definedName name="L_" localSheetId="9">#REF!</definedName>
    <definedName name="LAEKWRK" localSheetId="9">{#N/A,#N/A,FALSE,"Plan1";#N/A,#N/A,FALSE,"Plan2"}</definedName>
    <definedName name="laeqwep" localSheetId="9">#REF!</definedName>
    <definedName name="LAKDEWRF" localSheetId="9">{#N/A,#N/A,FALSE,"Plan1";#N/A,#N/A,FALSE,"Plan2"}</definedName>
    <definedName name="Lancamentos" localSheetId="9">#REF!</definedName>
    <definedName name="LARGURA" localSheetId="9">#REF!</definedName>
    <definedName name="LASÇDSRLF" localSheetId="9">{#N/A,#N/A,FALSE,"Plan1";#N/A,#N/A,FALSE,"Plan2"}</definedName>
    <definedName name="lasrlswer" localSheetId="9">{#N/A,#N/A,FALSE,"Plan1";#N/A,#N/A,FALSE,"Plan2"}</definedName>
    <definedName name="LAZER" localSheetId="9">#REF!</definedName>
    <definedName name="lbla1" localSheetId="9">#REF!</definedName>
    <definedName name="lbla10" localSheetId="9">#REF!</definedName>
    <definedName name="lbla11" localSheetId="9">#REF!</definedName>
    <definedName name="lçadple4r" localSheetId="9">{#N/A,#N/A,FALSE,"Plan1";#N/A,#N/A,FALSE,"Plan2"}</definedName>
    <definedName name="lçasser" localSheetId="9">{#N/A,#N/A,FALSE,"Plan1";#N/A,#N/A,FALSE,"Plan2"}</definedName>
    <definedName name="lcdgjtklfrn" localSheetId="9">{#N/A,#N/A,FALSE,"Plan1";#N/A,#N/A,FALSE,"Plan2"}</definedName>
    <definedName name="lçfklsdkçaer" localSheetId="9">{#N/A,#N/A,FALSE,"Plan1";#N/A,#N/A,FALSE,"Plan2"}</definedName>
    <definedName name="lçjkgf" localSheetId="9">{#N/A,#N/A,FALSE,"Plan1";#N/A,#N/A,FALSE,"Plan2"}</definedName>
    <definedName name="LÇJSLDFJ" localSheetId="9">{#N/A,#N/A,FALSE,"Plan1";#N/A,#N/A,FALSE,"Plan2"}</definedName>
    <definedName name="LÇKÇSDRLK" localSheetId="9">{#N/A,#N/A,FALSE,"Plan1";#N/A,#N/A,FALSE,"Plan2"}</definedName>
    <definedName name="lçkl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9">{#N/A,#N/A,FALSE,"Plan1";#N/A,#N/A,FALSE,"Plan2"}</definedName>
    <definedName name="lçslrr4r" localSheetId="9">{#N/A,#N/A,FALSE,"Plan1";#N/A,#N/A,FALSE,"Plan2"}</definedName>
    <definedName name="ldfjgry" localSheetId="9">{#N/A,#N/A,FALSE,"Plan1";#N/A,#N/A,FALSE,"Plan2"}</definedName>
    <definedName name="ldfjgtilrf" localSheetId="9">{#N/A,#N/A,FALSE,"Plan1";#N/A,#N/A,FALSE,"Plan2"}</definedName>
    <definedName name="ldk" localSheetId="9">{#N/A,#N/A,FALSE,"Plan1";#N/A,#N/A,FALSE,"Plan2"}</definedName>
    <definedName name="ldkgkdfjgkh" localSheetId="9">{#N/A,#N/A,FALSE,"Plan1";#N/A,#N/A,FALSE,"Plan2"}</definedName>
    <definedName name="LDTJGR" localSheetId="9">{#N/A,#N/A,FALSE,"Plan1";#N/A,#N/A,FALSE,"Plan2"}</definedName>
    <definedName name="Leg" localSheetId="9">#REF!</definedName>
    <definedName name="legr_cdi" localSheetId="9">#REF!</definedName>
    <definedName name="legr_hist" localSheetId="9">#REF!</definedName>
    <definedName name="legr_uss" localSheetId="9">#REF!</definedName>
    <definedName name="LEKG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EVANTAMENTO" localSheetId="9">#REF!</definedName>
    <definedName name="lfjdjrt" localSheetId="9">{#N/A,#N/A,FALSE,"Plan1";#N/A,#N/A,FALSE,"Plan2"}</definedName>
    <definedName name="LI" localSheetId="9">#REF!</definedName>
    <definedName name="LIDER_OPER" localSheetId="9">#REF!</definedName>
    <definedName name="lidfjgklruf" localSheetId="9">{#N/A,#N/A,FALSE,"Plan1";#N/A,#N/A,FALSE,"Plan2"}</definedName>
    <definedName name="LII" localSheetId="9">#REF!</definedName>
    <definedName name="LIII" localSheetId="9">#REF!</definedName>
    <definedName name="LIMBO" localSheetId="9">#REF!</definedName>
    <definedName name="LIN" localSheetId="9">#REF!</definedName>
    <definedName name="list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A" localSheetId="9">#REF!</definedName>
    <definedName name="LISTA_CONTAS" localSheetId="9">#REF!</definedName>
    <definedName name="lista_empresa" localSheetId="9">OFFSET(INDEX(#REF!,MATCH(#REF!,#REF!,0)),1,0,COUNTA(#REF!)-1)</definedName>
    <definedName name="LISTA_FORNECEDORES" localSheetId="9">#REF!</definedName>
    <definedName name="LISTSEL" localSheetId="9">#REF!</definedName>
    <definedName name="listt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V" localSheetId="9">#REF!</definedName>
    <definedName name="LIX" localSheetId="9">#REF!</definedName>
    <definedName name="ljdfkgyt" localSheetId="9">{#N/A,#N/A,FALSE,"Plan1";#N/A,#N/A,FALSE,"Plan2"}</definedName>
    <definedName name="LJDFLJRL" localSheetId="9">{#N/A,#N/A,FALSE,"Plan1";#N/A,#N/A,FALSE,"Plan2"}</definedName>
    <definedName name="ljsdfrd" localSheetId="9">{#N/A,#N/A,FALSE,"Plan1";#N/A,#N/A,FALSE,"Plan2"}</definedName>
    <definedName name="LJSFLDJDLKFJG" localSheetId="9">#REF!</definedName>
    <definedName name="LK" localSheetId="9">{#N/A,#N/A,TRUE,"Quinzena 01 à 15-04-98 "}</definedName>
    <definedName name="lkasdkeo" localSheetId="9">{#N/A,#N/A,FALSE,"Plan1";#N/A,#N/A,FALSE,"Plan2"}</definedName>
    <definedName name="lkdeas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9">{#N/A,#N/A,FALSE,"Plan1";#N/A,#N/A,FALSE,"Plan2"}</definedName>
    <definedName name="lkfdkçtktr" localSheetId="9">{#N/A,#N/A,FALSE,"Plan1";#N/A,#N/A,FALSE,"Plan2"}</definedName>
    <definedName name="lkt" localSheetId="9">{#N/A,#N/A,FALSE,"Plan1";#N/A,#N/A,FALSE,"Plan2"}</definedName>
    <definedName name="lktlyklt" localSheetId="9">{#N/A,#N/A,FALSE,"Plan1";#N/A,#N/A,FALSE,"Plan2"}</definedName>
    <definedName name="LKTTYT" localSheetId="9">{#N/A,#N/A,FALSE,"Plan1";#N/A,#N/A,FALSE,"Plan2"}</definedName>
    <definedName name="llgg" localSheetId="9">{#N/A,#N/A,FALSE,"Plan1";#N/A,#N/A,FALSE,"Plan2"}</definedName>
    <definedName name="LLL" localSheetId="9">{#N/A,#N/A,FALSE,"Plan1";#N/A,#N/A,FALSE,"Plan2"}</definedName>
    <definedName name="LM_AR" localSheetId="9">{#N/A,#N/A,FALSE,"F-01"}</definedName>
    <definedName name="LM_AT" localSheetId="9">{#N/A,#N/A,FALSE,"F-01"}</definedName>
    <definedName name="LM_INC" localSheetId="9">{#N/A,#N/A,FALSE,"F-01"}</definedName>
    <definedName name="LMPAS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CALMENU" localSheetId="9">#REF!</definedName>
    <definedName name="LOCALOBRA" localSheetId="9">#REF!</definedName>
    <definedName name="LS" localSheetId="9">#REF!</definedName>
    <definedName name="LSDFKLDKFTR" localSheetId="9">{#N/A,#N/A,FALSE,"Plan1";#N/A,#N/A,FALSE,"Plan2"}</definedName>
    <definedName name="lsdjs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9">{#N/A,#N/A,FALSE,"Plan1";#N/A,#N/A,FALSE,"Plan2"}</definedName>
    <definedName name="lsdsder" localSheetId="9">{#N/A,#N/A,FALSE,"Plan1";#N/A,#N/A,FALSE,"Plan2"}</definedName>
    <definedName name="ltj6ljyhdjhngças" localSheetId="9">{#N/A,#N/A,FALSE,"Plan1";#N/A,#N/A,FALSE,"Plan2"}</definedName>
    <definedName name="LUCRO" localSheetId="9">#REF!</definedName>
    <definedName name="luis_cdi" localSheetId="9">#REF!</definedName>
    <definedName name="luis_hist" localSheetId="9">#REF!</definedName>
    <definedName name="luis_uss" localSheetId="9">#REF!</definedName>
    <definedName name="LV" localSheetId="9">#REF!</definedName>
    <definedName name="LVI" localSheetId="9">#REF!</definedName>
    <definedName name="LVII" localSheetId="9">#REF!</definedName>
    <definedName name="LVIII" localSheetId="9">#REF!</definedName>
    <definedName name="LXX" localSheetId="9">#REF!</definedName>
    <definedName name="LXXI" localSheetId="9">#REF!</definedName>
    <definedName name="LXXII" localSheetId="9">#REF!</definedName>
    <definedName name="LXXIII" localSheetId="9">#REF!</definedName>
    <definedName name="LXXIV" localSheetId="9">#REF!</definedName>
    <definedName name="LXXIX" localSheetId="9">#REF!</definedName>
    <definedName name="LXXV" localSheetId="9">#REF!</definedName>
    <definedName name="LXXVI" localSheetId="9">#REF!</definedName>
    <definedName name="LXXVII" localSheetId="9">#REF!</definedName>
    <definedName name="LXXVIII" localSheetId="9">#REF!</definedName>
    <definedName name="LXXX" localSheetId="9">#REF!</definedName>
    <definedName name="LXXXI" localSheetId="9">#REF!</definedName>
    <definedName name="LXXXII" localSheetId="9">#REF!</definedName>
    <definedName name="LXXXIII" localSheetId="9">#REF!</definedName>
    <definedName name="LXXXIV" localSheetId="9">#REF!</definedName>
    <definedName name="LXXXV" localSheetId="9">#REF!</definedName>
    <definedName name="m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DRI" localSheetId="9">#REF!</definedName>
    <definedName name="mai17RJ" localSheetId="9">#REF!</definedName>
    <definedName name="MAIO" localSheetId="9">#REF!</definedName>
    <definedName name="MAIO2001" localSheetId="9">#REF!</definedName>
    <definedName name="MAISAP" localSheetId="9">{#N/A,#N/A,FALSE,"Plan1";#N/A,#N/A,FALSE,"Plan2"}</definedName>
    <definedName name="MANTO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O_DE_OBRA" localSheetId="9">#REF!</definedName>
    <definedName name="mar17RJ" localSheetId="9">#REF!</definedName>
    <definedName name="MARCAX" localSheetId="9">#REF!</definedName>
    <definedName name="MARÇO" localSheetId="9">#REF!</definedName>
    <definedName name="MARÇO2001" localSheetId="9">#REF!</definedName>
    <definedName name="martha" localSheetId="9">#REF!</definedName>
    <definedName name="MASTER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ERIAL" localSheetId="9">#REF!</definedName>
    <definedName name="mattubcust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9">{#N/A,#N/A,FALSE,"Plan1";#N/A,#N/A,FALSE,"Plan2"}</definedName>
    <definedName name="MC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V" localSheetId="9">#REF!</definedName>
    <definedName name="mdfgtr" localSheetId="9">{#N/A,#N/A,FALSE,"Plan1";#N/A,#N/A,FALSE,"Plan2"}</definedName>
    <definedName name="MDSÇLFJKJSD" localSheetId="9">{#N/A,#N/A,FALSE,"Plan1";#N/A,#N/A,FALSE,"Plan2"}</definedName>
    <definedName name="ME" localSheetId="9">{"HW",#N/A,FALSE,"1998"}</definedName>
    <definedName name="Medido_Fin_Medições" localSheetId="9">#REF!</definedName>
    <definedName name="melo_cdi" localSheetId="9">#REF!</definedName>
    <definedName name="melo_hist" localSheetId="9">#REF!</definedName>
    <definedName name="melo_uss" localSheetId="9">#REF!</definedName>
    <definedName name="MEMÓRIA" localSheetId="9">#REF!</definedName>
    <definedName name="memória2" localSheetId="9">#REF!</definedName>
    <definedName name="mensal" localSheetId="9">#REF!</definedName>
    <definedName name="MENU" localSheetId="9">#REF!</definedName>
    <definedName name="MENU1" localSheetId="9">#REF!</definedName>
    <definedName name="MENU2" localSheetId="9">#REF!</definedName>
    <definedName name="MENU3" localSheetId="9">#REF!</definedName>
    <definedName name="MENU4" localSheetId="9">#REF!</definedName>
    <definedName name="MENU5" localSheetId="9">#REF!</definedName>
    <definedName name="MENU6" localSheetId="9">#REF!</definedName>
    <definedName name="MENUBOM" localSheetId="9">#REF!</definedName>
    <definedName name="MENUEQP" localSheetId="9">#REF!</definedName>
    <definedName name="MENUFIM" localSheetId="9">#REF!</definedName>
    <definedName name="MENUMED" localSheetId="9">#REF!</definedName>
    <definedName name="MENUOBRA" localSheetId="9">#REF!</definedName>
    <definedName name="MENUOUT" localSheetId="9">#REF!</definedName>
    <definedName name="MENUOUTRO" localSheetId="9">#REF!</definedName>
    <definedName name="menures" localSheetId="9">#REF!</definedName>
    <definedName name="Mês_data_base" localSheetId="9">#REF!</definedName>
    <definedName name="Mês_Medição_Fin_Medições" localSheetId="9">#REF!</definedName>
    <definedName name="mes_relatorio" localSheetId="9">#REF!</definedName>
    <definedName name="Meses" localSheetId="9">#REF!</definedName>
    <definedName name="MESTRE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eta_venda" localSheetId="9">#REF!</definedName>
    <definedName name="MetaBP" localSheetId="9">#REF!</definedName>
    <definedName name="Minha_Casa_Minha_Vida" localSheetId="9">#REF!</definedName>
    <definedName name="MLMÇLKJKI" localSheetId="9">{#N/A,#N/A,FALSE,"Plan1";#N/A,#N/A,FALSE,"Plan2"}</definedName>
    <definedName name="MM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9">{"tabela",#N/A,FALSE,"Tabela";"decoração",#N/A,FALSE,"Decor.";"Informações",#N/A,FALSE,"Inform."}</definedName>
    <definedName name="mmmmmmm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NBXFKGS" localSheetId="9">{#N/A,#N/A,FALSE,"Plan1";#N/A,#N/A,FALSE,"Plan2"}</definedName>
    <definedName name="mncvbgcvmc" localSheetId="9">{#N/A,#N/A,FALSE,"Plan1";#N/A,#N/A,FALSE,"Plan2"}</definedName>
    <definedName name="MNDKZSFNCEA" localSheetId="9">{#N/A,#N/A,FALSE,"Plan1";#N/A,#N/A,FALSE,"Plan2"}</definedName>
    <definedName name="mnhdshfgfhd" localSheetId="9">{#N/A,#N/A,FALSE,"Plan1";#N/A,#N/A,FALSE,"Plan2"}</definedName>
    <definedName name="mo" localSheetId="9">#REF!</definedName>
    <definedName name="mobra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9">{#N/A,#N/A,FALSE,"cdi";#N/A,#N/A,FALSE,"debent";#N/A,#N/A,FALSE,"fdos";#N/A,#N/A,FALSE,"resumo"}</definedName>
    <definedName name="Modelo1a" localSheetId="9">{#N/A,#N/A,FALSE,"cdi";#N/A,#N/A,FALSE,"debent";#N/A,#N/A,FALSE,"fdos";#N/A,#N/A,FALSE,"resumo"}</definedName>
    <definedName name="Modelo2" localSheetId="9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ódulo" localSheetId="9">#REF!</definedName>
    <definedName name="mond_cdi" localSheetId="9">#REF!</definedName>
    <definedName name="mond_hist" localSheetId="9">#REF!</definedName>
    <definedName name="mond_uss" localSheetId="9">#REF!</definedName>
    <definedName name="MP" localSheetId="9">{#N/A,#N/A,FALSE,"CCTV"}</definedName>
    <definedName name="MSDRFSWER" localSheetId="9">{"Econ Consolidado",#N/A,FALSE,"Econ Consol";"Fluxo de Caixa",#N/A,FALSE,"Fluxo Caixa";"Investimentos",#N/A,FALSE,"Investimentos"}</definedName>
    <definedName name="MURBOMB" localSheetId="9">#REF!</definedName>
    <definedName name="mzshdjshjs" localSheetId="9">{#N/A,#N/A,FALSE,"Plan1";#N/A,#N/A,FALSE,"Plan2"}</definedName>
    <definedName name="na" localSheetId="9">{#N/A,#N/A,FALSE,"$170M Cash";#N/A,#N/A,FALSE,"$250M Cash";#N/A,#N/A,FALSE,"$325M Cash"}</definedName>
    <definedName name="ncdgrdhrtg" localSheetId="9">{#N/A,#N/A,FALSE,"Plan1";#N/A,#N/A,FALSE,"Plan2"}</definedName>
    <definedName name="nchngdfhgdh" localSheetId="9">{#N/A,#N/A,FALSE,"Plan1";#N/A,#N/A,FALSE,"Plan2"}</definedName>
    <definedName name="NCJFKNGJHF" localSheetId="9">{#N/A,#N/A,FALSE,"Plan1";#N/A,#N/A,FALSE,"Plan2"}</definedName>
    <definedName name="NDATA" localSheetId="9">#REF!</definedName>
    <definedName name="ndcxhgdhf" localSheetId="9">{#N/A,#N/A,FALSE,"Plan1";#N/A,#N/A,FALSE,"Plan2"}</definedName>
    <definedName name="ndfjnjkrhdgt" localSheetId="9">{#N/A,#N/A,FALSE,"Plan1";#N/A,#N/A,FALSE,"Plan2"}</definedName>
    <definedName name="ndfkghkjthfyst" localSheetId="9">{#N/A,#N/A,FALSE,"Plan1";#N/A,#N/A,FALSE,"Plan2"}</definedName>
    <definedName name="ndfldslvjnvberugberqubquierbv" localSheetId="9">#REF!</definedName>
    <definedName name="NDJGKFKGHUFG" localSheetId="9">{#N/A,#N/A,FALSE,"Plan1";#N/A,#N/A,FALSE,"Plan2"}</definedName>
    <definedName name="ndrjkt" localSheetId="9">{#N/A,#N/A,FALSE,"Plan1";#N/A,#N/A,FALSE,"Plan2"}</definedName>
    <definedName name="new" localSheetId="9">{#N/A,#N/A,FALSE,"Global by BU";#N/A,#N/A,FALSE,"U.S. by BU";#N/A,#N/A,FALSE,"Canada by BU";#N/A,#N/A,FALSE,"Europe by BU";#N/A,#N/A,FALSE,"Asia by BU";#N/A,#N/A,FALSE,"Cala by BU"}</definedName>
    <definedName name="NEWNAME" localSheetId="9">{#N/A,#N/A,FALSE,"CCTV"}</definedName>
    <definedName name="nfgjkhvhfghn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9">{#N/A,#N/A,FALSE,"Plan1";#N/A,#N/A,FALSE,"Plan2"}</definedName>
    <definedName name="nh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9">{#N/A,#N/A,FALSE,"Plan1";#N/A,#N/A,FALSE,"Plan2"}</definedName>
    <definedName name="NJSDFHERTG" localSheetId="9">{#N/A,#N/A,FALSE,"Plan1";#N/A,#N/A,FALSE,"Plan2"}</definedName>
    <definedName name="nkfnsskdn" localSheetId="9">{#N/A,#N/A,FALSE,"Plan1";#N/A,#N/A,FALSE,"Plan2"}</definedName>
    <definedName name="NKJL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" localSheetId="9">#REF!</definedName>
    <definedName name="nlaksjdwe" localSheetId="9">{#N/A,#N/A,FALSE,"Plan1";#N/A,#N/A,FALSE,"Plan2"}</definedName>
    <definedName name="nljsdfljfdsfr" localSheetId="9">{#N/A,#N/A,FALSE,"Plan1";#N/A,#N/A,FALSE,"Plan2"}</definedName>
    <definedName name="nm_k1" localSheetId="9">#REF!</definedName>
    <definedName name="nm_k2" localSheetId="9">#REF!</definedName>
    <definedName name="nm_k3" localSheetId="9">#REF!</definedName>
    <definedName name="nmjdfhxj" localSheetId="9">{#N/A,#N/A,FALSE,"Plan1";#N/A,#N/A,FALSE,"Plan2"}</definedName>
    <definedName name="nnmn" localSheetId="9">{#N/A,#N/A,FALSE,"Plan1";#N/A,#N/A,FALSE,"Plan2"}</definedName>
    <definedName name="nnn" localSheetId="9">{#N/A,#N/A,FALSE,"Plan1";#N/A,#N/A,FALSE,"Plan2"}</definedName>
    <definedName name="nnnnnnnnnnn" localSheetId="9">{"HW",#N/A,FALSE,"1998"}</definedName>
    <definedName name="NNNNNNNNNNNNNNN" localSheetId="9">{#N/A,#N/A,FALSE,"Plan1";#N/A,#N/A,FALSE,"Plan2"}</definedName>
    <definedName name="nnnnnnnnnnnnnnnnnnnn" localSheetId="9">{#N/A,#N/A,FALSE,"Plan1";#N/A,#N/A,FALSE,"Plan2"}</definedName>
    <definedName name="NNXFT" localSheetId="9">{#N/A,#N/A,FALSE,"Plan1";#N/A,#N/A,FALSE,"Plan2"}</definedName>
    <definedName name="no" localSheetId="9">#REF!</definedName>
    <definedName name="NOME" localSheetId="9">#REF!</definedName>
    <definedName name="nome2" localSheetId="9">#REF!</definedName>
    <definedName name="NOMEITEM" localSheetId="9">#REF!</definedName>
    <definedName name="NOMEOBRA" localSheetId="9">#REF!</definedName>
    <definedName name="nov17RJ" localSheetId="9">#REF!</definedName>
    <definedName name="NOVE" localSheetId="9">#REF!</definedName>
    <definedName name="NOVEMBRO" localSheetId="9">#REF!</definedName>
    <definedName name="nsdkfndgfdnatf" localSheetId="9">{#N/A,#N/A,FALSE,"Plan1";#N/A,#N/A,FALSE,"Plan2"}</definedName>
    <definedName name="nsfljdiljrf" localSheetId="9">{#N/A,#N/A,FALSE,"Plan1";#N/A,#N/A,FALSE,"Plan2"}</definedName>
    <definedName name="NUCOPIAS" localSheetId="9">#REF!</definedName>
    <definedName name="NUMOBRA" localSheetId="9">#REF!</definedName>
    <definedName name="NutN" localSheetId="9">#REF!</definedName>
    <definedName name="nzxcnnjkd" localSheetId="9">{#N/A,#N/A,FALSE,"Plan1";#N/A,#N/A,FALSE,"Plan2"}</definedName>
    <definedName name="OAE" localSheetId="9">#REF!</definedName>
    <definedName name="OBRA" localSheetId="9">#REF!</definedName>
    <definedName name="Obra_Fin_Medição" localSheetId="9">#REF!</definedName>
    <definedName name="OBRA_PROJETADO" localSheetId="9">#REF!</definedName>
    <definedName name="Obra_Rel_Controladoria" localSheetId="9">#REF!</definedName>
    <definedName name="Obra_Sienge" localSheetId="9">#REF!</definedName>
    <definedName name="Obra2_Fin_Medição" localSheetId="9">#REF!</definedName>
    <definedName name="OBRALOC" localSheetId="9">#REF!</definedName>
    <definedName name="OBRAS" localSheetId="9">#REF!</definedName>
    <definedName name="Obras_Apoio_Rel_Controladoria" localSheetId="9">#REF!</definedName>
    <definedName name="OBRAS_REALIZADO" localSheetId="9">#REF!</definedName>
    <definedName name="OBRASEL" localSheetId="9">#REF!</definedName>
    <definedName name="odfuudor" localSheetId="9">{#N/A,#N/A,FALSE,"Plan1";#N/A,#N/A,FALSE,"Plan2"}</definedName>
    <definedName name="ODH" localSheetId="9">#REF!</definedName>
    <definedName name="oficial_mes" localSheetId="9">#REF!</definedName>
    <definedName name="oficial2_mes" localSheetId="9">#REF!</definedName>
    <definedName name="oiditrot" localSheetId="9">{#N/A,#N/A,FALSE,"Plan1";#N/A,#N/A,FALSE,"Plan2"}</definedName>
    <definedName name="oio" localSheetId="9">{#N/A,#N/A,FALSE,"Plan1";#N/A,#N/A,FALSE,"Plan2"}</definedName>
    <definedName name="OITO" localSheetId="9">#REF!</definedName>
    <definedName name="OJÇLJ" localSheetId="9">{#N/A,#N/A,FALSE,"Plan1";#N/A,#N/A,FALSE,"Plan2"}</definedName>
    <definedName name="ojkdfit" localSheetId="9">{#N/A,#N/A,FALSE,"Plan1";#N/A,#N/A,FALSE,"Plan2"}</definedName>
    <definedName name="ONZE" localSheetId="9">#REF!</definedName>
    <definedName name="ooo" localSheetId="9">{#N/A,#N/A,FALSE,"Plan1";#N/A,#N/A,FALSE,"Plan2"}</definedName>
    <definedName name="OPASEDWED" localSheetId="9">{"Econ Consolidado",#N/A,FALSE,"Econ Consol";"Fluxo de Caixa",#N/A,FALSE,"Fluxo Caixa";"Investimentos",#N/A,FALSE,"Investimentos"}</definedName>
    <definedName name="opcao_taxa_desconto" localSheetId="9">#REF!</definedName>
    <definedName name="opções" localSheetId="9">#REF!</definedName>
    <definedName name="opiwre" localSheetId="9">{#N/A,#N/A,FALSE,"Plan1";#N/A,#N/A,FALSE,"Plan2"}</definedName>
    <definedName name="ORCAMEN" localSheetId="9">#REF!</definedName>
    <definedName name="Orcamentistas" localSheetId="9">#REF!</definedName>
    <definedName name="origem_recebiveis" localSheetId="9">#REF!</definedName>
    <definedName name="origem_unidades" localSheetId="9">#REF!</definedName>
    <definedName name="Origem2_Recebimento_Fin_Medições" localSheetId="9">#REF!</definedName>
    <definedName name="os" localSheetId="9">{#N/A,#N/A,FALSE,"TABLE"}</definedName>
    <definedName name="osca_cdi" localSheetId="9">#REF!</definedName>
    <definedName name="osca_hist" localSheetId="9">#REF!</definedName>
    <definedName name="osca_uss" localSheetId="9">#REF!</definedName>
    <definedName name="otodgkrjglsrd" localSheetId="9">{#N/A,#N/A,FALSE,"Plan1";#N/A,#N/A,FALSE,"Plan2"}</definedName>
    <definedName name="OUERWRSR" localSheetId="9">{#N/A,#N/A,FALSE,"Plan1";#N/A,#N/A,FALSE,"Plan2"}</definedName>
    <definedName name="out17RJ" localSheetId="9">#REF!</definedName>
    <definedName name="outro" localSheetId="9">#REF!</definedName>
    <definedName name="OUTROS" localSheetId="9">#REF!</definedName>
    <definedName name="OUTROS_CCUSTO" localSheetId="9">#REF!</definedName>
    <definedName name="Outros_Pisos" localSheetId="9">#REF!</definedName>
    <definedName name="Outros1" localSheetId="9">#REF!</definedName>
    <definedName name="OUTUBRO" localSheetId="9">#REF!</definedName>
    <definedName name="overhaul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oxfo_cdi" localSheetId="9">#REF!</definedName>
    <definedName name="oxfo_hist" localSheetId="9">#REF!</definedName>
    <definedName name="oxfo_uss" localSheetId="9">#REF!</definedName>
    <definedName name="P" localSheetId="9">#REF!</definedName>
    <definedName name="PA" localSheetId="9">#REF!</definedName>
    <definedName name="Padrao_A" localSheetId="9">#REF!</definedName>
    <definedName name="Padrao_B" localSheetId="9">#REF!</definedName>
    <definedName name="Padrao_C" localSheetId="9">#REF!</definedName>
    <definedName name="Padrao_D" localSheetId="9">#REF!</definedName>
    <definedName name="Padrao_E" localSheetId="9">#REF!</definedName>
    <definedName name="Padrao_F" localSheetId="9">#REF!</definedName>
    <definedName name="Pagamento_Num" localSheetId="9">ROW()-Linha_Cabeçalho</definedName>
    <definedName name="Pago_Até_2015_Controladoria" localSheetId="9">#REF!</definedName>
    <definedName name="PAP" localSheetId="9">#REF!</definedName>
    <definedName name="PARAM_FIS_1" localSheetId="9">#REF!</definedName>
    <definedName name="PARAM_FIS_2" localSheetId="9">#REF!</definedName>
    <definedName name="ParamValues1" localSheetId="9">#REF!</definedName>
    <definedName name="ParamValues2" localSheetId="9">#REF!</definedName>
    <definedName name="Parao_E" localSheetId="9">#REF!</definedName>
    <definedName name="Parede1" localSheetId="9">#REF!</definedName>
    <definedName name="Parede2" localSheetId="9">#REF!</definedName>
    <definedName name="PAREDES" localSheetId="9">#REF!</definedName>
    <definedName name="PAV" localSheetId="9">#REF!</definedName>
    <definedName name="PAVILHAO" localSheetId="9">#REF!</definedName>
    <definedName name="PAVT" localSheetId="9">#REF!</definedName>
    <definedName name="PDER" localSheetId="9">#REF!</definedName>
    <definedName name="PDIVERS" localSheetId="9">#REF!</definedName>
    <definedName name="PE" localSheetId="9">#REF!</definedName>
    <definedName name="PEMD" localSheetId="9">#REF!</definedName>
    <definedName name="Pendencias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rfura" localSheetId="9">#REF!</definedName>
    <definedName name="Perímetro_lajão" localSheetId="9">#REF!</definedName>
    <definedName name="Perímetro_Terreno" localSheetId="9">#REF!</definedName>
    <definedName name="Perímetro_torre" localSheetId="9">#REF!</definedName>
    <definedName name="pessoal" localSheetId="9">#REF!</definedName>
    <definedName name="PhyG" localSheetId="9">#REF!</definedName>
    <definedName name="PhyGS" localSheetId="9">#REF!</definedName>
    <definedName name="PI" localSheetId="9">#REF!</definedName>
    <definedName name="piaz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IEQUIP" localSheetId="9">#REF!</definedName>
    <definedName name="Pintura" localSheetId="9">#REF!</definedName>
    <definedName name="PIS_COFINS" localSheetId="9">#REF!</definedName>
    <definedName name="PisCofins" localSheetId="9">#REF!</definedName>
    <definedName name="Piso1" localSheetId="9">#REF!</definedName>
    <definedName name="Piso2" localSheetId="9">#REF!</definedName>
    <definedName name="PISOS" localSheetId="9">#REF!</definedName>
    <definedName name="PL" localSheetId="9">#REF!</definedName>
    <definedName name="PLACAS" localSheetId="9">{#N/A,#N/A,TRUE,"Quinzena 01 à 15-04-98 "}</definedName>
    <definedName name="Placas_Areas" localSheetId="9">{#N/A,#N/A,TRUE,"Quinzena 01 à 15-04-98 "}</definedName>
    <definedName name="PLAN" localSheetId="9">#REF!</definedName>
    <definedName name="plan2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NILHA" localSheetId="9">#REF!</definedName>
    <definedName name="Planilha2" localSheetId="9">#REF!</definedName>
    <definedName name="plasçdeaw" localSheetId="9">{#N/A,#N/A,FALSE,"Plan1";#N/A,#N/A,FALSE,"Plan2"}</definedName>
    <definedName name="plaslrswe" localSheetId="9">{#N/A,#N/A,FALSE,"Plan1";#N/A,#N/A,FALSE,"Plan2"}</definedName>
    <definedName name="pls" localSheetId="9">#REF!</definedName>
    <definedName name="plsearpef" localSheetId="9">{#N/A,#N/A,FALSE,"Plan1";#N/A,#N/A,FALSE,"Plan2"}</definedName>
    <definedName name="plss" localSheetId="9">{#N/A,#N/A,FALSE,"Plan1";#N/A,#N/A,FALSE,"Plan2"}</definedName>
    <definedName name="PMUR" localSheetId="9">#REF!</definedName>
    <definedName name="PN2건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nderações" localSheetId="9">#REF!</definedName>
    <definedName name="Pós_Chaves" localSheetId="9">#REF!</definedName>
    <definedName name="pr" localSheetId="9">#REF!</definedName>
    <definedName name="PRAZO" localSheetId="9">#REF!</definedName>
    <definedName name="Prazo_da_Estrutura" localSheetId="9">#REF!</definedName>
    <definedName name="PRAZO_EDITAL" localSheetId="9">#REF!</definedName>
    <definedName name="Prazo_Obra" localSheetId="9">#REF!</definedName>
    <definedName name="PRAZO_ORC" localSheetId="9">#REF!</definedName>
    <definedName name="prazo2" localSheetId="9">#REF!</definedName>
    <definedName name="PRE" localSheetId="9">#REF!</definedName>
    <definedName name="PREÇ" localSheetId="9">OFFSET(#REF!,0,0,COUNTA(#REF!),1)</definedName>
    <definedName name="Previsão_Inicial_abr_16" localSheetId="9">#REF!</definedName>
    <definedName name="Previsão_Inicial_ago_16" localSheetId="9">#REF!</definedName>
    <definedName name="Previsão_Inicial_dez_16" localSheetId="9">#REF!</definedName>
    <definedName name="Previsão_Inicial_fev_16" localSheetId="9">#REF!</definedName>
    <definedName name="Previsão_Inicial_jan_16" localSheetId="9">#REF!</definedName>
    <definedName name="Previsão_Inicial_jul_16" localSheetId="9">#REF!</definedName>
    <definedName name="Previsão_Inicial_jun_16" localSheetId="9">#REF!</definedName>
    <definedName name="Previsão_Inicial_mai_16" localSheetId="9">#REF!</definedName>
    <definedName name="Previsão_Inicial_mar_16" localSheetId="9">#REF!</definedName>
    <definedName name="Previsão_Inicial_nov_16" localSheetId="9">#REF!</definedName>
    <definedName name="Previsão_Inicial_out_16" localSheetId="9">#REF!</definedName>
    <definedName name="Previsão_Inicial_set_16" localSheetId="9">#REF!</definedName>
    <definedName name="Previsão_Vento1" localSheetId="9">#REF!</definedName>
    <definedName name="Previsto_a_medir_Fin_Medições" localSheetId="9">#REF!</definedName>
    <definedName name="print" localSheetId="9">{#N/A,#N/A,FALSE,"$170M Cash";#N/A,#N/A,FALSE,"$250M Cash";#N/A,#N/A,FALSE,"$325M Cash"}</definedName>
    <definedName name="_xlnm.Print_Area" localSheetId="9">#REF!</definedName>
    <definedName name="Print_Area_MI" localSheetId="9">#REF!</definedName>
    <definedName name="_xlnm.Print_Titles" localSheetId="9">#REF!</definedName>
    <definedName name="PRINT_TITLES_MI" localSheetId="9">#REF!</definedName>
    <definedName name="programa" localSheetId="9">#REF!</definedName>
    <definedName name="Programaa" localSheetId="9">#REF!</definedName>
    <definedName name="Projeção_torre" localSheetId="9">#REF!</definedName>
    <definedName name="projeto_nome_com" localSheetId="9">IF((COUNTA(#REF!)-2)&gt;1,"TERRENO "&amp;VLOOKUP(#REF!,#REF!,8,0),VLOOKUP(#REF!,#REF!,3,0))</definedName>
    <definedName name="PROPAGANDA" localSheetId="9">#REF!</definedName>
    <definedName name="ptirigyiotut" localSheetId="9">{#N/A,#N/A,FALSE,"Plan1";#N/A,#N/A,FALSE,"Plan2"}</definedName>
    <definedName name="PWER3" localSheetId="9">{#N/A,#N/A,FALSE,"Plan1";#N/A,#N/A,FALSE,"Plan2"}</definedName>
    <definedName name="q" localSheetId="9">#REF!</definedName>
    <definedName name="QCLIENTE_PCLIENTE" localSheetId="9">#REF!</definedName>
    <definedName name="QCliente_PCliente1" localSheetId="9">#REF!</definedName>
    <definedName name="qe" localSheetId="9">#REF!</definedName>
    <definedName name="qee" localSheetId="9">#REF!</definedName>
    <definedName name="qkqh1" localSheetId="9">{#N/A,#N/A,FALSE,"명세표"}</definedName>
    <definedName name="QOAS_POAS" localSheetId="9">#REF!</definedName>
    <definedName name="QQ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QQ" localSheetId="9">#REF!:#REF!</definedName>
    <definedName name="QQQQQQQQ" localSheetId="9">#REF!</definedName>
    <definedName name="QREAL_PCLIENTE" localSheetId="9">#REF!</definedName>
    <definedName name="QReal_PCliente1" localSheetId="9">#REF!</definedName>
    <definedName name="QSQWSE" localSheetId="9">{#N/A,#N/A,FALSE,"Plan1";#N/A,#N/A,FALSE,"Plan2"}</definedName>
    <definedName name="qtd_mensal" localSheetId="9">#REF!</definedName>
    <definedName name="qtd3esta" localSheetId="9">#REF!</definedName>
    <definedName name="qtdbase" localSheetId="9">#REF!</definedName>
    <definedName name="qtdbltub" localSheetId="9">#REF!</definedName>
    <definedName name="qtdestac" localSheetId="9">#REF!</definedName>
    <definedName name="qtdsap" localSheetId="9">#REF!</definedName>
    <definedName name="qtdtub" localSheetId="9">#REF!</definedName>
    <definedName name="QTNULO" localSheetId="9">#REF!</definedName>
    <definedName name="QTPADRAO" localSheetId="9">#REF!</definedName>
    <definedName name="QTRES" localSheetId="9">#REF!</definedName>
    <definedName name="QuadraE" localSheetId="9">#REF!</definedName>
    <definedName name="quadrocompar." localSheetId="9">#REF!</definedName>
    <definedName name="QUANT" localSheetId="9">#REF!</definedName>
    <definedName name="Quant_Aptos" localSheetId="9">#REF!</definedName>
    <definedName name="Quant_Cremalheira" localSheetId="9">#REF!</definedName>
    <definedName name="Quant_grua" localSheetId="9">#REF!</definedName>
    <definedName name="Quant_pav_lajão" localSheetId="9">#REF!</definedName>
    <definedName name="Quant_tipo" localSheetId="9">#REF!</definedName>
    <definedName name="Quant_torres" localSheetId="9">#REF!</definedName>
    <definedName name="Quantidade_Elevadores" localSheetId="9">#REF!</definedName>
    <definedName name="QUANTP" localSheetId="9">#REF!</definedName>
    <definedName name="QUATRO" localSheetId="9">#REF!</definedName>
    <definedName name="QUINZE" localSheetId="9">#REF!</definedName>
    <definedName name="qwdqw" localSheetId="9">{#N/A,#N/A,FALSE,"Plan1";#N/A,#N/A,FALSE,"Plan2"}</definedName>
    <definedName name="qweqwe" localSheetId="9">{#N/A,#N/A,FALSE,"Plan1";#N/A,#N/A,FALSE,"Plan2"}</definedName>
    <definedName name="qweqwe4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qwewqe" localSheetId="9">#REF!</definedName>
    <definedName name="R.imobAtualiz" localSheetId="9">#REF!</definedName>
    <definedName name="R_CorretAtualiz" localSheetId="9">#REF!</definedName>
    <definedName name="R_G.Cobr.Atualiz" localSheetId="9">#REF!</definedName>
    <definedName name="R_PmaisJAtualiz" localSheetId="9">#REF!</definedName>
    <definedName name="R_Prev.PerdaAtualiz" localSheetId="9">#REF!</definedName>
    <definedName name="RADIO" localSheetId="9">{"HW",#N/A,FALSE,"1998"}</definedName>
    <definedName name="RANGE" localSheetId="9">#REF!</definedName>
    <definedName name="RANGE1" localSheetId="9">#REF!</definedName>
    <definedName name="RANGE2" localSheetId="9">#REF!</definedName>
    <definedName name="RARQIMP" localSheetId="9">#REF!</definedName>
    <definedName name="RawData" localSheetId="9">#REF!</definedName>
    <definedName name="RE" localSheetId="9">#REF!</definedName>
    <definedName name="RECADUC" localSheetId="9">#REF!</definedName>
    <definedName name="Recebido_Acumulado_2015_Controladoria" localSheetId="9">#REF!</definedName>
    <definedName name="RE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forsu" localSheetId="9">#REF!</definedName>
    <definedName name="REL_RJ" localSheetId="9">#REF!</definedName>
    <definedName name="REL_SP" localSheetId="9">#REF!</definedName>
    <definedName name="relat3" localSheetId="9">#REF!</definedName>
    <definedName name="ren" localSheetId="9">#REF!</definedName>
    <definedName name="REPETIÇÃO" localSheetId="9">#REF!</definedName>
    <definedName name="ReqC" localSheetId="9">#REF!</definedName>
    <definedName name="Responsável_Rel_Controladoria" localSheetId="9">#REF!</definedName>
    <definedName name="resum" localSheetId="9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" localSheetId="9">#REF!</definedName>
    <definedName name="RESUMO2" localSheetId="9">{#N/A,#N/A,TRUE,"Quinzena 01 à 15-04-98 "}</definedName>
    <definedName name="REV" localSheetId="9">#REF!</definedName>
    <definedName name="RF" localSheetId="9">{#N/A,#N/A,FALSE,"CCTV"}</definedName>
    <definedName name="rgedrfrgfdg" localSheetId="9">{#N/A,#N/A,FALSE,"Plan1";#N/A,#N/A,FALSE,"Plan2"}</definedName>
    <definedName name="rhdrmq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I" localSheetId="9">#REF!</definedName>
    <definedName name="ridbeb" localSheetId="9">#REF!</definedName>
    <definedName name="RIDCHAF" localSheetId="9">#REF!</definedName>
    <definedName name="ridres05" localSheetId="9">#REF!</definedName>
    <definedName name="RIDRES10" localSheetId="9">#REF!</definedName>
    <definedName name="RIDRES15" localSheetId="9">#REF!</definedName>
    <definedName name="RO" localSheetId="9">#REF!</definedName>
    <definedName name="Rodapé" localSheetId="9">#REF!</definedName>
    <definedName name="RODAPÉS" localSheetId="9">#REF!</definedName>
    <definedName name="ROMANO" localSheetId="9">#REF!</definedName>
    <definedName name="ROTCOMP" localSheetId="9">#REF!</definedName>
    <definedName name="ROTIMP" localSheetId="9">#REF!</definedName>
    <definedName name="ROTRES" localSheetId="9">#REF!</definedName>
    <definedName name="RQTADUC" localSheetId="9">#REF!</definedName>
    <definedName name="rqtbeb" localSheetId="9">#REF!</definedName>
    <definedName name="RQTCHAF" localSheetId="9">#REF!</definedName>
    <definedName name="RQTDERV" localSheetId="9">#REF!</definedName>
    <definedName name="rres05" localSheetId="9">#REF!</definedName>
    <definedName name="RRES10" localSheetId="9">#REF!</definedName>
    <definedName name="RRES15" localSheetId="9">#REF!</definedName>
    <definedName name="RRES20" localSheetId="9">#REF!</definedName>
    <definedName name="rrrrr" localSheetId="9">{"'장비'!$A$3:$M$12"}</definedName>
    <definedName name="rrrrrrrr" localSheetId="9">{"'장비'!$A$3:$M$12"}</definedName>
    <definedName name="rrrrrrrrrrr" localSheetId="9">{#N/A,#N/A,TRUE,"Quinzena 01 à 15-04-98 "}</definedName>
    <definedName name="RSEQ" localSheetId="9">#REF!</definedName>
    <definedName name="RSUBTOT" localSheetId="9">#REF!</definedName>
    <definedName name="rtitbeb" localSheetId="9">#REF!</definedName>
    <definedName name="RTITCHAF" localSheetId="9">#REF!</definedName>
    <definedName name="rtubos" localSheetId="9">#REF!</definedName>
    <definedName name="RTYE" localSheetId="9">{"'장비'!$A$3:$M$12"}</definedName>
    <definedName name="s" localSheetId="9">#REF!</definedName>
    <definedName name="sa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aa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9">{#N/A,#N/A,FALSE,"Plan1";#N/A,#N/A,FALSE,"Plan2"}</definedName>
    <definedName name="sadke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9">{#N/A,#N/A,FALSE,"Plan1";#N/A,#N/A,FALSE,"Plan2"}</definedName>
    <definedName name="SADSRTR" localSheetId="9">{#N/A,#N/A,FALSE,"Plan1";#N/A,#N/A,FALSE,"Plan2"}</definedName>
    <definedName name="sadwde" localSheetId="9">{#N/A,#N/A,FALSE,"Plan1";#N/A,#N/A,FALSE,"Plan2"}</definedName>
    <definedName name="Salas" localSheetId="9">#REF!</definedName>
    <definedName name="sanjay" localSheetId="9">{#N/A,#N/A,FALSE,"TABLE"}</definedName>
    <definedName name="sapata" localSheetId="9">#REF!</definedName>
    <definedName name="SAS" localSheetId="9">{#N/A,#N/A,FALSE,"Plan1";#N/A,#N/A,FALSE,"Plan2"}</definedName>
    <definedName name="sasads" localSheetId="9">{#N/A,#N/A,FALSE,"Plan1";#N/A,#N/A,FALSE,"Plan2"}</definedName>
    <definedName name="SC" localSheetId="9">#REF!</definedName>
    <definedName name="sda" localSheetId="9">#REF!</definedName>
    <definedName name="sda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9">{#N/A,#N/A,FALSE,"Plan1";#N/A,#N/A,FALSE,"Plan2"}</definedName>
    <definedName name="sdckd" localSheetId="9">{#N/A,#N/A,FALSE,"Plan1";#N/A,#N/A,FALSE,"Plan2"}</definedName>
    <definedName name="SDDFKSEDE" localSheetId="9">{#N/A,#N/A,FALSE,"Plan1";#N/A,#N/A,FALSE,"Plan2"}</definedName>
    <definedName name="sddkslker" localSheetId="9">{#N/A,#N/A,FALSE,"Plan1";#N/A,#N/A,FALSE,"Plan2"}</definedName>
    <definedName name="sdefr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t" localSheetId="9">#REF!</definedName>
    <definedName name="sdf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9">{#N/A,#N/A,FALSE,"Plan1";#N/A,#N/A,FALSE,"Plan2"}</definedName>
    <definedName name="sdfdfc" localSheetId="9">{#N/A,#N/A,FALSE,"Plan1";#N/A,#N/A,FALSE,"Plan2"}</definedName>
    <definedName name="sdfdf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9">{#N/A,#N/A,FALSE,"Plan1";#N/A,#N/A,FALSE,"Plan2"}</definedName>
    <definedName name="sdfdsf" localSheetId="9">{#N/A,#N/A,FALSE,"Plan1";#N/A,#N/A,FALSE,"Plan2"}</definedName>
    <definedName name="SDFEDRT" localSheetId="9">{#N/A,#N/A,FALSE,"Plan1";#N/A,#N/A,FALSE,"Plan2"}</definedName>
    <definedName name="sdfer" localSheetId="9">{#N/A,#N/A,FALSE,"Plan1";#N/A,#N/A,FALSE,"Plan2"}</definedName>
    <definedName name="sdferr" localSheetId="9">{#N/A,#N/A,FALSE,"Plan1";#N/A,#N/A,FALSE,"Plan2"}</definedName>
    <definedName name="sdfe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9">{#N/A,#N/A,FALSE,"Plan1";#N/A,#N/A,FALSE,"Plan2"}</definedName>
    <definedName name="sdfgtr" localSheetId="9">{#N/A,#N/A,FALSE,"Plan1";#N/A,#N/A,FALSE,"Plan2"}</definedName>
    <definedName name="sdfjdetrt" localSheetId="9">{#N/A,#N/A,FALSE,"Plan1";#N/A,#N/A,FALSE,"Plan2"}</definedName>
    <definedName name="SDFJDRTJEIDR" localSheetId="9">{#N/A,#N/A,FALSE,"Plan1";#N/A,#N/A,FALSE,"Plan2"}</definedName>
    <definedName name="sdfjergtij" localSheetId="9">{#N/A,#N/A,FALSE,"Plan1";#N/A,#N/A,FALSE,"Plan2"}</definedName>
    <definedName name="SDFOPJKWE" localSheetId="9">{#N/A,#N/A,FALSE,"Plan1";#N/A,#N/A,FALSE,"Plan2"}</definedName>
    <definedName name="sdfrdt5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9">{#N/A,#N/A,FALSE,"Plan1";#N/A,#N/A,FALSE,"Plan2"}</definedName>
    <definedName name="SDFRTKK" localSheetId="9">{#N/A,#N/A,FALSE,"Plan1";#N/A,#N/A,FALSE,"Plan2"}</definedName>
    <definedName name="SDFRTR" localSheetId="9">{#N/A,#N/A,FALSE,"Plan1";#N/A,#N/A,FALSE,"Plan2"}</definedName>
    <definedName name="sdfry6" localSheetId="9">{#N/A,#N/A,FALSE,"Plan1";#N/A,#N/A,FALSE,"Plan2"}</definedName>
    <definedName name="sdfsaf" localSheetId="9">{#N/A,#N/A,FALSE,"Plan1";#N/A,#N/A,FALSE,"Plan2"}</definedName>
    <definedName name="sdfsd" localSheetId="9">{"'Estimativa de Lançamento-JAN'!$A$1:$AI$85"}</definedName>
    <definedName name="sdfsdfg" localSheetId="9">{#N/A,#N/A,FALSE,"Plan1";#N/A,#N/A,FALSE,"Plan2"}</definedName>
    <definedName name="SDFSDFK" localSheetId="9">{#N/A,#N/A,FALSE,"Plan1";#N/A,#N/A,FALSE,"Plan2"}</definedName>
    <definedName name="sdfsdgftret" localSheetId="9">{#N/A,#N/A,FALSE,"Plan1";#N/A,#N/A,FALSE,"Plan2"}</definedName>
    <definedName name="sdfsf" localSheetId="9">{#N/A,#N/A,FALSE,"Plan1";#N/A,#N/A,FALSE,"Plan2"}</definedName>
    <definedName name="SDFSFRT" localSheetId="9">{"Econ Consolidado",#N/A,FALSE,"Econ Consol";"Fluxo de Caixa",#N/A,FALSE,"Fluxo Caixa";"Investimentos",#N/A,FALSE,"Investimentos"}</definedName>
    <definedName name="sdfsr" localSheetId="9">{#N/A,#N/A,FALSE,"Plan1";#N/A,#N/A,FALSE,"Plan2"}</definedName>
    <definedName name="sdfty" localSheetId="9">{#N/A,#N/A,FALSE,"Plan1";#N/A,#N/A,FALSE,"Plan2"}</definedName>
    <definedName name="sdgdf" localSheetId="9">{#N/A,#N/A,FALSE,"Plan1";#N/A,#N/A,FALSE,"Plan2"}</definedName>
    <definedName name="sdgfrt" localSheetId="9">{#N/A,#N/A,FALSE,"Plan1";#N/A,#N/A,FALSE,"Plan2"}</definedName>
    <definedName name="sdgft" localSheetId="9">{#N/A,#N/A,FALSE,"Plan1";#N/A,#N/A,FALSE,"Plan2"}</definedName>
    <definedName name="sdgt" localSheetId="9">{#N/A,#N/A,FALSE,"Plan1";#N/A,#N/A,FALSE,"Plan2"}</definedName>
    <definedName name="sdgtry" localSheetId="9">#REF!</definedName>
    <definedName name="sdhfghdsfg" localSheetId="9">{#N/A,#N/A,FALSE,"Plan1";#N/A,#N/A,FALSE,"Plan2"}</definedName>
    <definedName name="SDHFJKHDFJRE" localSheetId="9">{#N/A,#N/A,FALSE,"Plan1";#N/A,#N/A,FALSE,"Plan2"}</definedName>
    <definedName name="SDHKFDRKGTR" localSheetId="9">{#N/A,#N/A,FALSE,"Plan1";#N/A,#N/A,FALSE,"Plan2"}</definedName>
    <definedName name="sdjdswger" localSheetId="9">{#N/A,#N/A,FALSE,"Plan1";#N/A,#N/A,FALSE,"Plan2"}</definedName>
    <definedName name="sdjfdf" localSheetId="9">{#N/A,#N/A,FALSE,"Plan1";#N/A,#N/A,FALSE,"Plan2"}</definedName>
    <definedName name="sdjfhdjk" localSheetId="9">{#N/A,#N/A,FALSE,"Plan1";#N/A,#N/A,FALSE,"Plan2"}</definedName>
    <definedName name="SDJFJDER" localSheetId="9">{#N/A,#N/A,FALSE,"Plan1";#N/A,#N/A,FALSE,"Plan2"}</definedName>
    <definedName name="sdjflsdjfl" localSheetId="9">{#N/A,#N/A,FALSE,"Plan1";#N/A,#N/A,FALSE,"Plan2"}</definedName>
    <definedName name="SDJHF" localSheetId="9">{#N/A,#N/A,FALSE,"Plan1";#N/A,#N/A,FALSE,"Plan2"}</definedName>
    <definedName name="sdjrderertrr" localSheetId="9">{#N/A,#N/A,FALSE,"Plan1";#N/A,#N/A,FALSE,"Plan2"}</definedName>
    <definedName name="sdkdjk" localSheetId="9">{#N/A,#N/A,FALSE,"Plan1";#N/A,#N/A,FALSE,"Plan2"}</definedName>
    <definedName name="sdkfjhkdgfhk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9">{#N/A,#N/A,FALSE,"Plan1";#N/A,#N/A,FALSE,"Plan2"}</definedName>
    <definedName name="sdkk" localSheetId="9">{#N/A,#N/A,FALSE,"Plan1";#N/A,#N/A,FALSE,"Plan2"}</definedName>
    <definedName name="sdlfsdflj" localSheetId="9">{#N/A,#N/A,FALSE,"Plan1";#N/A,#N/A,FALSE,"Plan2"}</definedName>
    <definedName name="sdmfmdfsgfd" localSheetId="9">{#N/A,#N/A,FALSE,"Plan1";#N/A,#N/A,FALSE,"Plan2"}</definedName>
    <definedName name="sd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9">{#N/A,#N/A,FALSE,"Plan1";#N/A,#N/A,FALSE,"Plan2"}</definedName>
    <definedName name="sdsd" localSheetId="9">{#N/A,#N/A,FALSE,"Plan1";#N/A,#N/A,FALSE,"Plan2"}</definedName>
    <definedName name="sdser" localSheetId="9">{#N/A,#N/A,FALSE,"Plan1";#N/A,#N/A,FALSE,"Plan2"}</definedName>
    <definedName name="sdsre" localSheetId="9">{#N/A,#N/A,FALSE,"Plan1";#N/A,#N/A,FALSE,"Plan2"}</definedName>
    <definedName name="sdss" localSheetId="9">{#N/A,#N/A,FALSE,"Plan1";#N/A,#N/A,FALSE,"Plan2"}</definedName>
    <definedName name="sdtrtg" localSheetId="9">#REF!</definedName>
    <definedName name="sdusi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9">{"Econ Consolidado",#N/A,FALSE,"Econ Consol";"Fluxo de Caixa",#N/A,FALSE,"Fluxo Caixa";"Investimentos",#N/A,FALSE,"Investimentos"}</definedName>
    <definedName name="sdxfrt" localSheetId="9">{#N/A,#N/A,FALSE,"Plan1";#N/A,#N/A,FALSE,"Plan2"}</definedName>
    <definedName name="SDZFERF" localSheetId="9">{#N/A,#N/A,FALSE,"Plan1";#N/A,#N/A,FALSE,"Plan2"}</definedName>
    <definedName name="se" localSheetId="9">#REF!</definedName>
    <definedName name="SEDE" localSheetId="9">#REF!</definedName>
    <definedName name="sefret4r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" localSheetId="9">#REF!</definedName>
    <definedName name="segftru" localSheetId="9">{#N/A,#N/A,FALSE,"Plan1";#N/A,#N/A,FALSE,"Plan2"}</definedName>
    <definedName name="SEIS" localSheetId="9">#REF!</definedName>
    <definedName name="sencount" localSheetId="9">3</definedName>
    <definedName name="SEQUENCIA" localSheetId="9">#REF!</definedName>
    <definedName name="SEREWRSWE" localSheetId="9">{"tabela",#N/A,FALSE,"Tabela";"decoração",#N/A,FALSE,"Decor.";"Informações",#N/A,FALSE,"Inform."}</definedName>
    <definedName name="Set_17" localSheetId="9">#REF!</definedName>
    <definedName name="SETE" localSheetId="9">#REF!</definedName>
    <definedName name="SETEMBRO" localSheetId="9">#REF!</definedName>
    <definedName name="setRJ17" localSheetId="9">#REF!</definedName>
    <definedName name="severo" localSheetId="9">#REF!</definedName>
    <definedName name="sf" localSheetId="9">{#N/A,#N/A,FALSE,"Plan1";#N/A,#N/A,FALSE,"Plan2"}</definedName>
    <definedName name="sfcrer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9">{#N/A,#N/A,FALSE,"Plan1";#N/A,#N/A,FALSE,"Plan2"}</definedName>
    <definedName name="sfds" localSheetId="9">{#N/A,#N/A,FALSE,"Plan1";#N/A,#N/A,FALSE,"Plan2"}</definedName>
    <definedName name="sfdsd" localSheetId="9">{#N/A,#N/A,FALSE,"Plan1";#N/A,#N/A,FALSE,"Plan2"}</definedName>
    <definedName name="sfrsdrgt" localSheetId="9">{#N/A,#N/A,FALSE,"Plan1";#N/A,#N/A,FALSE,"Plan2"}</definedName>
    <definedName name="SFRT" localSheetId="9">{#N/A,#N/A,FALSE,"Plan1";#N/A,#N/A,FALSE,"Plan2"}</definedName>
    <definedName name="sfsdferf" localSheetId="9">{#N/A,#N/A,FALSE,"Plan1";#N/A,#N/A,FALSE,"Plan2"}</definedName>
    <definedName name="SFSDS" localSheetId="9">{#N/A,#N/A,FALSE,"Plan1";#N/A,#N/A,FALSE,"Plan2"}</definedName>
    <definedName name="SGarantia" localSheetId="9">#REF!</definedName>
    <definedName name="sgtghty" localSheetId="9">{#N/A,#N/A,FALSE,"Plan1";#N/A,#N/A,FALSE,"Plan2"}</definedName>
    <definedName name="SH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IH" localSheetId="9">#REF!</definedName>
    <definedName name="SISTEM1" localSheetId="9">#REF!</definedName>
    <definedName name="SISTEM2" localSheetId="9">#REF!</definedName>
    <definedName name="SIV" localSheetId="9">#REF!</definedName>
    <definedName name="sjawe" localSheetId="9">{#N/A,#N/A,FALSE,"Plan1";#N/A,#N/A,FALSE,"Plan2"}</definedName>
    <definedName name="sjdffd" localSheetId="9">{#N/A,#N/A,FALSE,"Plan1";#N/A,#N/A,FALSE,"Plan2"}</definedName>
    <definedName name="SJDFHDJS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9">{#N/A,#N/A,FALSE,"Plan1";#N/A,#N/A,FALSE,"Plan2"}</definedName>
    <definedName name="SJDKJDE" localSheetId="9">{"Econ Consolidado",#N/A,FALSE,"Econ Consol";"Fluxo de Caixa",#N/A,FALSE,"Fluxo Caixa";"Investimentos",#N/A,FALSE,"Investimentos"}</definedName>
    <definedName name="sjekwjri" localSheetId="9">{#N/A,#N/A,FALSE,"Plan1";#N/A,#N/A,FALSE,"Plan2"}</definedName>
    <definedName name="sjfkdhsfds" localSheetId="9">{#N/A,#N/A,FALSE,"Plan1";#N/A,#N/A,FALSE,"Plan2"}</definedName>
    <definedName name="sjkdljslkrje" localSheetId="9">{#N/A,#N/A,FALSE,"Plan1";#N/A,#N/A,FALSE,"Plan2"}</definedName>
    <definedName name="skadadaszs" localSheetId="9">{#N/A,#N/A,FALSE,"Plan1";#N/A,#N/A,FALSE,"Plan2"}</definedName>
    <definedName name="SKASH" localSheetId="9">{#N/A,#N/A,FALSE,"Plan1";#N/A,#N/A,FALSE,"Plan2"}</definedName>
    <definedName name="skldfrde" localSheetId="9">{#N/A,#N/A,FALSE,"Plan1";#N/A,#N/A,FALSE,"Plan2"}</definedName>
    <definedName name="skosroer" localSheetId="9">{#N/A,#N/A,FALSE,"Plan1";#N/A,#N/A,FALSE,"Plan2"}</definedName>
    <definedName name="SO" localSheetId="9">#REF!</definedName>
    <definedName name="soma" localSheetId="9">#REF!</definedName>
    <definedName name="sp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9">{#N/A,#N/A,FALSE,"Plan1";#N/A,#N/A,FALSE,"Plan2"}</definedName>
    <definedName name="SR" localSheetId="9">#REF!</definedName>
    <definedName name="SRH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ssss" localSheetId="9">#REF!</definedName>
    <definedName name="stake_cury" localSheetId="9">#REF!</definedName>
    <definedName name="status_projeto" localSheetId="9">OFFSET(INDEX(#REF!,MATCH(#REF!,#REF!,0)),1,0,COUNTA(#REF!)-1)</definedName>
    <definedName name="SUB_TOTAL_1" localSheetId="9">#REF!</definedName>
    <definedName name="SUBDER" localSheetId="9">#REF!</definedName>
    <definedName name="SUBDIV" localSheetId="9">#REF!</definedName>
    <definedName name="SUBEQP" localSheetId="9">#REF!</definedName>
    <definedName name="SUBMUR" localSheetId="9">#REF!</definedName>
    <definedName name="susref" localSheetId="9">#REF!</definedName>
    <definedName name="T_actual" localSheetId="9">#REF!</definedName>
    <definedName name="t_cc" localSheetId="9">#REF!</definedName>
    <definedName name="t_KSB1_Transport" localSheetId="9">#REF!</definedName>
    <definedName name="tab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AB_GASTOS" localSheetId="9">#REF!</definedName>
    <definedName name="TABACABAMENTOS" localSheetId="9">#REF!</definedName>
    <definedName name="tabela" localSheetId="9">#REF!</definedName>
    <definedName name="Tabela_Atribuição" localSheetId="9">#REF!</definedName>
    <definedName name="TABELA_DE_REVESTIMENTOS" localSheetId="9">#REF!</definedName>
    <definedName name="Tabela_Recursos" localSheetId="9">#REF!</definedName>
    <definedName name="Tabela_Tarefas" localSheetId="9">#REF!</definedName>
    <definedName name="Tabela1" localSheetId="9">#REF!</definedName>
    <definedName name="Tabela2" localSheetId="9">#REF!</definedName>
    <definedName name="tabela3" localSheetId="9">#REF!</definedName>
    <definedName name="TABREF" localSheetId="9">#REF!</definedName>
    <definedName name="tania" localSheetId="9">#REF!</definedName>
    <definedName name="TAUX2" localSheetId="9">OFFSET(#REF!,0,0,COUNTA(#REF!)+1,1)</definedName>
    <definedName name="TAUX3" localSheetId="9">OFFSET(#REF!,0,0,COUNTA(#REF!)+1,1)</definedName>
    <definedName name="TAXA_VENTO" localSheetId="9">#REF!</definedName>
    <definedName name="TAXAS" localSheetId="9">#REF!</definedName>
    <definedName name="TbDin" localSheetId="9">OFFSET(#REF!,0,0,COUNTA(#REF!),13)</definedName>
    <definedName name="tc" localSheetId="9">#REF!</definedName>
    <definedName name="TE" localSheetId="9">#REF!</definedName>
    <definedName name="TECLA" localSheetId="9">#REF!</definedName>
    <definedName name="Tendência_Obra_Controladoria" localSheetId="9">#REF!</definedName>
    <definedName name="TERRENO" localSheetId="9">#REF!</definedName>
    <definedName name="Test" localSheetId="9">{"'Edit'!$A$1:$V$2277"}</definedName>
    <definedName name="TESTANDO" localSheetId="9">{#N/A,#N/A,TRUE,"Quinzena 01 à 15-04-98 "}</definedName>
    <definedName name="teste" localSheetId="9">#REF!</definedName>
    <definedName name="teste1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este3" localSheetId="9">#REF!</definedName>
    <definedName name="TESTHKEY" localSheetId="9">#REF!</definedName>
    <definedName name="teto1" localSheetId="9">#REF!</definedName>
    <definedName name="Teto2" localSheetId="9">#REF!</definedName>
    <definedName name="tetuytw" localSheetId="9">#REF!</definedName>
    <definedName name="thjgsergsr" localSheetId="9">{#N/A,#N/A,FALSE,"Plan1";#N/A,#N/A,FALSE,"Plan2"}</definedName>
    <definedName name="THYJ" localSheetId="9">{#N/A,#N/A,FALSE,"Plan1";#N/A,#N/A,FALSE,"Plan2"}</definedName>
    <definedName name="tihjgih" localSheetId="9">{#N/A,#N/A,FALSE,"Plan1";#N/A,#N/A,FALSE,"Plan2"}</definedName>
    <definedName name="TIPO_CTT" localSheetId="9">#REF!</definedName>
    <definedName name="Tipo_de_Diretoria" localSheetId="9">#REF!</definedName>
    <definedName name="Tipo_de_Gestao" localSheetId="9">#REF!</definedName>
    <definedName name="Tipo_de_Padrao" localSheetId="9">#REF!</definedName>
    <definedName name="Tipo_de_Regiao" localSheetId="9">#REF!</definedName>
    <definedName name="Tipo_de_Segmento" localSheetId="9">#REF!</definedName>
    <definedName name="Tipo_de_Status" localSheetId="9">#REF!</definedName>
    <definedName name="Tipo_de_UF" localSheetId="9">#REF!</definedName>
    <definedName name="Tipo_de_Unidade_de_Negocio" localSheetId="9">#REF!</definedName>
    <definedName name="Tipo_do_cliente" localSheetId="9">#REF!</definedName>
    <definedName name="tipo_subtotal" localSheetId="9">#REF!</definedName>
    <definedName name="tipobloco" localSheetId="9">#REF!</definedName>
    <definedName name="titbeb" localSheetId="9">#REF!</definedName>
    <definedName name="TITCHAF" localSheetId="9">#REF!</definedName>
    <definedName name="TituloMkt" localSheetId="9">#REF!</definedName>
    <definedName name="titulos" localSheetId="9">#REF!</definedName>
    <definedName name="Títulos_impressão_IM" localSheetId="9">#REF!</definedName>
    <definedName name="TMO" localSheetId="9">#REF!</definedName>
    <definedName name="TOLTAL2" localSheetId="9">#REF!</definedName>
    <definedName name="TOT" localSheetId="9">#REF!</definedName>
    <definedName name="tot3estac" localSheetId="9">#REF!</definedName>
    <definedName name="TOTAIS" localSheetId="9">#REF!</definedName>
    <definedName name="Total" localSheetId="9">#REF!</definedName>
    <definedName name="Total_2016_Rel_Controladoria" localSheetId="9">#REF!</definedName>
    <definedName name="Total_Parcelas_MAP" localSheetId="9">#REF!</definedName>
    <definedName name="total_unid" localSheetId="9">#REF!</definedName>
    <definedName name="TOTAL1" localSheetId="9">#REF!</definedName>
    <definedName name="TOTAL10" localSheetId="9">#REF!</definedName>
    <definedName name="TOTAL11" localSheetId="9">#REF!</definedName>
    <definedName name="TOTAL12" localSheetId="9">#REF!</definedName>
    <definedName name="TOTAL13" localSheetId="9">#REF!</definedName>
    <definedName name="TOTAL14" localSheetId="9">#REF!</definedName>
    <definedName name="TOTAL15" localSheetId="9">#REF!</definedName>
    <definedName name="TOTAL16" localSheetId="9">#REF!</definedName>
    <definedName name="TOTAL2" localSheetId="9">#REF!</definedName>
    <definedName name="TOTAL3" localSheetId="9">#REF!</definedName>
    <definedName name="TOTAL4" localSheetId="9">#REF!</definedName>
    <definedName name="TOTAL5" localSheetId="9">#REF!</definedName>
    <definedName name="TOTAL6" localSheetId="9">#REF!</definedName>
    <definedName name="TOTAL7" localSheetId="9">#REF!</definedName>
    <definedName name="TOTAL8" localSheetId="9">#REF!</definedName>
    <definedName name="TOTAL9" localSheetId="9">#REF!</definedName>
    <definedName name="TOTALITEM" localSheetId="9">#REF!</definedName>
    <definedName name="totbase" localSheetId="9">#REF!</definedName>
    <definedName name="totestaca" localSheetId="9">#REF!</definedName>
    <definedName name="TOTG" localSheetId="9">OFFSET(#REF!,0,0,COUNTA(#REF!),1)</definedName>
    <definedName name="totperfura" localSheetId="9">#REF!</definedName>
    <definedName name="TOTQTS" localSheetId="9">#REF!</definedName>
    <definedName name="TOTT" localSheetId="9">OFFSET(#REF!,0,0,COUNTA(#REF!)+1,1)</definedName>
    <definedName name="TR" localSheetId="9">#REF!</definedName>
    <definedName name="Transferencia1" localSheetId="9">#REF!</definedName>
    <definedName name="TRES" localSheetId="9">#REF!</definedName>
    <definedName name="TREZE" localSheetId="9">#REF!</definedName>
    <definedName name="tri" localSheetId="9">#REF!</definedName>
    <definedName name="Trimestre_data_base" localSheetId="9">#REF!</definedName>
    <definedName name="trjyidih" localSheetId="9">{#N/A,#N/A,FALSE,"Plan1";#N/A,#N/A,FALSE,"Plan2"}</definedName>
    <definedName name="TRP" localSheetId="9">#REF!</definedName>
    <definedName name="TTT" localSheetId="9">#REF!</definedName>
    <definedName name="TURNO" localSheetId="9">#REF!</definedName>
    <definedName name="tuyedjsksj" localSheetId="9">{#N/A,#N/A,FALSE,"Plan1";#N/A,#N/A,FALSE,"Plan2"}</definedName>
    <definedName name="TX_ADM" localSheetId="9">#REF!</definedName>
    <definedName name="tx_desconto_real" localSheetId="9">#REF!</definedName>
    <definedName name="TxAplicMes" localSheetId="9">#REF!</definedName>
    <definedName name="TxCdiMes" localSheetId="9">#REF!</definedName>
    <definedName name="TxDescMes" localSheetId="9">#REF!</definedName>
    <definedName name="TxSecuritizacaoMes" localSheetId="9">#REF!</definedName>
    <definedName name="TxSfhEco" localSheetId="9">#REF!</definedName>
    <definedName name="TxSfhMap" localSheetId="9">#REF!</definedName>
    <definedName name="TXTEQUIP" localSheetId="9">#REF!</definedName>
    <definedName name="TXTMARCA" localSheetId="9">#REF!</definedName>
    <definedName name="TXTMOD" localSheetId="9">#REF!</definedName>
    <definedName name="TXTPOT" localSheetId="9">#REF!</definedName>
    <definedName name="TYHGFHFHG" localSheetId="9">{#N/A,#N/A,FALSE,"Plan1";#N/A,#N/A,FALSE,"Plan2"}</definedName>
    <definedName name="u" localSheetId="9">{#N/A,#N/A,FALSE,"ET-CAPA";#N/A,#N/A,FALSE,"ET-PAG1";#N/A,#N/A,FALSE,"ET-PAG2";#N/A,#N/A,FALSE,"ET-PAG3";#N/A,#N/A,FALSE,"ET-PAG4";#N/A,#N/A,FALSE,"ET-PAG5"}</definedName>
    <definedName name="udhgfhfg" localSheetId="9">{#N/A,#N/A,FALSE,"Plan1";#N/A,#N/A,FALSE,"Plan2"}</definedName>
    <definedName name="ueiutriuef" localSheetId="9">{#N/A,#N/A,FALSE,"Plan1";#N/A,#N/A,FALSE,"Plan2"}</definedName>
    <definedName name="UENSIT" localSheetId="9">#REF!</definedName>
    <definedName name="UENSITS" localSheetId="9">#REF!</definedName>
    <definedName name="UHGSDUS" localSheetId="9">{#N/A,#N/A,FALSE,"Plan1";#N/A,#N/A,FALSE,"Plan2"}</definedName>
    <definedName name="UI" localSheetId="9">#REF!</definedName>
    <definedName name="UIHWER45R" localSheetId="9">{#N/A,#N/A,FALSE,"Plan1";#N/A,#N/A,FALSE,"Plan2"}</definedName>
    <definedName name="uiosderuiu" localSheetId="9">{#N/A,#N/A,FALSE,"Plan1";#N/A,#N/A,FALSE,"Plan2"}</definedName>
    <definedName name="UIOURET" localSheetId="9">{#N/A,#N/A,FALSE,"Plan1";#N/A,#N/A,FALSE,"Plan2"}</definedName>
    <definedName name="uiwuer" localSheetId="9">{#N/A,#N/A,FALSE,"Plan1";#N/A,#N/A,FALSE,"Plan2"}</definedName>
    <definedName name="UKHDFDSGUDFKD" localSheetId="9">{#N/A,#N/A,FALSE,"Plan1";#N/A,#N/A,FALSE,"Plan2"}</definedName>
    <definedName name="UM" localSheetId="9">#REF!</definedName>
    <definedName name="UNID" localSheetId="9">OFFSET(#REF!,0,0,COUNTA(#REF!),1)</definedName>
    <definedName name="unit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niv_cdi" localSheetId="9">#REF!</definedName>
    <definedName name="univ_hist" localSheetId="9">#REF!</definedName>
    <definedName name="univ_uss" localSheetId="9">#REF!</definedName>
    <definedName name="UPS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9">{#N/A,#N/A,FALSE,"Plan1";#N/A,#N/A,FALSE,"Plan2"}</definedName>
    <definedName name="V" localSheetId="9">#REF!</definedName>
    <definedName name="VALIDADE_EXECUÇÃO" localSheetId="9">#REF!</definedName>
    <definedName name="Valor_PLS_Controladoria" localSheetId="9">#REF!</definedName>
    <definedName name="Valor_Previsto_Fin_Medições" localSheetId="9">#REF!</definedName>
    <definedName name="VALOR_REAIS" localSheetId="9">#REF!</definedName>
    <definedName name="Valor_Recebido_Fin_Medições" localSheetId="9">#REF!</definedName>
    <definedName name="Valor_Sienge" localSheetId="9">#REF!</definedName>
    <definedName name="VALOR_VENDA" localSheetId="9">#REF!</definedName>
    <definedName name="valores_diferidos" localSheetId="9">#REF!</definedName>
    <definedName name="valve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AOS" localSheetId="9">#REF!</definedName>
    <definedName name="vdsgfrhgfr" localSheetId="9">{#N/A,#N/A,FALSE,"Plan1";#N/A,#N/A,FALSE,"Plan2"}</definedName>
    <definedName name="Veiculos" localSheetId="9">#REF!</definedName>
    <definedName name="VENDA_ADOTADA" localSheetId="9">#REF!</definedName>
    <definedName name="VENDAFINAL_R" localSheetId="9">#REF!</definedName>
    <definedName name="VENDAFINAL_U" localSheetId="9">#REF!</definedName>
    <definedName name="Vendas" localSheetId="9">#REF!</definedName>
    <definedName name="vendas_" localSheetId="9">#REF!</definedName>
    <definedName name="VERIFICAR" localSheetId="9">{#N/A,#N/A,TRUE,"Quinzena 01 à 15-04-98 "}</definedName>
    <definedName name="versao_estudo" localSheetId="9">#REF!</definedName>
    <definedName name="vfbg" localSheetId="9">#REF!</definedName>
    <definedName name="vfnijfd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9">{#N/A,#N/A,FALSE,"Plan1";#N/A,#N/A,FALSE,"Plan2"}</definedName>
    <definedName name="VI" localSheetId="9">#REF!</definedName>
    <definedName name="VINTE" localSheetId="9">#REF!</definedName>
    <definedName name="visao_cashflow" localSheetId="9">#REF!</definedName>
    <definedName name="visao_VL" localSheetId="9">#REF!</definedName>
    <definedName name="vl_cd" localSheetId="9">#REF!</definedName>
    <definedName name="vl_k1" localSheetId="9">#REF!</definedName>
    <definedName name="vl_k2" localSheetId="9">#REF!</definedName>
    <definedName name="vl_k3" localSheetId="9">#REF!</definedName>
    <definedName name="vld_classificacao" localSheetId="9">IF(#REF!="Ativa",OFFSET(INDEX(rng_list_classificacao,MATCH(#REF!,rng_list_classificacao,0)),1,0,COUNTA(rng_list_classificacao)-1),#REF!)</definedName>
    <definedName name="vld_regional" localSheetId="9">OFFSET(INDEX(rng_list_regional,MATCH(#REF!,rng_list_regional,0)),1,0,COUNTA(rng_list_regional)-1)</definedName>
    <definedName name="vld_segmento" localSheetId="9">IF(#REF!="Ativa",OFFSET(INDEX(rng_list_segmento,MATCH(#REF!,rng_list_segmento,0)),1,0,COUNTA(rng_list_segmento)-1),#REF!)</definedName>
    <definedName name="vld_sociedade" localSheetId="9">OFFSET(INDEX(rng_list_sociedade,MATCH(#REF!,rng_list_sociedade,0)),1,0,COUNTA(rng_list_sociedade)-1)</definedName>
    <definedName name="vld_status_empresa" localSheetId="9">OFFSET(INDEX(rng_list_status_empresa,MATCH(#REF!,rng_list_status_empresa,0)),1,0,COUNTA(rng_list_status_empresa)-1)</definedName>
    <definedName name="vld_status_lancamento" localSheetId="9">IF(#REF!="Ativa",OFFSET(INDEX(rng_list_status_lancamento,MATCH(#REF!,rng_list_status_lancamento,0)),1,0,COUNTA(rng_list_status_lancamento)-1),#REF!)</definedName>
    <definedName name="vld_status_projeto" localSheetId="9">IF(#REF!="Ativa",OFFSET(INDEX(rng_list_status_projeto,MATCH(#REF!,rng_list_status_projeto,0)),1,0,COUNTA(rng_list_status_projeto)-1),#REF!)</definedName>
    <definedName name="vld_status_viabilidade" localSheetId="9">OFFSET(INDEX(rng_list_status_viabilidade,MATCH(#REF!,rng_list_status_viabilidade,0)),1,0,COUNTA(rng_list_status_viabilidade)-1)</definedName>
    <definedName name="VOLUME1" localSheetId="9">#REF!</definedName>
    <definedName name="VOLUME2" localSheetId="9">#REF!</definedName>
    <definedName name="VOLUME3" localSheetId="9">#REF!</definedName>
    <definedName name="VSDHFGDFGR" localSheetId="9">{#N/A,#N/A,FALSE,"Plan1";#N/A,#N/A,FALSE,"Plan2"}</definedName>
    <definedName name="vvbb" localSheetId="9">{"tabela",#N/A,FALSE,"Tabela";"decoração",#N/A,FALSE,"Decor.";"Informações",#N/A,FALSE,"Inform."}</definedName>
    <definedName name="vvcbnb" localSheetId="9">{#N/A,#N/A,FALSE,"Plan1";#N/A,#N/A,FALSE,"Plan2"}</definedName>
    <definedName name="vvvvv" localSheetId="9">{"Econ Consolidado",#N/A,FALSE,"Econ Consol";"Fluxo de Caixa",#N/A,FALSE,"Fluxo Caixa";"Investimentos",#N/A,FALSE,"Investimentos"}</definedName>
    <definedName name="vvvvvv" localSheetId="9">{#N/A,#N/A,FALSE,"Plan1";#N/A,#N/A,FALSE,"Plan2"}</definedName>
    <definedName name="vvvvvvvvvvvvvvvvv" localSheetId="9">{"HW",#N/A,FALSE,"1998"}</definedName>
    <definedName name="VX" localSheetId="9">#REF!</definedName>
    <definedName name="w" localSheetId="9">#REF!</definedName>
    <definedName name="wacc" localSheetId="9">#REF!</definedName>
    <definedName name="wadalrdjlaev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dewr" localSheetId="9">#REF!</definedName>
    <definedName name="werw4tr" localSheetId="9">{#N/A,#N/A,FALSE,"Plan1";#N/A,#N/A,FALSE,"Plan2"}</definedName>
    <definedName name="wetoedjtkdr" localSheetId="9">{#N/A,#N/A,FALSE,"Plan1";#N/A,#N/A,FALSE,"Plan2"}</definedName>
    <definedName name="WHATS" localSheetId="9">{"'Edit'!$A$1:$V$2277"}</definedName>
    <definedName name="win.VESSEL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TENS" localSheetId="9">#REF!</definedName>
    <definedName name="WKJHIR" localSheetId="9">{#N/A,#N/A,FALSE,"Plan1";#N/A,#N/A,FALSE,"Plan2"}</definedName>
    <definedName name="WLQ" localSheetId="9">{#N/A,#N/A,FALSE,"명세표"}</definedName>
    <definedName name="WNMLOCAL" localSheetId="9">#REF!</definedName>
    <definedName name="WNMMUN" localSheetId="9">#REF!</definedName>
    <definedName name="WNMSERV" localSheetId="9">#REF!</definedName>
    <definedName name="worl_cdi" localSheetId="9">#REF!</definedName>
    <definedName name="worl_hist" localSheetId="9">#REF!</definedName>
    <definedName name="worl_uss" localSheetId="9">#REF!</definedName>
    <definedName name="WRITE" localSheetId="9">{#N/A,#N/A,FALSE,"CCTV"}</definedName>
    <definedName name="wrn.BM." localSheetId="9">{#N/A,#N/A,FALSE,"CCTV"}</definedName>
    <definedName name="wrn.Brita98.xls." localSheetId="9">{#N/A,#N/A,TRUE,"Quinzena 01 à 15-04-98 "}</definedName>
    <definedName name="wrn.Completo." localSheetId="9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9">{"EconCons",#N/A,TRUE,"Econômico - Consolidado";"CaixaCons",#N/A,TRUE,"Caixa - Consolidado";"InvestCons",#N/A,TRUE,"Invest Consolidado"}</definedName>
    <definedName name="wrn.Consolidado." localSheetId="9">{"Econ Consolidado",#N/A,FALSE,"Econ Consol";"Fluxo de Caixa",#N/A,FALSE,"Fluxo Caixa";"Investimentos",#N/A,FALSE,"Investimentos"}</definedName>
    <definedName name="wrn.GERAL." localSheetId="9">{#N/A,#N/A,FALSE,"ET-CAPA";#N/A,#N/A,FALSE,"ET-PAG1";#N/A,#N/A,FALSE,"ET-PAG2";#N/A,#N/A,FALSE,"ET-PAG3";#N/A,#N/A,FALSE,"ET-PAG4";#N/A,#N/A,FALSE,"ET-PAG5"}</definedName>
    <definedName name="wrn.HAGE." localSheetId="9">{#N/A,#N/A,FALSE,"cdi";#N/A,#N/A,FALSE,"debent";#N/A,#N/A,FALSE,"fdos";#N/A,#N/A,FALSE,"resumo"}</definedName>
    <definedName name="wrn.HAGE01" localSheetId="9">{#N/A,#N/A,FALSE,"cdi";#N/A,#N/A,FALSE,"debent";#N/A,#N/A,FALSE,"fdos";#N/A,#N/A,FALSE,"resumo"}</definedName>
    <definedName name="wrn.HW." localSheetId="9">{"HW",#N/A,FALSE,"1998"}</definedName>
    <definedName name="wrn.imp_flx." localSheetId="9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9">{#N/A,#N/A,FALSE,"Plan1";#N/A,#N/A,FALSE,"Plan2"}</definedName>
    <definedName name="wrn.Imprimir." localSheetId="9">{"tabela",#N/A,FALSE,"Tabela";"decoração",#N/A,FALSE,"Decor.";"Informações",#N/A,FALSE,"Inform."}</definedName>
    <definedName name="wrn.LPU._.MG." localSheetId="9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9">{#N/A,#N/A,TRUE,"表紙";#N/A,#N/A,TRUE,"DMC合成";#N/A,#N/A,TRUE,"DMC回収･精製";#N/A,#N/A,TRUE,"MPC工程";#N/A,#N/A,TRUE,"DPC工程";#N/A,#N/A,TRUE,"ANI工程";#N/A,#N/A,TRUE,"PHOｰ触媒工程";#N/A,#N/A,TRUE,"用役"}</definedName>
    <definedName name="wrn.Month._.Report._.Package." localSheetId="9">{#N/A,#N/A,FALSE,"Global Wls Trend";#N/A,#N/A,FALSE,"Region Trend";#N/A,#N/A,FALSE,"PBU Trend"}</definedName>
    <definedName name="wrn.Monthly._.Report._.Package." localSheetId="9">{#N/A,#N/A,FALSE,"Global by BU";#N/A,#N/A,FALSE,"U.S. by BU";#N/A,#N/A,FALSE,"Canada by BU";#N/A,#N/A,FALSE,"Europe by BU";#N/A,#N/A,FALSE,"Asia by BU";#N/A,#N/A,FALSE,"Cala by BU"}</definedName>
    <definedName name="wrn.PENDENCIAS.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9">{#N/A,#N/A,FALSE,"F-01"}</definedName>
    <definedName name="wrn.Planiha._.de._.Medição._.F._.01._1" localSheetId="9">{#N/A,#N/A,FALSE,"F-01"}</definedName>
    <definedName name="wrn.Planilha_de_Medição_F_02" localSheetId="9">{#N/A,#N/A,FALSE,"F-01"}</definedName>
    <definedName name="wrn.print._.all." localSheetId="9">{#N/A,#N/A,FALSE,"$170M Cash";#N/A,#N/A,FALSE,"$250M Cash";#N/A,#N/A,FALSE,"$325M Cash"}</definedName>
    <definedName name="wrn.PrintAll." localSheetId="9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9">{#N/A,#N/A,FALSE,"Sheet1";#N/A,#N/A,FALSE,"Sheet2";#N/A,#N/A,FALSE,"Sheet3"}</definedName>
    <definedName name="wrn.PrintPrev1." localSheetId="9">{#N/A,#N/A,FALSE,"Sheet4";#N/A,#N/A,FALSE,"Sheet5";#N/A,#N/A,FALSE,"Sheet6"}</definedName>
    <definedName name="wrn.PrintPrev2." localSheetId="9">{#N/A,#N/A,FALSE,"Sheet7";#N/A,#N/A,FALSE,"Sheet8";#N/A,#N/A,FALSE,"Sheet9"}</definedName>
    <definedName name="wrn.Quadros._.relatório." localSheetId="9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9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9">{#N/A,#N/A,FALSE,"TABLE"}</definedName>
    <definedName name="wrn.TERCEIRO." localSheetId="9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9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9">{#N/A,#N/A,FALSE,"명세표"}</definedName>
    <definedName name="wrn.Unidades." localSheetId="9">{"Rio Branco",#N/A,FALSE,"Rio Branco";"Itajaí",#N/A,FALSE,"Itajaí";"Pinheiro Machado",#N/A,FALSE,"PMachado";"Esteio",#N/A,FALSE,"Esteio"}</definedName>
    <definedName name="wrn.VESSEL및N2._.구입사양서.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9">{#N/A,#N/A,FALSE,"Sheet1";#N/A,#N/A,FALSE,"Sheet2";#N/A,#N/A,FALSE,"TAB96-1"}</definedName>
    <definedName name="wrn.보호계전기." localSheetId="9">{#N/A,#N/A,FALSE,"ENG'G(보호계전기)"}</definedName>
    <definedName name="wrn.현장._.NCR._.분석." localSheetId="9">{#N/A,#N/A,FALSE,"현장 NCR 분석";#N/A,#N/A,FALSE,"현장품질감사";#N/A,#N/A,FALSE,"현장품질감사"}</definedName>
    <definedName name="wrn1.Cons." localSheetId="9">{"EconCons",#N/A,TRUE,"Econômico - Consolidado";"CaixaCons",#N/A,TRUE,"Caixa - Consolidado";"InvestCons",#N/A,TRUE,"Invest Consolidado"}</definedName>
    <definedName name="wrn1.print._.all." localSheetId="9">{#N/A,#N/A,FALSE,"$170M Cash";#N/A,#N/A,FALSE,"$250M Cash";#N/A,#N/A,FALSE,"$325M Cash"}</definedName>
    <definedName name="WRS" localSheetId="9">{"'장비'!$A$3:$M$12"}</definedName>
    <definedName name="wrt" localSheetId="9">{#N/A,#N/A,FALSE,"$170M Cash";#N/A,#N/A,FALSE,"$250M Cash";#N/A,#N/A,FALSE,"$325M Cash"}</definedName>
    <definedName name="wvu.PLANILHA2.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9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" localSheetId="9">#REF!</definedName>
    <definedName name="XALFA" localSheetId="9">#REF!</definedName>
    <definedName name="XC" localSheetId="9">#REF!</definedName>
    <definedName name="xcfrt" localSheetId="9">{#N/A,#N/A,FALSE,"Plan1";#N/A,#N/A,FALSE,"Plan2"}</definedName>
    <definedName name="xcgjkfghf" localSheetId="9">{#N/A,#N/A,FALSE,"Plan1";#N/A,#N/A,FALSE,"Plan2"}</definedName>
    <definedName name="XCGJKVHFDG" localSheetId="9">{#N/A,#N/A,FALSE,"Plan1";#N/A,#N/A,FALSE,"Plan2"}</definedName>
    <definedName name="xcgtrty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I" localSheetId="9">#REF!</definedName>
    <definedName name="XCII" localSheetId="9">#REF!</definedName>
    <definedName name="XCIII" localSheetId="9">#REF!</definedName>
    <definedName name="XCIV" localSheetId="9">#REF!</definedName>
    <definedName name="XCIX" localSheetId="9">#REF!</definedName>
    <definedName name="xçl" localSheetId="9">{#N/A,#N/A,FALSE,"Plan1";#N/A,#N/A,FALSE,"Plan2"}</definedName>
    <definedName name="xcndj" localSheetId="9">{#N/A,#N/A,FALSE,"Plan1";#N/A,#N/A,FALSE,"Plan2"}</definedName>
    <definedName name="XCV" localSheetId="9">#REF!</definedName>
    <definedName name="XCVGGT" localSheetId="9">{#N/A,#N/A,FALSE,"Plan1";#N/A,#N/A,FALSE,"Plan2"}</definedName>
    <definedName name="XCVI" localSheetId="9">#REF!</definedName>
    <definedName name="XCVII" localSheetId="9">#REF!</definedName>
    <definedName name="XCVIII" localSheetId="9">#REF!</definedName>
    <definedName name="xcvrg" localSheetId="9">{#N/A,#N/A,FALSE,"Plan1";#N/A,#N/A,FALSE,"Plan2"}</definedName>
    <definedName name="XDATA" localSheetId="9">#REF!</definedName>
    <definedName name="xdfef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9">{#N/A,#N/A,FALSE,"Plan1";#N/A,#N/A,FALSE,"Plan2"}</definedName>
    <definedName name="xfdlfj" localSheetId="9">{#N/A,#N/A,FALSE,"Plan1";#N/A,#N/A,FALSE,"Plan2"}</definedName>
    <definedName name="xfdxfdf" localSheetId="9">{#N/A,#N/A,FALSE,"Plan1";#N/A,#N/A,FALSE,"Plan2"}</definedName>
    <definedName name="XFJKLDJKLGJ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9">{#N/A,#N/A,FALSE,"Plan1";#N/A,#N/A,FALSE,"Plan2"}</definedName>
    <definedName name="XFT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9">{"Econ Consolidado",#N/A,FALSE,"Econ Consol";"Fluxo de Caixa",#N/A,FALSE,"Fluxo Caixa";"Investimentos",#N/A,FALSE,"Investimentos"}</definedName>
    <definedName name="xfvgcfgt" localSheetId="9">{#N/A,#N/A,FALSE,"Plan1";#N/A,#N/A,FALSE,"Plan2"}</definedName>
    <definedName name="xgrg" localSheetId="9">{#N/A,#N/A,FALSE,"Plan1";#N/A,#N/A,FALSE,"Plan2"}</definedName>
    <definedName name="XI" localSheetId="9">#REF!</definedName>
    <definedName name="XII" localSheetId="9">#REF!</definedName>
    <definedName name="XIII" localSheetId="9">#REF!</definedName>
    <definedName name="XITEM" localSheetId="9">#REF!</definedName>
    <definedName name="XIV" localSheetId="9">#REF!</definedName>
    <definedName name="XLOC" localSheetId="9">#REF!</definedName>
    <definedName name="xmght" localSheetId="9">{#N/A,#N/A,FALSE,"Plan1";#N/A,#N/A,FALSE,"Plan2"}</definedName>
    <definedName name="xnInforme_quantos_bebedouros____bebqt__if_bebqt__0__xlQt.bebedouros_invalida___ENTER_p_reinformar__xresp__branch_rqtderv" localSheetId="9">#REF!</definedName>
    <definedName name="XNUCOPIAS" localSheetId="9">#REF!</definedName>
    <definedName name="xo" localSheetId="9">{#N/A,#N/A,FALSE,"Global by BU";#N/A,#N/A,FALSE,"U.S. by BU";#N/A,#N/A,FALSE,"Canada by BU";#N/A,#N/A,FALSE,"Europe by BU";#N/A,#N/A,FALSE,"Asia by BU";#N/A,#N/A,FALSE,"Cala by BU"}</definedName>
    <definedName name="XREF_COLUMN_1" localSheetId="9">#REF!</definedName>
    <definedName name="XREF_COLUMN_2" localSheetId="9">#REF!</definedName>
    <definedName name="XRefCopy2" localSheetId="9">#REF!</definedName>
    <definedName name="XRefCopy3Row" localSheetId="9">#REF!</definedName>
    <definedName name="XRefPaste2" localSheetId="9">#REF!</definedName>
    <definedName name="XRefPaste4" localSheetId="9">#REF!</definedName>
    <definedName name="XRESP" localSheetId="9">#REF!</definedName>
    <definedName name="XTITRES" localSheetId="9">#REF!</definedName>
    <definedName name="XV" localSheetId="9">#REF!</definedName>
    <definedName name="XX" localSheetId="9">#REF!</definedName>
    <definedName name="XXI" localSheetId="9">#REF!</definedName>
    <definedName name="XXII" localSheetId="9">#REF!</definedName>
    <definedName name="XXIII" localSheetId="9">#REF!</definedName>
    <definedName name="XXIV" localSheetId="9">#REF!</definedName>
    <definedName name="XXV" localSheetId="9">#REF!</definedName>
    <definedName name="XXX" localSheetId="9">#REF!</definedName>
    <definedName name="XXXI" localSheetId="9">#REF!</definedName>
    <definedName name="XXXII" localSheetId="9">#REF!</definedName>
    <definedName name="XXXIII" localSheetId="9">#REF!</definedName>
    <definedName name="XXXIV" localSheetId="9">#REF!</definedName>
    <definedName name="XXXIX" localSheetId="9">#REF!</definedName>
    <definedName name="XXXV" localSheetId="9">#REF!</definedName>
    <definedName name="XXXVI" localSheetId="9">#REF!</definedName>
    <definedName name="XXXVII" localSheetId="9">#REF!</definedName>
    <definedName name="XXXVIII" localSheetId="9">#REF!</definedName>
    <definedName name="xxxx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XXXX" localSheetId="9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9">#REF!</definedName>
    <definedName name="xxxxxxxxxxxxxx" localSheetId="9">{#N/A,#N/A,FALSE,"Plan1";#N/A,#N/A,FALSE,"Plan2"}</definedName>
    <definedName name="xzfrt" localSheetId="9">{#N/A,#N/A,FALSE,"Plan1";#N/A,#N/A,FALSE,"Plan2"}</definedName>
    <definedName name="yeitrtged" localSheetId="9">{#N/A,#N/A,FALSE,"Plan1";#N/A,#N/A,FALSE,"Plan2"}</definedName>
    <definedName name="yhdfiuygrui" localSheetId="9">{#N/A,#N/A,FALSE,"Plan1";#N/A,#N/A,FALSE,"Plan2"}</definedName>
    <definedName name="YRGUYDRIY" localSheetId="9">{"Econ Consolidado",#N/A,FALSE,"Econ Consol";"Fluxo de Caixa",#N/A,FALSE,"Fluxo Caixa";"Investimentos",#N/A,FALSE,"Investimentos"}</definedName>
    <definedName name="ytdju" localSheetId="9">#REF!</definedName>
    <definedName name="yuegursdmksf" localSheetId="9">{#N/A,#N/A,FALSE,"Plan1";#N/A,#N/A,FALSE,"Plan2"}</definedName>
    <definedName name="yuekl4fr" localSheetId="9">{#N/A,#N/A,FALSE,"Plan1";#N/A,#N/A,FALSE,"Plan2"}</definedName>
    <definedName name="yureytuyrea" localSheetId="9">{#N/A,#N/A,FALSE,"Plan1";#N/A,#N/A,FALSE,"Plan2"}</definedName>
    <definedName name="z" localSheetId="9">{"'Estimativa de Lançamento-JAN'!$A$1:$AI$85"}</definedName>
    <definedName name="Z_15697660_066E_11D5_AF15_00010242ED40_.wvu.PrintArea" localSheetId="9">#REF!</definedName>
    <definedName name="Z_60DF8B29_1C1F_4B50_BDA8_B8E0C7DD04C3_.wvu.Cols" localSheetId="9">#REF!,#REF!</definedName>
    <definedName name="Z_E3FFE9E0_6C4F_4FB4_A56E_FBE96871B5C8_.wvu.Cols" localSheetId="9">#REF!,#REF!</definedName>
    <definedName name="zcdçskld" localSheetId="9">{#N/A,#N/A,FALSE,"Plan1";#N/A,#N/A,FALSE,"Plan2"}</definedName>
    <definedName name="zcsdrfrt" localSheetId="9">{#N/A,#N/A,FALSE,"Plan1";#N/A,#N/A,FALSE,"Plan2"}</definedName>
    <definedName name="ZDRE" localSheetId="9">{#N/A,#N/A,FALSE,"Plan1";#N/A,#N/A,FALSE,"Plan2"}</definedName>
    <definedName name="ZEZE" localSheetId="9">#REF!</definedName>
    <definedName name="ZIN" localSheetId="9">#REF!</definedName>
    <definedName name="ZINS" localSheetId="9">#REF!</definedName>
    <definedName name="ZSADF" localSheetId="9">{#N/A,#N/A,FALSE,"Plan1";#N/A,#N/A,FALSE,"Plan2"}</definedName>
    <definedName name="zsads" localSheetId="9">{#N/A,#N/A,FALSE,"Plan1";#N/A,#N/A,FALSE,"Plan2"}</definedName>
    <definedName name="ZSDFSETR" localSheetId="9">#REF!</definedName>
    <definedName name="zsds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9">{#N/A,#N/A,FALSE,"Plan1";#N/A,#N/A,FALSE,"Plan2"}</definedName>
    <definedName name="zxcdsf" localSheetId="9">#REF!</definedName>
    <definedName name="zxcfdstrrt" localSheetId="9">{#N/A,#N/A,FALSE,"Plan1";#N/A,#N/A,FALSE,"Plan2"}</definedName>
    <definedName name="zxcx" localSheetId="9">{#N/A,#N/A,FALSE,"Plan1";#N/A,#N/A,FALSE,"Plan2"}</definedName>
    <definedName name="ZXFCRF" localSheetId="9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9">{#N/A,#N/A,FALSE,"Plan1";#N/A,#N/A,FALSE,"Plan2"}</definedName>
    <definedName name="ZZ" localSheetId="9">#REF!</definedName>
    <definedName name="zzdftr" localSheetId="9">{#N/A,#N/A,FALSE,"Plan1";#N/A,#N/A,FALSE,"Plan2"}</definedName>
    <definedName name="zzz" localSheetId="9">#REF!</definedName>
    <definedName name="ㄱ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9">{"'장비'!$A$3:$M$12"}</definedName>
    <definedName name="검증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계약고햔황2" localSheetId="9">#REF!</definedName>
    <definedName name="고문" localSheetId="9">{#N/A,#N/A,FALSE,"현장 NCR 분석";#N/A,#N/A,FALSE,"현장품질감사";#N/A,#N/A,FALSE,"현장품질감사"}</definedName>
    <definedName name="고문2" localSheetId="9">{#N/A,#N/A,FALSE,"현장 NCR 분석";#N/A,#N/A,FALSE,"현장품질감사";#N/A,#N/A,FALSE,"현장품질감사"}</definedName>
    <definedName name="공공공표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9">{#N/A,#N/A,FALSE,"ENG'G(보호계전기)"}</definedName>
    <definedName name="공급표표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9">{#N/A,#N/A,FALSE,"CCTV"}</definedName>
    <definedName name="ㄷㄳ" localSheetId="9">{"'장비'!$A$3:$M$12"}</definedName>
    <definedName name="ㄷㄷㄷㄷ" localSheetId="9">{"'장비'!$A$3:$M$12"}</definedName>
    <definedName name="ㄷㅈㅂㄷ" localSheetId="9">{"'장비'!$A$3:$M$12"}</definedName>
    <definedName name="ㄹㄹ" localSheetId="9">{"'장비'!$A$3:$M$12"}</definedName>
    <definedName name="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9">{#N/A,#N/A,FALSE,"현장 NCR 분석";#N/A,#N/A,FALSE,"현장품질감사";#N/A,#N/A,FALSE,"현장품질감사"}</definedName>
    <definedName name="ㅁ" localSheetId="9">{#N/A,#N/A,FALSE,"명세표"}</definedName>
    <definedName name="ㅁ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9">{#N/A,#N/A,FALSE,"명세표"}</definedName>
    <definedName name="ㅁㅁㅁ" localSheetId="9">#REF!</definedName>
    <definedName name="ㅁㅁㅁㅁㅁㅁㅁㅁㅁㅁㅁㅁ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9">{#N/A,#N/A,FALSE,"명세표"}</definedName>
    <definedName name="ㅂㅂㅂㅂ" localSheetId="9">{#N/A,#N/A,FALSE,"명세표"}</definedName>
    <definedName name="ㅂㅂㅂㅂㅂㅂㅂ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9">{"'장비'!$A$3:$M$12"}</definedName>
    <definedName name="ㅂㅈㄷ" localSheetId="9">{"'장비'!$A$3:$M$12"}</definedName>
    <definedName name="ㅂㅈㄷㄷㅂㅈㅈㅂ" localSheetId="9">{"'장비'!$A$3:$M$12"}</definedName>
    <definedName name="ㅂㅈㄷㅂㅈ" localSheetId="9">{"'장비'!$A$3:$M$12"}</definedName>
    <definedName name="ㅂㅈㄷㅂㅈㅈㅂㄷ" localSheetId="9">{"'장비'!$A$3:$M$12"}</definedName>
    <definedName name="ㅂㅈㄷㅈㅂㄷ" localSheetId="9">{"'장비'!$A$3:$M$12"}</definedName>
    <definedName name="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충" localSheetId="9">#REF!</definedName>
    <definedName name="보호" localSheetId="9">{#N/A,#N/A,FALSE,"ENG'G(보호계전기)"}</definedName>
    <definedName name="본공사공정표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9">#REF!</definedName>
    <definedName name="부손익" localSheetId="9">{#N/A,#N/A,FALSE,"현장 NCR 분석";#N/A,#N/A,FALSE,"현장품질감사";#N/A,#N/A,FALSE,"현장품질감사"}</definedName>
    <definedName name="분야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9">{"'장비'!$A$3:$M$12"}</definedName>
    <definedName name="ㅅㅅㅅㅅㅅ" localSheetId="9">{"'장비'!$A$3:$M$12"}</definedName>
    <definedName name="사업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계획수정" localSheetId="9">#REF!</definedName>
    <definedName name="사업관리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부양식2" localSheetId="9">#REF!</definedName>
    <definedName name="새안" localSheetId="9">{#N/A,#N/A,FALSE,"TABLE"}</definedName>
    <definedName name="석항" localSheetId="9">{#N/A,#N/A,FALSE,"명세표"}</definedName>
    <definedName name="설계현황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손익계산서" localSheetId="9">#REF!</definedName>
    <definedName name="쇼ㅗㅎ로" localSheetId="9">{"'장비'!$A$3:$M$12"}</definedName>
    <definedName name="신설" localSheetId="9">{#N/A,#N/A,FALSE,"명세표"}</definedName>
    <definedName name="실적총괄1" localSheetId="9">#REF!</definedName>
    <definedName name="ㅇㅇ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월" localSheetId="9">#REF!</definedName>
    <definedName name="이이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9">{#N/A,#N/A,FALSE,"명세표"}</definedName>
    <definedName name="ㅈㅈㅈㅈ" localSheetId="9">{#N/A,#N/A,FALSE,"명세표"}</definedName>
    <definedName name="자미" localSheetId="9">{#N/A,#N/A,FALSE,"명세표"}</definedName>
    <definedName name="자운" localSheetId="9">#REF!</definedName>
    <definedName name="자재3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계장금액" localSheetId="9">#REF!</definedName>
    <definedName name="전기사양_SAMPLE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9">#REF!</definedName>
    <definedName name="조직표현장" localSheetId="9">#REF!</definedName>
    <definedName name="종합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9">{#N/A,#N/A,FALSE,"ENG'G(보호계전기)"}</definedName>
    <definedName name="집계" localSheetId="9">{#N/A,#N/A,FALSE,"명세표"}</definedName>
    <definedName name="철골공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9">{#N/A,#N/A,FALSE,"명세표"}</definedName>
    <definedName name="ㅋㅋㅋ" localSheetId="9">{#N/A,#N/A,FALSE,"명세표"}</definedName>
    <definedName name="ㅌㅌ" localSheetId="9">{#N/A,#N/A,FALSE,"명세표"}</definedName>
    <definedName name="토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9">{"'장비'!$A$3:$M$12"}</definedName>
    <definedName name="하하하" localSheetId="9">{#N/A,#N/A,FALSE,"명세표"}</definedName>
    <definedName name="한국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9">{#N/A,#N/A,FALSE,"명세표"}</definedName>
    <definedName name="ㅏㅏㅏ" localSheetId="9">{#N/A,#N/A,FALSE,"명세표"}</definedName>
    <definedName name="ㅔㅔ" localSheetId="9">{#N/A,#N/A,FALSE,"명세표"}</definedName>
    <definedName name="ㅔㅔㅔㅔㅔ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9">{"'장비'!$A$3:$M$12"}</definedName>
    <definedName name="ㅗㅗ" localSheetId="9">{#N/A,#N/A,FALSE,"명세표"}</definedName>
    <definedName name="ㅗㅗㅗㅗㅗ" localSheetId="9">{"'장비'!$A$3:$M$12"}</definedName>
    <definedName name="ㅛ" localSheetId="9">{"'장비'!$A$3:$M$12"}</definedName>
    <definedName name="ㅛㅕㅛㅕㅛ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9">{"'장비'!$A$3:$M$12"}</definedName>
    <definedName name="ㅜ" localSheetId="9">{#N/A,#N/A,FALSE,"명세표"}</definedName>
    <definedName name="ㅠㅠ" localSheetId="9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9">{#N/A,#N/A,FALSE,"명세표"}</definedName>
    <definedName name="_xlnm._FilterDatabase" localSheetId="9" hidden="1">'Ger_Executivo_Cartesian'!$F$7:$P$3173</definedName>
    <definedName name="_______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10">{"'장비'!$A$3:$M$12"}</definedName>
    <definedName name="____PKG3" localSheetId="10">{"'장비'!$A$3:$M$12"}</definedName>
    <definedName name="____qqq222" localSheetId="10">{"'장비'!$A$3:$M$12"}</definedName>
    <definedName name="_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10">{"'장비'!$A$3:$M$12"}</definedName>
    <definedName name="___PKG3" localSheetId="10">{"'장비'!$A$3:$M$12"}</definedName>
    <definedName name="___qqq222" localSheetId="10">{"'장비'!$A$3:$M$12"}</definedName>
    <definedName name="_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10">{"'장비'!$A$3:$M$12"}</definedName>
    <definedName name="__PKG3" localSheetId="10">{"'장비'!$A$3:$M$12"}</definedName>
    <definedName name="__qqq222" localSheetId="10">{"'장비'!$A$3:$M$12"}</definedName>
    <definedName name="_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10">{#N/A,#N/A,FALSE,"Plan1";#N/A,#N/A,FALSE,"Plan2"}</definedName>
    <definedName name="_new11" localSheetId="10">{#N/A,#N/A,FALSE,"Global by BU";#N/A,#N/A,FALSE,"U.S. by BU";#N/A,#N/A,FALSE,"Canada by BU";#N/A,#N/A,FALSE,"Europe by BU";#N/A,#N/A,FALSE,"Asia by BU";#N/A,#N/A,FALSE,"Cala by BU"}</definedName>
    <definedName name="_Order2" localSheetId="10">0</definedName>
    <definedName name="_PK2" localSheetId="10">{"'장비'!$A$3:$M$12"}</definedName>
    <definedName name="_PKG3" localSheetId="10">{"'장비'!$A$3:$M$12"}</definedName>
    <definedName name="_qqq222" localSheetId="10">{"'장비'!$A$3:$M$12"}</definedName>
    <definedName name="_r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10">{#N/A,#N/A,FALSE,"Plan1";#N/A,#N/A,FALSE,"Plan2"}</definedName>
    <definedName name="_wrn.pendencias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aaa" localSheetId="10">#REF!</definedName>
    <definedName name="aaaaaaaaa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10">{#N/A,#N/A,FALSE,"Plan1";#N/A,#N/A,FALSE,"Plan2"}</definedName>
    <definedName name="AB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10">{#N/A,#N/A,FALSE,"Plan1";#N/A,#N/A,FALSE,"Plan2"}</definedName>
    <definedName name="ad" localSheetId="10">{#N/A,#N/A,FALSE,"Plan1";#N/A,#N/A,FALSE,"Plan2"}</definedName>
    <definedName name="adads" localSheetId="10">{#N/A,#N/A,FALSE,"Plan1";#N/A,#N/A,FALSE,"Plan2"}</definedName>
    <definedName name="adads2" localSheetId="10">{#N/A,#N/A,FALSE,"Plan1";#N/A,#N/A,FALSE,"Plan2"}</definedName>
    <definedName name="adced" localSheetId="10">{#N/A,#N/A,FALSE,"Plan1";#N/A,#N/A,FALSE,"Plan2"}</definedName>
    <definedName name="adced2" localSheetId="10">{#N/A,#N/A,FALSE,"Plan1";#N/A,#N/A,FALSE,"Plan2"}</definedName>
    <definedName name="ader" localSheetId="10">{#N/A,#N/A,FALSE,"Plan1";#N/A,#N/A,FALSE,"Plan2"}</definedName>
    <definedName name="ader2" localSheetId="10">{#N/A,#N/A,FALSE,"Plan1";#N/A,#N/A,FALSE,"Plan2"}</definedName>
    <definedName name="adesr" localSheetId="10">{#N/A,#N/A,FALSE,"Plan1";#N/A,#N/A,FALSE,"Plan2"}</definedName>
    <definedName name="adewr" localSheetId="10">{#N/A,#N/A,FALSE,"Plan1";#N/A,#N/A,FALSE,"Plan2"}</definedName>
    <definedName name="adf" localSheetId="10">{#N/A,#N/A,FALSE,"Plan1";#N/A,#N/A,FALSE,"Plan2"}</definedName>
    <definedName name="adsfr" localSheetId="10">{#N/A,#N/A,FALSE,"Plan1";#N/A,#N/A,FALSE,"Plan2"}</definedName>
    <definedName name="adssrgtg" localSheetId="10">{#N/A,#N/A,FALSE,"Plan1";#N/A,#N/A,FALSE,"Plan2"}</definedName>
    <definedName name="adtsetrr6t" localSheetId="10">{#N/A,#N/A,FALSE,"Plan1";#N/A,#N/A,FALSE,"Plan2"}</definedName>
    <definedName name="adwr" localSheetId="10">{#N/A,#N/A,FALSE,"Plan1";#N/A,#N/A,FALSE,"Plan2"}</definedName>
    <definedName name="aeiresft" localSheetId="10">{#N/A,#N/A,FALSE,"Plan1";#N/A,#N/A,FALSE,"Plan2"}</definedName>
    <definedName name="aEL3QE" localSheetId="10">{#N/A,#N/A,FALSE,"Plan1";#N/A,#N/A,FALSE,"Plan2"}</definedName>
    <definedName name="afeasfre" localSheetId="10">{#N/A,#N/A,FALSE,"Plan1";#N/A,#N/A,FALSE,"Plan2"}</definedName>
    <definedName name="agua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10">{#N/A,#N/A,FALSE,"CCTV"}</definedName>
    <definedName name="anscount" localSheetId="10">1</definedName>
    <definedName name="AQE" localSheetId="10">{"'장비'!$A$3:$M$12"}</definedName>
    <definedName name="ArComprimido" localSheetId="10">{"'Estimativa de Lançamento-JAN'!$A$1:$AI$85"}</definedName>
    <definedName name="area" localSheetId="10">#REF!</definedName>
    <definedName name="asawe3" localSheetId="10">{#N/A,#N/A,FALSE,"Plan1";#N/A,#N/A,FALSE,"Plan2"}</definedName>
    <definedName name="asd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A" localSheetId="10">{#N/A,#N/A,FALSE,"Plan1";#N/A,#N/A,FALSE,"Plan2"}</definedName>
    <definedName name="asdade" localSheetId="10">{#N/A,#N/A,FALSE,"Plan1";#N/A,#N/A,FALSE,"Plan2"}</definedName>
    <definedName name="asdas" localSheetId="10">{#N/A,#N/A,FALSE,"Plan1";#N/A,#N/A,FALSE,"Plan2"}</definedName>
    <definedName name="asdawed" localSheetId="10">{#N/A,#N/A,FALSE,"Plan1";#N/A,#N/A,FALSE,"Plan2"}</definedName>
    <definedName name="ASDER" localSheetId="10">{#N/A,#N/A,FALSE,"Plan1";#N/A,#N/A,FALSE,"Plan2"}</definedName>
    <definedName name="asderr" localSheetId="10">{#N/A,#N/A,FALSE,"Plan1";#N/A,#N/A,FALSE,"Plan2"}</definedName>
    <definedName name="asdesre" localSheetId="10">{#N/A,#N/A,FALSE,"Plan1";#N/A,#N/A,FALSE,"Plan2"}</definedName>
    <definedName name="asdewr" localSheetId="10">{#N/A,#N/A,FALSE,"Plan1";#N/A,#N/A,FALSE,"Plan2"}</definedName>
    <definedName name="ASDFASDFA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10">{#N/A,#N/A,FALSE,"Plan1";#N/A,#N/A,FALSE,"Plan2"}</definedName>
    <definedName name="asdg" localSheetId="10">{#N/A,#N/A,FALSE,"Plan1";#N/A,#N/A,FALSE,"Plan2"}</definedName>
    <definedName name="asdke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10">{#N/A,#N/A,FALSE,"Plan1";#N/A,#N/A,FALSE,"Plan2"}</definedName>
    <definedName name="asdqwe" localSheetId="10">{#N/A,#N/A,FALSE,"Plan1";#N/A,#N/A,FALSE,"Plan2"}</definedName>
    <definedName name="asdsa" localSheetId="10">{#N/A,#N/A,FALSE,"Plan1";#N/A,#N/A,FALSE,"Plan2"}</definedName>
    <definedName name="asdser" localSheetId="10">{#N/A,#N/A,FALSE,"Plan1";#N/A,#N/A,FALSE,"Plan2"}</definedName>
    <definedName name="asdwef" localSheetId="10">{#N/A,#N/A,FALSE,"Plan1";#N/A,#N/A,FALSE,"Plan2"}</definedName>
    <definedName name="ASET" localSheetId="10">{#N/A,#N/A,FALSE,"Plan1";#N/A,#N/A,FALSE,"Plan2"}</definedName>
    <definedName name="asfDSF" localSheetId="10">{#N/A,#N/A,FALSE,"Plan1";#N/A,#N/A,FALSE,"Plan2"}</definedName>
    <definedName name="ASFERTE" localSheetId="10">{#N/A,#N/A,FALSE,"Plan1";#N/A,#N/A,FALSE,"Plan2"}</definedName>
    <definedName name="asfl" localSheetId="10">{#N/A,#N/A,FALSE,"Plan1";#N/A,#N/A,FALSE,"Plan2"}</definedName>
    <definedName name="asfsz" localSheetId="10">{#N/A,#N/A,FALSE,"Plan1";#N/A,#N/A,FALSE,"Plan2"}</definedName>
    <definedName name="askserf" localSheetId="10">{#N/A,#N/A,FALSE,"Plan1";#N/A,#N/A,FALSE,"Plan2"}</definedName>
    <definedName name="ASSFSDF" localSheetId="10">{#N/A,#N/A,FALSE,"Plan1";#N/A,#N/A,FALSE,"Plan2"}</definedName>
    <definedName name="asw" localSheetId="10">{#N/A,#N/A,FALSE,"Plan1";#N/A,#N/A,FALSE,"Plan2"}</definedName>
    <definedName name="ATIVOS" localSheetId="10">{#N/A,#N/A,FALSE,"F-01"}</definedName>
    <definedName name="awdjw" localSheetId="10">{#N/A,#N/A,FALSE,"Plan1";#N/A,#N/A,FALSE,"Plan2"}</definedName>
    <definedName name="aweqw4" localSheetId="10">{#N/A,#N/A,FALSE,"Plan1";#N/A,#N/A,FALSE,"Plan2"}</definedName>
    <definedName name="awssdwaer" localSheetId="10">{#N/A,#N/A,FALSE,"Plan1";#N/A,#N/A,FALSE,"Plan2"}</definedName>
    <definedName name="b" localSheetId="10">{#N/A,#N/A,FALSE,"Plan1";#N/A,#N/A,FALSE,"Plan2"}</definedName>
    <definedName name="bbbbbbbbbbbbbbb" localSheetId="10">{"'Edit'!$A$1:$V$2277"}</definedName>
    <definedName name="bdfjghf" localSheetId="10">{#N/A,#N/A,FALSE,"Plan1";#N/A,#N/A,FALSE,"Plan2"}</definedName>
    <definedName name="bdzbfbdr" localSheetId="10">{#N/A,#N/A,FALSE,"Plan1";#N/A,#N/A,FALSE,"Plan2"}</definedName>
    <definedName name="BGG" localSheetId="10">{#N/A,#N/A,FALSE,"Plan1";#N/A,#N/A,FALSE,"Plan2"}</definedName>
    <definedName name="bhjgfhfh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10">{#N/A,#N/A,FALSE,"Plan1";#N/A,#N/A,FALSE,"Plan2"}</definedName>
    <definedName name="bmdgghrtfde" localSheetId="10">{#N/A,#N/A,FALSE,"Plan1";#N/A,#N/A,FALSE,"Plan2"}</definedName>
    <definedName name="bnkjhjhdfxgt" localSheetId="10">{#N/A,#N/A,FALSE,"Plan1";#N/A,#N/A,FALSE,"Plan2"}</definedName>
    <definedName name="bxnzfmkzxbhdf" localSheetId="10">{#N/A,#N/A,FALSE,"Plan1";#N/A,#N/A,FALSE,"Plan2"}</definedName>
    <definedName name="caixas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AT6_IP" localSheetId="10">{#N/A,#N/A,FALSE,"F-01"}</definedName>
    <definedName name="ççç" localSheetId="10">{#N/A,#N/A,FALSE,"Plan1";#N/A,#N/A,FALSE,"Plan2"}</definedName>
    <definedName name="cccc" localSheetId="10">{#N/A,#N/A,FALSE,"Plan1";#N/A,#N/A,FALSE,"Plan2"}</definedName>
    <definedName name="ççççççç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10">{"HW",#N/A,FALSE,"1998"}</definedName>
    <definedName name="çcklfjk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10">{#N/A,#N/A,FALSE,"Plan1";#N/A,#N/A,FALSE,"Plan2"}</definedName>
    <definedName name="CDSGHE" localSheetId="10">{#N/A,#N/A,FALSE,"Plan1";#N/A,#N/A,FALSE,"Plan2"}</definedName>
    <definedName name="çfhjglkjhkljyh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10">{#N/A,#N/A,FALSE,"Plan1";#N/A,#N/A,FALSE,"Plan2"}</definedName>
    <definedName name="chfch" localSheetId="10">{#N/A,#N/A,FALSE,"Plan1";#N/A,#N/A,FALSE,"Plan2"}</definedName>
    <definedName name="ÇJKRÇLFS" localSheetId="10">{"Econ Consolidado",#N/A,FALSE,"Econ Consol";"Fluxo de Caixa",#N/A,FALSE,"Fluxo Caixa";"Investimentos",#N/A,FALSE,"Investimentos"}</definedName>
    <definedName name="ÇJsrejtçe" localSheetId="10">{#N/A,#N/A,FALSE,"Plan1";#N/A,#N/A,FALSE,"Plan2"}</definedName>
    <definedName name="çkaçekow" localSheetId="10">{#N/A,#N/A,FALSE,"Plan1";#N/A,#N/A,FALSE,"Plan2"}</definedName>
    <definedName name="ÇKSDOEKR" localSheetId="10">{#N/A,#N/A,FALSE,"Plan1";#N/A,#N/A,FALSE,"Plan2"}</definedName>
    <definedName name="çl" localSheetId="10">{#N/A,#N/A,FALSE,"Plan1";#N/A,#N/A,FALSE,"Plan2"}</definedName>
    <definedName name="çlassde" localSheetId="10">{#N/A,#N/A,FALSE,"Plan1";#N/A,#N/A,FALSE,"Plan2"}</definedName>
    <definedName name="çlçlç" localSheetId="10">{#N/A,#N/A,FALSE,"Plan1";#N/A,#N/A,FALSE,"Plan2"}</definedName>
    <definedName name="çld" localSheetId="10">{#N/A,#N/A,FALSE,"Plan1";#N/A,#N/A,FALSE,"Plan2"}</definedName>
    <definedName name="çlererr" localSheetId="10">{#N/A,#N/A,FALSE,"Plan1";#N/A,#N/A,FALSE,"Plan2"}</definedName>
    <definedName name="çlertert" localSheetId="10">{#N/A,#N/A,FALSE,"Plan1";#N/A,#N/A,FALSE,"Plan2"}</definedName>
    <definedName name="çll" localSheetId="10">{#N/A,#N/A,FALSE,"Plan1";#N/A,#N/A,FALSE,"Plan2"}</definedName>
    <definedName name="CMC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10">{#N/A,#N/A,TRUE,"Quinzena 01 à 15-04-98 "}</definedName>
    <definedName name="cont" localSheetId="10">{#N/A,#N/A,FALSE,"Plan1";#N/A,#N/A,FALSE,"Plan2"}</definedName>
    <definedName name="ÇSAÇDFW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10">{#N/A,#N/A,FALSE,"Plan1";#N/A,#N/A,FALSE,"Plan2"}</definedName>
    <definedName name="CTH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lmo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10">{#N/A,#N/A,FALSE,"Plan1";#N/A,#N/A,FALSE,"Plan2"}</definedName>
    <definedName name="DÇDL" localSheetId="10">{#N/A,#N/A,FALSE,"Plan1";#N/A,#N/A,FALSE,"Plan2"}</definedName>
    <definedName name="dcnsfgdjkgb" localSheetId="10">{#N/A,#N/A,FALSE,"Plan1";#N/A,#N/A,FALSE,"Plan2"}</definedName>
    <definedName name="DÇWK" localSheetId="10">{#N/A,#N/A,FALSE,"Plan1";#N/A,#N/A,FALSE,"Plan2"}</definedName>
    <definedName name="DD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10">{"'장비'!$A$3:$M$12"}</definedName>
    <definedName name="ddddd" localSheetId="10">{#N/A,#N/A,FALSE,"Plan1";#N/A,#N/A,FALSE,"Plan2"}</definedName>
    <definedName name="dde" localSheetId="10">{#N/A,#N/A,FALSE,"Plan1";#N/A,#N/A,FALSE,"Plan2"}</definedName>
    <definedName name="ddgfdvgd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10">{#N/A,#N/A,FALSE,"Plan1";#N/A,#N/A,FALSE,"Plan2"}</definedName>
    <definedName name="dede" localSheetId="10">{#N/A,#N/A,FALSE,"Plan1";#N/A,#N/A,FALSE,"Plan2"}</definedName>
    <definedName name="des" localSheetId="10">{#N/A,#N/A,FALSE,"Plan1";#N/A,#N/A,FALSE,"Plan2"}</definedName>
    <definedName name="desc" localSheetId="10">{#N/A,#N/A,FALSE,"Plan1";#N/A,#N/A,FALSE,"Plan2"}</definedName>
    <definedName name="d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10">{#N/A,#N/A,FALSE,"명세표"}</definedName>
    <definedName name="dfdfty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10">{#N/A,#N/A,FALSE,"Plan1";#N/A,#N/A,FALSE,"Plan2"}</definedName>
    <definedName name="dfdrtrr" localSheetId="10">{#N/A,#N/A,FALSE,"Plan1";#N/A,#N/A,FALSE,"Plan2"}</definedName>
    <definedName name="DFDSG" localSheetId="10">{#N/A,#N/A,FALSE,"Plan1";#N/A,#N/A,FALSE,"Plan2"}</definedName>
    <definedName name="dfer" localSheetId="10">{#N/A,#N/A,FALSE,"Plan1";#N/A,#N/A,FALSE,"Plan2"}</definedName>
    <definedName name="dffbty" localSheetId="10">{#N/A,#N/A,FALSE,"Plan1";#N/A,#N/A,FALSE,"Plan2"}</definedName>
    <definedName name="dffgk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10">{#N/A,#N/A,FALSE,"Plan1";#N/A,#N/A,FALSE,"Plan2"}</definedName>
    <definedName name="dfg" localSheetId="10">{#N/A,#N/A,FALSE,"Plan1";#N/A,#N/A,FALSE,"Plan2"}</definedName>
    <definedName name="dfgdf" localSheetId="10">{#N/A,#N/A,FALSE,"Plan1";#N/A,#N/A,FALSE,"Plan2"}</definedName>
    <definedName name="dfgdytygr" localSheetId="10">{#N/A,#N/A,FALSE,"Plan1";#N/A,#N/A,FALSE,"Plan2"}</definedName>
    <definedName name="dfgftrrdt5" localSheetId="10">{#N/A,#N/A,FALSE,"Plan1";#N/A,#N/A,FALSE,"Plan2"}</definedName>
    <definedName name="dfghjfhsg" localSheetId="10">{#N/A,#N/A,FALSE,"Plan1";#N/A,#N/A,FALSE,"Plan2"}</definedName>
    <definedName name="dfgj" localSheetId="10">{#N/A,#N/A,FALSE,"Plan1";#N/A,#N/A,FALSE,"Plan2"}</definedName>
    <definedName name="dfgjfttyd" localSheetId="10">{#N/A,#N/A,FALSE,"Plan1";#N/A,#N/A,FALSE,"Plan2"}</definedName>
    <definedName name="dfgjjtdrtg" localSheetId="10">{#N/A,#N/A,FALSE,"Plan1";#N/A,#N/A,FALSE,"Plan2"}</definedName>
    <definedName name="dfgt" localSheetId="10">{#N/A,#N/A,FALSE,"Plan1";#N/A,#N/A,FALSE,"Plan2"}</definedName>
    <definedName name="dfgtrkjhk" localSheetId="10">{#N/A,#N/A,FALSE,"Plan1";#N/A,#N/A,FALSE,"Plan2"}</definedName>
    <definedName name="dfgty" localSheetId="10">{#N/A,#N/A,FALSE,"Plan1";#N/A,#N/A,FALSE,"Plan2"}</definedName>
    <definedName name="dfhdgfdgf" localSheetId="10">{#N/A,#N/A,FALSE,"Plan1";#N/A,#N/A,FALSE,"Plan2"}</definedName>
    <definedName name="DFHDJGJFHJGF" localSheetId="10">{#N/A,#N/A,FALSE,"Plan1";#N/A,#N/A,FALSE,"Plan2"}</definedName>
    <definedName name="dfhdyg" localSheetId="10">{#N/A,#N/A,FALSE,"Plan1";#N/A,#N/A,FALSE,"Plan2"}</definedName>
    <definedName name="DFHGDHUR" localSheetId="10">{#N/A,#N/A,FALSE,"Plan1";#N/A,#N/A,FALSE,"Plan2"}</definedName>
    <definedName name="dfhgjfgdhfjdrf" localSheetId="10">{#N/A,#N/A,FALSE,"Plan1";#N/A,#N/A,FALSE,"Plan2"}</definedName>
    <definedName name="dfhgkhfut" localSheetId="10">{#N/A,#N/A,FALSE,"Plan1";#N/A,#N/A,FALSE,"Plan2"}</definedName>
    <definedName name="dfhguitrhfg" localSheetId="10">{#N/A,#N/A,FALSE,"Plan1";#N/A,#N/A,FALSE,"Plan2"}</definedName>
    <definedName name="DFHKHDGKJHDKS" localSheetId="10">{#N/A,#N/A,FALSE,"Plan1";#N/A,#N/A,FALSE,"Plan2"}</definedName>
    <definedName name="dfjgjfhykj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10">{#N/A,#N/A,FALSE,"Plan1";#N/A,#N/A,FALSE,"Plan2"}</definedName>
    <definedName name="dfkhgfg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10">{#N/A,#N/A,FALSE,"Plan1";#N/A,#N/A,FALSE,"Plan2"}</definedName>
    <definedName name="dfnert" localSheetId="10">{#N/A,#N/A,FALSE,"Plan1";#N/A,#N/A,FALSE,"Plan2"}</definedName>
    <definedName name="dfrt" localSheetId="10">{#N/A,#N/A,FALSE,"Plan1";#N/A,#N/A,FALSE,"Plan2"}</definedName>
    <definedName name="dfsdr5tt" localSheetId="10">{#N/A,#N/A,FALSE,"Plan1";#N/A,#N/A,FALSE,"Plan2"}</definedName>
    <definedName name="dfsd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10">{#N/A,#N/A,FALSE,"Plan1";#N/A,#N/A,FALSE,"Plan2"}</definedName>
    <definedName name="dfsf" localSheetId="10">{#N/A,#N/A,FALSE,"Plan1";#N/A,#N/A,FALSE,"Plan2"}</definedName>
    <definedName name="DFT" localSheetId="10">{#N/A,#N/A,FALSE,"Plan1";#N/A,#N/A,FALSE,"Plan2"}</definedName>
    <definedName name="DFTRTTY" localSheetId="10">{#N/A,#N/A,FALSE,"Plan1";#N/A,#N/A,FALSE,"Plan2"}</definedName>
    <definedName name="dfurghifdjyhits" localSheetId="10">{#N/A,#N/A,FALSE,"Plan1";#N/A,#N/A,FALSE,"Plan2"}</definedName>
    <definedName name="dfxgdrged" localSheetId="10">{#N/A,#N/A,FALSE,"Plan1";#N/A,#N/A,FALSE,"Plan2"}</definedName>
    <definedName name="dgfrtyt" localSheetId="10">{#N/A,#N/A,FALSE,"Plan1";#N/A,#N/A,FALSE,"Plan2"}</definedName>
    <definedName name="dggfdg" localSheetId="10">{#N/A,#N/A,FALSE,"Plan1";#N/A,#N/A,FALSE,"Plan2"}</definedName>
    <definedName name="dgldfhgkljslh" localSheetId="10">{#N/A,#N/A,FALSE,"Plan1";#N/A,#N/A,FALSE,"Plan2"}</definedName>
    <definedName name="dhfgdhrehrwe" localSheetId="10">{#N/A,#N/A,FALSE,"Plan1";#N/A,#N/A,FALSE,"Plan2"}</definedName>
    <definedName name="dhgfdgrfgdfgd" localSheetId="10">{#N/A,#N/A,FALSE,"Plan1";#N/A,#N/A,FALSE,"Plan2"}</definedName>
    <definedName name="dhkjfhdhfjdh" localSheetId="10">{#N/A,#N/A,FALSE,"Plan1";#N/A,#N/A,FALSE,"Plan2"}</definedName>
    <definedName name="DHTJRT" localSheetId="10">{#N/A,#N/A,FALSE,"Plan1";#N/A,#N/A,FALSE,"Plan2"}</definedName>
    <definedName name="dijghdhks" localSheetId="10">{#N/A,#N/A,FALSE,"Plan1";#N/A,#N/A,FALSE,"Plan2"}</definedName>
    <definedName name="djasdrjas" localSheetId="10">{#N/A,#N/A,FALSE,"Plan1";#N/A,#N/A,FALSE,"Plan2"}</definedName>
    <definedName name="dj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10">{#N/A,#N/A,FALSE,"Plan1";#N/A,#N/A,FALSE,"Plan2"}</definedName>
    <definedName name="djfkhsdkjhf" localSheetId="10">{#N/A,#N/A,FALSE,"Plan1";#N/A,#N/A,FALSE,"Plan2"}</definedName>
    <definedName name="djfldjsgljslkjtg" localSheetId="10">{#N/A,#N/A,FALSE,"Plan1";#N/A,#N/A,FALSE,"Plan2"}</definedName>
    <definedName name="djflkdjgdth" localSheetId="10">{#N/A,#N/A,FALSE,"Plan1";#N/A,#N/A,FALSE,"Plan2"}</definedName>
    <definedName name="DJFLKDJGKTJYJT" localSheetId="10">{#N/A,#N/A,FALSE,"Plan1";#N/A,#N/A,FALSE,"Plan2"}</definedName>
    <definedName name="djgkfjgtiyty" localSheetId="10">{#N/A,#N/A,FALSE,"Plan1";#N/A,#N/A,FALSE,"Plan2"}</definedName>
    <definedName name="djrkehrjfhng" localSheetId="10">{#N/A,#N/A,FALSE,"Plan1";#N/A,#N/A,FALSE,"Plan2"}</definedName>
    <definedName name="djtkjldfr" localSheetId="10">{#N/A,#N/A,FALSE,"Plan1";#N/A,#N/A,FALSE,"Plan2"}</definedName>
    <definedName name="DJXDLFGDFG" localSheetId="10">{#N/A,#N/A,FALSE,"Plan1";#N/A,#N/A,FALSE,"Plan2"}</definedName>
    <definedName name="dkdkdkdkd" localSheetId="10">{#N/A,#N/A,FALSE,"명세표"}</definedName>
    <definedName name="dkfhskgf" localSheetId="10">{#N/A,#N/A,FALSE,"Plan1";#N/A,#N/A,FALSE,"Plan2"}</definedName>
    <definedName name="dkjfk" localSheetId="10">{#N/A,#N/A,FALSE,"Plan1";#N/A,#N/A,FALSE,"Plan2"}</definedName>
    <definedName name="DKLD" localSheetId="10">{#N/A,#N/A,FALSE,"Plan1";#N/A,#N/A,FALSE,"Plan2"}</definedName>
    <definedName name="DKLFJDKFD" localSheetId="10">{#N/A,#N/A,FALSE,"Plan1";#N/A,#N/A,FALSE,"Plan2"}</definedName>
    <definedName name="dklfjgirtgid" localSheetId="10">{#N/A,#N/A,FALSE,"Plan1";#N/A,#N/A,FALSE,"Plan2"}</definedName>
    <definedName name="dklfm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10">{#N/A,#N/A,FALSE,"Plan1";#N/A,#N/A,FALSE,"Plan2"}</definedName>
    <definedName name="DNFJKDHTKRE" localSheetId="10">{#N/A,#N/A,FALSE,"Plan1";#N/A,#N/A,FALSE,"Plan2"}</definedName>
    <definedName name="dng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wr" localSheetId="10">{#N/A,#N/A,FALSE,"Plan1";#N/A,#N/A,FALSE,"Plan2"}</definedName>
    <definedName name="DRRJR" localSheetId="10">{#N/A,#N/A,FALSE,"Plan1";#N/A,#N/A,FALSE,"Plan2"}</definedName>
    <definedName name="drtrt" localSheetId="10">{"'Estimativa de Lançamento-JAN'!$A$1:$AI$85"}</definedName>
    <definedName name="dsdrf" localSheetId="10">{#N/A,#N/A,FALSE,"Plan1";#N/A,#N/A,FALSE,"Plan2"}</definedName>
    <definedName name="dsfdf" localSheetId="10">{#N/A,#N/A,FALSE,"Plan1";#N/A,#N/A,FALSE,"Plan2"}</definedName>
    <definedName name="dsfg" localSheetId="10">{#N/A,#N/A,FALSE,"Plan1";#N/A,#N/A,FALSE,"Plan2"}</definedName>
    <definedName name="DSFKDSKH" localSheetId="10">{#N/A,#N/A,FALSE,"Plan1";#N/A,#N/A,FALSE,"Plan2"}</definedName>
    <definedName name="DSFR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10">{#N/A,#N/A,FALSE,"Plan1";#N/A,#N/A,FALSE,"Plan2"}</definedName>
    <definedName name="DSFSAD" localSheetId="10">{#N/A,#N/A,FALSE,"Plan1";#N/A,#N/A,FALSE,"Plan2"}</definedName>
    <definedName name="dsfsdf" localSheetId="10">{#N/A,#N/A,FALSE,"Plan1";#N/A,#N/A,FALSE,"Plan2"}</definedName>
    <definedName name="dsfsdgfb" localSheetId="10">{#N/A,#N/A,FALSE,"Plan1";#N/A,#N/A,FALSE,"Plan2"}</definedName>
    <definedName name="dsgfr" localSheetId="10">{#N/A,#N/A,FALSE,"Plan1";#N/A,#N/A,FALSE,"Plan2"}</definedName>
    <definedName name="dshfkhkrhesru" localSheetId="10">{#N/A,#N/A,FALSE,"Plan1";#N/A,#N/A,FALSE,"Plan2"}</definedName>
    <definedName name="dsjkthkr" localSheetId="10">{#N/A,#N/A,FALSE,"Plan1";#N/A,#N/A,FALSE,"Plan2"}</definedName>
    <definedName name="DSLFJSLFJ" localSheetId="10">{#N/A,#N/A,FALSE,"Plan1";#N/A,#N/A,FALSE,"Plan2"}</definedName>
    <definedName name="dsrff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10">{#N/A,#N/A,FALSE,"Plan1";#N/A,#N/A,FALSE,"Plan2"}</definedName>
    <definedName name="dtgsrytt" localSheetId="10">{#N/A,#N/A,FALSE,"Plan1";#N/A,#N/A,FALSE,"Plan2"}</definedName>
    <definedName name="dtrjkhtrgkfh" localSheetId="10">{#N/A,#N/A,FALSE,"Plan1";#N/A,#N/A,FALSE,"Plan2"}</definedName>
    <definedName name="dttjuk" localSheetId="10">{#N/A,#N/A,FALSE,"Plan1";#N/A,#N/A,FALSE,"Plan2"}</definedName>
    <definedName name="dvtry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10">{#N/A,#N/A,FALSE,"Plan1";#N/A,#N/A,FALSE,"Plan2"}</definedName>
    <definedName name="DY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10">{#N/A,#N/A,FALSE,"Plan1";#N/A,#N/A,FALSE,"Plan2"}</definedName>
    <definedName name="dzdfr" localSheetId="10">{#N/A,#N/A,FALSE,"Plan1";#N/A,#N/A,FALSE,"Plan2"}</definedName>
    <definedName name="e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C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10">{#N/A,#N/A,FALSE,"F-01"}</definedName>
    <definedName name="ECEW_1" localSheetId="10">{#N/A,#N/A,FALSE,"F-01"}</definedName>
    <definedName name="ECS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10">{#N/A,#N/A,FALSE,"Plan1";#N/A,#N/A,FALSE,"Plan2"}</definedName>
    <definedName name="eee" localSheetId="10">{#N/A,#N/A,FALSE,"ET-CAPA";#N/A,#N/A,FALSE,"ET-PAG1";#N/A,#N/A,FALSE,"ET-PAG2";#N/A,#N/A,FALSE,"ET-PAG3";#N/A,#N/A,FALSE,"ET-PAG4";#N/A,#N/A,FALSE,"ET-PAG5"}</definedName>
    <definedName name="efestfr" localSheetId="10">{#N/A,#N/A,FALSE,"Plan1";#N/A,#N/A,FALSE,"Plan2"}</definedName>
    <definedName name="efrdrt" localSheetId="10">{#N/A,#N/A,FALSE,"Plan1";#N/A,#N/A,FALSE,"Plan2"}</definedName>
    <definedName name="efrg" localSheetId="10">{#N/A,#N/A,FALSE,"Plan1";#N/A,#N/A,FALSE,"Plan2"}</definedName>
    <definedName name="efsgfr" localSheetId="10">{#N/A,#N/A,FALSE,"Plan1";#N/A,#N/A,FALSE,"Plan2"}</definedName>
    <definedName name="ER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10">{#N/A,#N/A,FALSE,"Plan1";#N/A,#N/A,FALSE,"Plan2"}</definedName>
    <definedName name="ESGFDSFD" localSheetId="10">{#N/A,#N/A,FALSE,"Plan1";#N/A,#N/A,FALSE,"Plan2"}</definedName>
    <definedName name="EU" localSheetId="10">{#N/A,#N/A,FALSE,"Plan1";#N/A,#N/A,FALSE,"Plan2"}</definedName>
    <definedName name="EVL" localSheetId="10">{"Econ Consolidado",#N/A,FALSE,"Econ Consol";"Fluxo de Caixa",#N/A,FALSE,"Fluxo Caixa";"Investimentos",#N/A,FALSE,"Investimentos"}</definedName>
    <definedName name="Evol." localSheetId="10">{"Econ Consolidado",#N/A,FALSE,"Econ Consol";"Fluxo de Caixa",#N/A,FALSE,"Fluxo Caixa";"Investimentos",#N/A,FALSE,"Investimentos"}</definedName>
    <definedName name="ewfr" localSheetId="10">{#N/A,#N/A,FALSE,"Plan1";#N/A,#N/A,FALSE,"Plan2"}</definedName>
    <definedName name="eyruieyteta" localSheetId="10">{#N/A,#N/A,FALSE,"Plan1";#N/A,#N/A,FALSE,"Plan2"}</definedName>
    <definedName name="f" localSheetId="10">{#N/A,#N/A,FALSE,"Plan1";#N/A,#N/A,FALSE,"Plan2"}</definedName>
    <definedName name="FAS" localSheetId="10">{"'Total'!$A$1","'Total'!$A$3"}</definedName>
    <definedName name="fasfasf" localSheetId="10">{#N/A,#N/A,TRUE,"Quinzena 01 à 15-04-98 "}</definedName>
    <definedName name="fddhght" localSheetId="10">{#N/A,#N/A,FALSE,"Plan1";#N/A,#N/A,FALSE,"Plan2"}</definedName>
    <definedName name="fdfgd" localSheetId="10">{#N/A,#N/A,FALSE,"Plan1";#N/A,#N/A,FALSE,"Plan2"}</definedName>
    <definedName name="fdfng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10">{#N/A,#N/A,FALSE,"Plan1";#N/A,#N/A,FALSE,"Plan2"}</definedName>
    <definedName name="fdgdf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10">{#N/A,#N/A,FALSE,"Plan1";#N/A,#N/A,FALSE,"Plan2"}</definedName>
    <definedName name="fdgfyhygfuj" localSheetId="10">{#N/A,#N/A,FALSE,"Plan1";#N/A,#N/A,FALSE,"Plan2"}</definedName>
    <definedName name="fdhgfdf" localSheetId="10">{#N/A,#N/A,FALSE,"Plan1";#N/A,#N/A,FALSE,"Plan2"}</definedName>
    <definedName name="fdjfgdfjg" localSheetId="10">{#N/A,#N/A,FALSE,"Plan1";#N/A,#N/A,FALSE,"Plan2"}</definedName>
    <definedName name="fdjghkshtygt" localSheetId="10">{#N/A,#N/A,FALSE,"Plan1";#N/A,#N/A,FALSE,"Plan2"}</definedName>
    <definedName name="fdnhgf" localSheetId="10">{"'Estimativa de Lançamento-JAN'!$A$1:$AI$85"}</definedName>
    <definedName name="fdsf" localSheetId="10">{#N/A,#N/A,FALSE,"Plan1";#N/A,#N/A,FALSE,"Plan2"}</definedName>
    <definedName name="fffff" localSheetId="10">{#N/A,#N/A,FALSE,"Plan1";#N/A,#N/A,FALSE,"Plan2"}</definedName>
    <definedName name="FFTY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10">{#N/A,#N/A,FALSE,"Plan1";#N/A,#N/A,FALSE,"Plan2"}</definedName>
    <definedName name="fgg" localSheetId="10">{"'장비'!$A$3:$M$12"}</definedName>
    <definedName name="fghfh" localSheetId="10">{"'Estimativa de Lançamento-JAN'!$A$1:$AI$85"}</definedName>
    <definedName name="fghgfh" localSheetId="10">{#N/A,#N/A,FALSE,"Plan1";#N/A,#N/A,FALSE,"Plan2"}</definedName>
    <definedName name="FGJHFGK" localSheetId="10">{#N/A,#N/A,FALSE,"Plan1";#N/A,#N/A,FALSE,"Plan2"}</definedName>
    <definedName name="fgktyhdf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10">{#N/A,#N/A,FALSE,"Plan1";#N/A,#N/A,FALSE,"Plan2"}</definedName>
    <definedName name="fhgjfgyt" localSheetId="10">{#N/A,#N/A,FALSE,"Plan1";#N/A,#N/A,FALSE,"Plan2"}</definedName>
    <definedName name="fhgjkhtrfg" localSheetId="10">{#N/A,#N/A,FALSE,"Plan1";#N/A,#N/A,FALSE,"Plan2"}</definedName>
    <definedName name="FHGTGSRSG" localSheetId="10">{#N/A,#N/A,FALSE,"Plan1";#N/A,#N/A,FALSE,"Plan2"}</definedName>
    <definedName name="FIELD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10">{#N/A,#N/A,TRUE,"Quinzena 01 à 15-04-98 "}</definedName>
    <definedName name="fjdhfgjdhtgu" localSheetId="10">{#N/A,#N/A,FALSE,"Plan1";#N/A,#N/A,FALSE,"Plan2"}</definedName>
    <definedName name="fjfjg" localSheetId="10">{#N/A,#N/A,FALSE,"명세표"}</definedName>
    <definedName name="FJGH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10">{#N/A,#N/A,FALSE,"Plan1";#N/A,#N/A,FALSE,"Plan2"}</definedName>
    <definedName name="fjtgfh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10">{#N/A,#N/A,FALSE,"Plan1";#N/A,#N/A,FALSE,"Plan2"}</definedName>
    <definedName name="fl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rçt4r" localSheetId="10">{#N/A,#N/A,FALSE,"Plan1";#N/A,#N/A,FALSE,"Plan2"}</definedName>
    <definedName name="frdtty" localSheetId="10">{#N/A,#N/A,FALSE,"Plan1";#N/A,#N/A,FALSE,"Plan2"}</definedName>
    <definedName name="fsdfsf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10">{#N/A,#N/A,FALSE,"Plan1";#N/A,#N/A,FALSE,"Plan2"}</definedName>
    <definedName name="fxjghkfg" localSheetId="10">{#N/A,#N/A,FALSE,"Plan1";#N/A,#N/A,FALSE,"Plan2"}</definedName>
    <definedName name="galo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10">{#N/A,#N/A,FALSE,"Plan1";#N/A,#N/A,FALSE,"Plan2"}</definedName>
    <definedName name="gbdsjgsjfdgj" localSheetId="10">{#N/A,#N/A,FALSE,"Plan1";#N/A,#N/A,FALSE,"Plan2"}</definedName>
    <definedName name="gdfdhgfjgj" localSheetId="10">{#N/A,#N/A,FALSE,"Plan1";#N/A,#N/A,FALSE,"Plan2"}</definedName>
    <definedName name="gdfgdstggt" localSheetId="10">{#N/A,#N/A,FALSE,"Plan1";#N/A,#N/A,FALSE,"Plan2"}</definedName>
    <definedName name="GDFHGRJGFJDRF" localSheetId="10">{"Econ Consolidado",#N/A,FALSE,"Econ Consol";"Fluxo de Caixa",#N/A,FALSE,"Fluxo Caixa";"Investimentos",#N/A,FALSE,"Investimentos"}</definedName>
    <definedName name="gdfigfhuyuy" localSheetId="10">{#N/A,#N/A,FALSE,"Plan1";#N/A,#N/A,FALSE,"Plan2"}</definedName>
    <definedName name="gdfsgfew" localSheetId="10">{#N/A,#N/A,FALSE,"Plan1";#N/A,#N/A,FALSE,"Plan2"}</definedName>
    <definedName name="gdhfgdhfgf" localSheetId="10">{#N/A,#N/A,FALSE,"Plan1";#N/A,#N/A,FALSE,"Plan2"}</definedName>
    <definedName name="gdsfhefrwrw" localSheetId="10">{#N/A,#N/A,FALSE,"Plan1";#N/A,#N/A,FALSE,"Plan2"}</definedName>
    <definedName name="geshrjhed" localSheetId="10">{#N/A,#N/A,FALSE,"Plan1";#N/A,#N/A,FALSE,"Plan2"}</definedName>
    <definedName name="gfdcgnkf" localSheetId="10">{#N/A,#N/A,FALSE,"Plan1";#N/A,#N/A,FALSE,"Plan2"}</definedName>
    <definedName name="gfdjtgur" localSheetId="10">{#N/A,#N/A,FALSE,"Plan1";#N/A,#N/A,FALSE,"Plan2"}</definedName>
    <definedName name="gfgdhxgfdhf" localSheetId="10">{#N/A,#N/A,FALSE,"Plan1";#N/A,#N/A,FALSE,"Plan2"}</definedName>
    <definedName name="gfhfdtgjb" localSheetId="10">{#N/A,#N/A,FALSE,"Plan1";#N/A,#N/A,FALSE,"Plan2"}</definedName>
    <definedName name="gfjdshrtjhtged" localSheetId="10">{#N/A,#N/A,FALSE,"Plan1";#N/A,#N/A,FALSE,"Plan2"}</definedName>
    <definedName name="gfjgkddgfd" localSheetId="10">{#N/A,#N/A,FALSE,"Plan1";#N/A,#N/A,FALSE,"Plan2"}</definedName>
    <definedName name="gfsghjdgygr" localSheetId="10">{#N/A,#N/A,FALSE,"Plan1";#N/A,#N/A,FALSE,"Plan2"}</definedName>
    <definedName name="gftfy" localSheetId="10">{#N/A,#N/A,FALSE,"Plan1";#N/A,#N/A,FALSE,"Plan2"}</definedName>
    <definedName name="gfty" localSheetId="10">{#N/A,#N/A,FALSE,"Plan1";#N/A,#N/A,FALSE,"Plan2"}</definedName>
    <definedName name="GFUJU9" localSheetId="10">{#N/A,#N/A,FALSE,"Plan1";#N/A,#N/A,FALSE,"Plan2"}</definedName>
    <definedName name="ggg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10">{"'장비'!$A$3:$M$12"}</definedName>
    <definedName name="ggggggggg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10">{"'장비'!$A$3:$M$12"}</definedName>
    <definedName name="ghfgdfrtert" localSheetId="10">{#N/A,#N/A,FALSE,"Plan1";#N/A,#N/A,FALSE,"Plan2"}</definedName>
    <definedName name="ghfhghft" localSheetId="10">{#N/A,#N/A,FALSE,"Plan1";#N/A,#N/A,FALSE,"Plan2"}</definedName>
    <definedName name="ghjg" localSheetId="10">{"'Estimativa de Lançamento-JAN'!$A$1:$AI$85"}</definedName>
    <definedName name="ghkfhgh" localSheetId="10">{#N/A,#N/A,FALSE,"Plan1";#N/A,#N/A,FALSE,"Plan2"}</definedName>
    <definedName name="ghkjh" localSheetId="10">{#N/A,#N/A,FALSE,"ENG'G(보호계전기)"}</definedName>
    <definedName name="GJ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10">{#N/A,#N/A,FALSE,"Plan1";#N/A,#N/A,FALSE,"Plan2"}</definedName>
    <definedName name="GJ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10">{#N/A,#N/A,FALSE,"Plan1";#N/A,#N/A,FALSE,"Plan2"}</definedName>
    <definedName name="glgl" localSheetId="10">{#N/A,#N/A,FALSE,"Plan1";#N/A,#N/A,FALSE,"Plan2"}</definedName>
    <definedName name="global" localSheetId="10">{"'Estimativa de Lançamento-JAN'!$A$1:$AI$85"}</definedName>
    <definedName name="gnfrth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10">{#N/A,#N/A,FALSE,"Plan1";#N/A,#N/A,FALSE,"Plan2"}</definedName>
    <definedName name="GUI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10">{#N/A,#N/A,FALSE,"CCTV"}</definedName>
    <definedName name="hcjfkhdghfktg" localSheetId="10">{#N/A,#N/A,FALSE,"Plan1";#N/A,#N/A,FALSE,"Plan2"}</definedName>
    <definedName name="hddfndgdfg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10">{#N/A,#N/A,FALSE,"Plan1";#N/A,#N/A,FALSE,"Plan2"}</definedName>
    <definedName name="HDFGJKHKFDHTY" localSheetId="10">{#N/A,#N/A,FALSE,"Plan1";#N/A,#N/A,FALSE,"Plan2"}</definedName>
    <definedName name="hdfhdhrtgd" localSheetId="10">{#N/A,#N/A,FALSE,"Plan1";#N/A,#N/A,FALSE,"Plan2"}</definedName>
    <definedName name="hdfhftde" localSheetId="10">{#N/A,#N/A,FALSE,"Plan1";#N/A,#N/A,FALSE,"Plan2"}</definedName>
    <definedName name="hdfhgkdhgtrf" localSheetId="10">{#N/A,#N/A,FALSE,"Plan1";#N/A,#N/A,FALSE,"Plan2"}</definedName>
    <definedName name="hdfjhdkzhgdr" localSheetId="10">{#N/A,#N/A,FALSE,"Plan1";#N/A,#N/A,FALSE,"Plan2"}</definedName>
    <definedName name="hdfjkgvjgtd" localSheetId="10">{#N/A,#N/A,FALSE,"Plan1";#N/A,#N/A,FALSE,"Plan2"}</definedName>
    <definedName name="hdfjkhdhrute" localSheetId="10">{#N/A,#N/A,FALSE,"Plan1";#N/A,#N/A,FALSE,"Plan2"}</definedName>
    <definedName name="HDFKGVF" localSheetId="10">{#N/A,#N/A,FALSE,"Plan1";#N/A,#N/A,FALSE,"Plan2"}</definedName>
    <definedName name="hdgfhdgtdrt" localSheetId="10">{#N/A,#N/A,FALSE,"Plan1";#N/A,#N/A,FALSE,"Plan2"}</definedName>
    <definedName name="hdghgtgtrgd" localSheetId="10">{#N/A,#N/A,FALSE,"Plan1";#N/A,#N/A,FALSE,"Plan2"}</definedName>
    <definedName name="HDHDGHTUHDTG" localSheetId="10">{#N/A,#N/A,FALSE,"Plan1";#N/A,#N/A,FALSE,"Plan2"}</definedName>
    <definedName name="hdhghfthrrhy" localSheetId="10">{#N/A,#N/A,FALSE,"Plan1";#N/A,#N/A,FALSE,"Plan2"}</definedName>
    <definedName name="hdkfjhydjh" localSheetId="10">{#N/A,#N/A,FALSE,"Plan1";#N/A,#N/A,FALSE,"Plan2"}</definedName>
    <definedName name="hdsgfgrrdgr" localSheetId="10">{#N/A,#N/A,FALSE,"Plan1";#N/A,#N/A,FALSE,"Plan2"}</definedName>
    <definedName name="hdtertkkdsa" localSheetId="10">{#N/A,#N/A,FALSE,"Plan1";#N/A,#N/A,FALSE,"Plan2"}</definedName>
    <definedName name="HEDHA" localSheetId="10">{#N/A,#N/A,FALSE,"Plan1";#N/A,#N/A,FALSE,"Plan2"}</definedName>
    <definedName name="heife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10">{#N/A,#N/A,FALSE,"Plan1";#N/A,#N/A,FALSE,"Plan2"}</definedName>
    <definedName name="hersdtretyt" localSheetId="10">{#N/A,#N/A,FALSE,"Plan1";#N/A,#N/A,FALSE,"Plan2"}</definedName>
    <definedName name="HFDJTHTRS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10">{#N/A,#N/A,FALSE,"Plan1";#N/A,#N/A,FALSE,"Plan2"}</definedName>
    <definedName name="hfdkhgkfdhtj" localSheetId="10">{#N/A,#N/A,FALSE,"Plan1";#N/A,#N/A,FALSE,"Plan2"}</definedName>
    <definedName name="hfgfktgkhyt" localSheetId="10">{#N/A,#N/A,FALSE,"Plan1";#N/A,#N/A,FALSE,"Plan2"}</definedName>
    <definedName name="hfghdkhrgkjg" localSheetId="10">{#N/A,#N/A,FALSE,"Plan1";#N/A,#N/A,FALSE,"Plan2"}</definedName>
    <definedName name="hfighfth" localSheetId="10">{#N/A,#N/A,FALSE,"Plan1";#N/A,#N/A,FALSE,"Plan2"}</definedName>
    <definedName name="hfjghtfuyrf" localSheetId="10">{#N/A,#N/A,FALSE,"Plan1";#N/A,#N/A,FALSE,"Plan2"}</definedName>
    <definedName name="HFKJHDJGHFJ" localSheetId="10">{#N/A,#N/A,FALSE,"Plan1";#N/A,#N/A,FALSE,"Plan2"}</definedName>
    <definedName name="hgdesgfgsj" localSheetId="10">{#N/A,#N/A,FALSE,"Plan1";#N/A,#N/A,FALSE,"Plan2"}</definedName>
    <definedName name="hgdgfd" localSheetId="10">{#N/A,#N/A,FALSE,"Plan1";#N/A,#N/A,FALSE,"Plan2"}</definedName>
    <definedName name="hgfhjkdfhj" localSheetId="10">{#N/A,#N/A,FALSE,"Plan1";#N/A,#N/A,FALSE,"Plan2"}</definedName>
    <definedName name="hgg" localSheetId="10">{#N/A,#N/A,FALSE,"Plan1";#N/A,#N/A,FALSE,"Plan2"}</definedName>
    <definedName name="hgjdfgghg" localSheetId="10">{#N/A,#N/A,FALSE,"Plan1";#N/A,#N/A,FALSE,"Plan2"}</definedName>
    <definedName name="hgjkfdhg" localSheetId="10">{#N/A,#N/A,FALSE,"Plan1";#N/A,#N/A,FALSE,"Plan2"}</definedName>
    <definedName name="hgkdfhkfk" localSheetId="10">{#N/A,#N/A,FALSE,"Plan1";#N/A,#N/A,FALSE,"Plan2"}</definedName>
    <definedName name="hgkjhdfhtrdyt" localSheetId="10">{#N/A,#N/A,FALSE,"Plan1";#N/A,#N/A,FALSE,"Plan2"}</definedName>
    <definedName name="hgkjhdfkhgtfhg" localSheetId="10">{#N/A,#N/A,FALSE,"Plan1";#N/A,#N/A,FALSE,"Plan2"}</definedName>
    <definedName name="hgkjhkfhsdkdhgk" localSheetId="10">{#N/A,#N/A,FALSE,"Plan1";#N/A,#N/A,FALSE,"Plan2"}</definedName>
    <definedName name="hgsufgdhghd" localSheetId="10">{#N/A,#N/A,FALSE,"Plan1";#N/A,#N/A,FALSE,"Plan2"}</definedName>
    <definedName name="HHGFHTYUT" localSheetId="10">{#N/A,#N/A,FALSE,"Plan1";#N/A,#N/A,FALSE,"Plan2"}</definedName>
    <definedName name="hhh" localSheetId="10">{"'Total'!$A$1","'Total'!$A$3"}</definedName>
    <definedName name="hik" localSheetId="10">{#N/A,#N/A,FALSE,"TABLE"}</definedName>
    <definedName name="hjdgtjdjxrfg" localSheetId="10">{#N/A,#N/A,FALSE,"Plan1";#N/A,#N/A,FALSE,"Plan2"}</definedName>
    <definedName name="HJFDGD" localSheetId="10">{#N/A,#N/A,FALSE,"Plan1";#N/A,#N/A,FALSE,"Plan2"}</definedName>
    <definedName name="HJGASD" localSheetId="10">{#N/A,#N/A,FALSE,"Plan1";#N/A,#N/A,FALSE,"Plan2"}</definedName>
    <definedName name="HJGFGTFDG" localSheetId="10">{#N/A,#N/A,FALSE,"Plan1";#N/A,#N/A,FALSE,"Plan2"}</definedName>
    <definedName name="hjgfhdsgfhsd" localSheetId="10">{#N/A,#N/A,FALSE,"Plan1";#N/A,#N/A,FALSE,"Plan2"}</definedName>
    <definedName name="hjgxfjgdjyftr" localSheetId="10">{#N/A,#N/A,FALSE,"Plan1";#N/A,#N/A,FALSE,"Plan2"}</definedName>
    <definedName name="hjgyugasd" localSheetId="10">{#N/A,#N/A,FALSE,"Plan1";#N/A,#N/A,FALSE,"Plan2"}</definedName>
    <definedName name="hjjfyfy" localSheetId="10">{#N/A,#N/A,FALSE,"Plan1";#N/A,#N/A,FALSE,"Plan2"}</definedName>
    <definedName name="hjkchkvjhdjkgh" localSheetId="10">{#N/A,#N/A,FALSE,"Plan1";#N/A,#N/A,FALSE,"Plan2"}</definedName>
    <definedName name="hjkfjdyht" localSheetId="10">{#N/A,#N/A,FALSE,"Plan1";#N/A,#N/A,FALSE,"Plan2"}</definedName>
    <definedName name="hjsdffe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10">{#N/A,#N/A,FALSE,"Plan1";#N/A,#N/A,FALSE,"Plan2"}</definedName>
    <definedName name="hjsrdfre" localSheetId="10">{"Econ Consolidado",#N/A,FALSE,"Econ Consol";"Fluxo de Caixa",#N/A,FALSE,"Fluxo Caixa";"Investimentos",#N/A,FALSE,"Investimentos"}</definedName>
    <definedName name="HKewewsr" localSheetId="10">{#N/A,#N/A,FALSE,"Plan1";#N/A,#N/A,FALSE,"Plan2"}</definedName>
    <definedName name="hkhdskacd" localSheetId="10">{#N/A,#N/A,FALSE,"Plan1";#N/A,#N/A,FALSE,"Plan2"}</definedName>
    <definedName name="hkjfgfhgfh" localSheetId="10">{#N/A,#N/A,FALSE,"Plan1";#N/A,#N/A,FALSE,"Plan2"}</definedName>
    <definedName name="hkjfhgjkfhghfg" localSheetId="10">{#N/A,#N/A,FALSE,"Plan1";#N/A,#N/A,FALSE,"Plan2"}</definedName>
    <definedName name="HKLZHFRH" localSheetId="10">{#N/A,#N/A,FALSE,"Plan1";#N/A,#N/A,FALSE,"Plan2"}</definedName>
    <definedName name="ho" localSheetId="10">{#N/A,#N/A,FALSE,"TABLE"}</definedName>
    <definedName name="hrterte" localSheetId="10">{#N/A,#N/A,FALSE,"Plan1";#N/A,#N/A,FALSE,"Plan2"}</definedName>
    <definedName name="hsdf" localSheetId="10">{#N/A,#N/A,FALSE,"Plan1";#N/A,#N/A,FALSE,"Plan2"}</definedName>
    <definedName name="hsdfgdgudrt" localSheetId="10">{#N/A,#N/A,FALSE,"Plan1";#N/A,#N/A,FALSE,"Plan2"}</definedName>
    <definedName name="hsdfjkdhur" localSheetId="10">{#N/A,#N/A,FALSE,"Plan1";#N/A,#N/A,FALSE,"Plan2"}</definedName>
    <definedName name="hsdgftdht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10">{#N/A,#N/A,FALSE,"Plan1";#N/A,#N/A,FALSE,"Plan2"}</definedName>
    <definedName name="hsdjffe" localSheetId="10">{#N/A,#N/A,FALSE,"Plan1";#N/A,#N/A,FALSE,"Plan2"}</definedName>
    <definedName name="HSFIHDTR" localSheetId="10">{"Econ Consolidado",#N/A,FALSE,"Econ Consol";"Fluxo de Caixa",#N/A,FALSE,"Fluxo Caixa";"Investimentos",#N/A,FALSE,"Investimentos"}</definedName>
    <definedName name="hsfjkdshrgf" localSheetId="10">{#N/A,#N/A,FALSE,"Plan1";#N/A,#N/A,FALSE,"Plan2"}</definedName>
    <definedName name="hthhrtetdre" localSheetId="10">{#N/A,#N/A,FALSE,"Plan1";#N/A,#N/A,FALSE,"Plan2"}</definedName>
    <definedName name="HTML_Control" localSheetId="10">{"'장비'!$A$3:$M$12"}</definedName>
    <definedName name="HTML2_CONTROL" localSheetId="10">{"'Estimativa de Lançamento-JAN'!$A$1:$AI$85"}</definedName>
    <definedName name="HTML3_CONTROL" localSheetId="10">{"'Estimativa de Lançamento-JAN'!$A$1:$AI$85"}</definedName>
    <definedName name="HTMLControl" localSheetId="10">{"'Edit'!$A$1:$V$2277"}</definedName>
    <definedName name="HVJKHGKFXHFD" localSheetId="10">{#N/A,#N/A,FALSE,"Plan1";#N/A,#N/A,FALSE,"Plan2"}</definedName>
    <definedName name="hwekjhekhf" localSheetId="10">{#N/A,#N/A,FALSE,"Plan1";#N/A,#N/A,FALSE,"Plan2"}</definedName>
    <definedName name="HXFRE" localSheetId="10">{#N/A,#N/A,FALSE,"Plan1";#N/A,#N/A,FALSE,"Plan2"}</definedName>
    <definedName name="HXKJFGDKHG" localSheetId="10">{#N/A,#N/A,FALSE,"Plan1";#N/A,#N/A,FALSE,"Plan2"}</definedName>
    <definedName name="idfhgkjhfkthy" localSheetId="10">{#N/A,#N/A,FALSE,"Plan1";#N/A,#N/A,FALSE,"Plan2"}</definedName>
    <definedName name="ieroweft" localSheetId="10">{#N/A,#N/A,FALSE,"Plan1";#N/A,#N/A,FALSE,"Plan2"}</definedName>
    <definedName name="iewpotqi5poejy" localSheetId="10">{#N/A,#N/A,FALSE,"Plan1";#N/A,#N/A,FALSE,"Plan2"}</definedName>
    <definedName name="ihdfifguhgfuiyh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10">{#N/A,#N/A,FALSE,"Plan1";#N/A,#N/A,FALSE,"Plan2"}</definedName>
    <definedName name="ihrtetw4r" localSheetId="10">{#N/A,#N/A,FALSE,"Plan1";#N/A,#N/A,FALSE,"Plan2"}</definedName>
    <definedName name="IIASDSAWE" localSheetId="10">{"Econ Consolidado",#N/A,FALSE,"Econ Consol";"Fluxo de Caixa",#N/A,FALSE,"Fluxo Caixa";"Investimentos",#N/A,FALSE,"Investimentos"}</definedName>
    <definedName name="iinstalações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10">{#N/A,#N/A,FALSE,"Plan1";#N/A,#N/A,FALSE,"Plan2"}</definedName>
    <definedName name="ilsdr4wf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10">{"'Edit'!$A$1:$V$2277"}</definedName>
    <definedName name="ioeriotyt" localSheetId="10">{#N/A,#N/A,FALSE,"Plan1";#N/A,#N/A,FALSE,"Plan2"}</definedName>
    <definedName name="iohudtorh" localSheetId="10">{#N/A,#N/A,FALSE,"Plan1";#N/A,#N/A,FALSE,"Plan2"}</definedName>
    <definedName name="iojtkheayed" localSheetId="10">{#N/A,#N/A,FALSE,"Plan1";#N/A,#N/A,FALSE,"Plan2"}</definedName>
    <definedName name="iouweroieuw4" localSheetId="10">{#N/A,#N/A,FALSE,"Plan1";#N/A,#N/A,FALSE,"Plan2"}</definedName>
    <definedName name="iphifpgh" localSheetId="10">{#N/A,#N/A,FALSE,"Plan1";#N/A,#N/A,FALSE,"Plan2"}</definedName>
    <definedName name="ipodsifgpds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10">{#N/A,#N/A,FALSE,"Plan1";#N/A,#N/A,FALSE,"Plan2"}</definedName>
    <definedName name="ITEM별상세업무분장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10">{#N/A,#N/A,FALSE,"Plan1";#N/A,#N/A,FALSE,"Plan2"}</definedName>
    <definedName name="iyuyheturtd" localSheetId="10">{#N/A,#N/A,FALSE,"Plan1";#N/A,#N/A,FALSE,"Plan2"}</definedName>
    <definedName name="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10">{#N/A,#N/A,FALSE,"Plan1";#N/A,#N/A,FALSE,"Plan2"}</definedName>
    <definedName name="JASDJS" localSheetId="10">{#N/A,#N/A,FALSE,"Plan1";#N/A,#N/A,FALSE,"Plan2"}</definedName>
    <definedName name="jaskldjlse" localSheetId="10">{#N/A,#N/A,FALSE,"Plan1";#N/A,#N/A,FALSE,"Plan2"}</definedName>
    <definedName name="JASLDKLD" localSheetId="10">{#N/A,#N/A,FALSE,"Plan1";#N/A,#N/A,FALSE,"Plan2"}</definedName>
    <definedName name="JÇDFHDF" localSheetId="10">{"Econ Consolidado",#N/A,FALSE,"Econ Consol";"Fluxo de Caixa",#N/A,FALSE,"Fluxo Caixa";"Investimentos",#N/A,FALSE,"Investimentos"}</definedName>
    <definedName name="jdbgftbhr" localSheetId="10">{#N/A,#N/A,FALSE,"Plan1";#N/A,#N/A,FALSE,"Plan2"}</definedName>
    <definedName name="jdfgldfjgklh" localSheetId="10">{#N/A,#N/A,FALSE,"Plan1";#N/A,#N/A,FALSE,"Plan2"}</definedName>
    <definedName name="jdfhjkdrhjtkg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10">{#N/A,#N/A,FALSE,"Plan1";#N/A,#N/A,FALSE,"Plan2"}</definedName>
    <definedName name="JDFJLDJR" localSheetId="10">{#N/A,#N/A,FALSE,"Plan1";#N/A,#N/A,FALSE,"Plan2"}</definedName>
    <definedName name="jdfkgitfgdrtt" localSheetId="10">{#N/A,#N/A,FALSE,"Plan1";#N/A,#N/A,FALSE,"Plan2"}</definedName>
    <definedName name="JDFKHFKJ" localSheetId="10">{#N/A,#N/A,FALSE,"Plan1";#N/A,#N/A,FALSE,"Plan2"}</definedName>
    <definedName name="jdfklgtdtr" localSheetId="10">{#N/A,#N/A,FALSE,"Plan1";#N/A,#N/A,FALSE,"Plan2"}</definedName>
    <definedName name="JDFKTHRT" localSheetId="10">{#N/A,#N/A,FALSE,"Plan1";#N/A,#N/A,FALSE,"Plan2"}</definedName>
    <definedName name="JDFLKJDRF" localSheetId="10">{#N/A,#N/A,FALSE,"Plan1";#N/A,#N/A,FALSE,"Plan2"}</definedName>
    <definedName name="jdfzlkjgfdht" localSheetId="10">{#N/A,#N/A,FALSE,"Plan1";#N/A,#N/A,FALSE,"Plan2"}</definedName>
    <definedName name="jdglhfghkt" localSheetId="10">{#N/A,#N/A,FALSE,"Plan1";#N/A,#N/A,FALSE,"Plan2"}</definedName>
    <definedName name="jdhfjdhgfd" localSheetId="10">{#N/A,#N/A,FALSE,"Plan1";#N/A,#N/A,FALSE,"Plan2"}</definedName>
    <definedName name="jdjdjdjd" localSheetId="10">{#N/A,#N/A,FALSE,"명세표"}</definedName>
    <definedName name="jdkfhgjhf" localSheetId="10">{#N/A,#N/A,FALSE,"Plan1";#N/A,#N/A,FALSE,"Plan2"}</definedName>
    <definedName name="jdkfjdtr" localSheetId="10">{#N/A,#N/A,FALSE,"Plan1";#N/A,#N/A,FALSE,"Plan2"}</definedName>
    <definedName name="jdljgftldjti5r" localSheetId="10">{#N/A,#N/A,FALSE,"Plan1";#N/A,#N/A,FALSE,"Plan2"}</definedName>
    <definedName name="JDLKJDASGF" localSheetId="10">{#N/A,#N/A,FALSE,"Plan1";#N/A,#N/A,FALSE,"Plan2"}</definedName>
    <definedName name="jdrfkdjfghrtfjg" localSheetId="10">{#N/A,#N/A,FALSE,"Plan1";#N/A,#N/A,FALSE,"Plan2"}</definedName>
    <definedName name="jdskfhdk" localSheetId="10">{#N/A,#N/A,FALSE,"Plan1";#N/A,#N/A,FALSE,"Plan2"}</definedName>
    <definedName name="JDSKLGKDRHGGF" localSheetId="10">{#N/A,#N/A,FALSE,"Plan1";#N/A,#N/A,FALSE,"Plan2"}</definedName>
    <definedName name="jefsgfr" localSheetId="10">{#N/A,#N/A,FALSE,"Plan1";#N/A,#N/A,FALSE,"Plan2"}</definedName>
    <definedName name="JERHIEHYURE" localSheetId="10">{#N/A,#N/A,FALSE,"Plan1";#N/A,#N/A,FALSE,"Plan2"}</definedName>
    <definedName name="jfddlsrtyty" localSheetId="10">{#N/A,#N/A,FALSE,"Plan1";#N/A,#N/A,FALSE,"Plan2"}</definedName>
    <definedName name="jfdjtgdjghitfyh" localSheetId="10">{#N/A,#N/A,FALSE,"Plan1";#N/A,#N/A,FALSE,"Plan2"}</definedName>
    <definedName name="jfdkgkftftg" localSheetId="10">{#N/A,#N/A,FALSE,"Plan1";#N/A,#N/A,FALSE,"Plan2"}</definedName>
    <definedName name="jfghjkfdhtkyru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10">{#N/A,#N/A,FALSE,"Plan1";#N/A,#N/A,FALSE,"Plan2"}</definedName>
    <definedName name="jfgkflcnjkglc" localSheetId="10">{#N/A,#N/A,FALSE,"Plan1";#N/A,#N/A,FALSE,"Plan2"}</definedName>
    <definedName name="JFHRE" localSheetId="10">{#N/A,#N/A,FALSE,"Plan1";#N/A,#N/A,FALSE,"Plan2"}</definedName>
    <definedName name="jfkdls5jtirjd" localSheetId="10">{#N/A,#N/A,FALSE,"Plan1";#N/A,#N/A,FALSE,"Plan2"}</definedName>
    <definedName name="jfkljdkfcj" localSheetId="10">{#N/A,#N/A,FALSE,"Plan1";#N/A,#N/A,FALSE,"Plan2"}</definedName>
    <definedName name="jfkrhdtghdut" localSheetId="10">{#N/A,#N/A,FALSE,"Plan1";#N/A,#N/A,FALSE,"Plan2"}</definedName>
    <definedName name="JFRESR" localSheetId="10">{#N/A,#N/A,FALSE,"Plan1";#N/A,#N/A,FALSE,"Plan2"}</definedName>
    <definedName name="jgdfdgfjgdj" localSheetId="10">{#N/A,#N/A,FALSE,"Plan1";#N/A,#N/A,FALSE,"Plan2"}</definedName>
    <definedName name="jgdfght" localSheetId="10">{#N/A,#N/A,FALSE,"Plan1";#N/A,#N/A,FALSE,"Plan2"}</definedName>
    <definedName name="jgfgdsgfdhrf" localSheetId="10">{#N/A,#N/A,FALSE,"Plan1";#N/A,#N/A,FALSE,"Plan2"}</definedName>
    <definedName name="JGFJGTFT" localSheetId="10">{#N/A,#N/A,FALSE,"Plan1";#N/A,#N/A,FALSE,"Plan2"}</definedName>
    <definedName name="jgkjkhjuftgi" localSheetId="10">{#N/A,#N/A,FALSE,"Plan1";#N/A,#N/A,FALSE,"Plan2"}</definedName>
    <definedName name="jh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10">{#N/A,#N/A,FALSE,"Plan1";#N/A,#N/A,FALSE,"Plan2"}</definedName>
    <definedName name="jhdfjkhtrdhf" localSheetId="10">{#N/A,#N/A,FALSE,"Plan1";#N/A,#N/A,FALSE,"Plan2"}</definedName>
    <definedName name="jhdfuthr" localSheetId="10">{#N/A,#N/A,FALSE,"Plan1";#N/A,#N/A,FALSE,"Plan2"}</definedName>
    <definedName name="JHDFZGRDHF" localSheetId="10">{"Econ Consolidado",#N/A,FALSE,"Econ Consol";"Fluxo de Caixa",#N/A,FALSE,"Fluxo Caixa";"Investimentos",#N/A,FALSE,"Investimentos"}</definedName>
    <definedName name="JHERKHKFGH" localSheetId="10">{#N/A,#N/A,FALSE,"Plan1";#N/A,#N/A,FALSE,"Plan2"}</definedName>
    <definedName name="JHGKJFJFJGL" localSheetId="10">{#N/A,#N/A,FALSE,"Plan1";#N/A,#N/A,FALSE,"Plan2"}</definedName>
    <definedName name="jhsdjkhfuks" localSheetId="10">{#N/A,#N/A,FALSE,"Plan1";#N/A,#N/A,FALSE,"Plan2"}</definedName>
    <definedName name="jisdrkje" localSheetId="10">{#N/A,#N/A,FALSE,"Plan1";#N/A,#N/A,FALSE,"Plan2"}</definedName>
    <definedName name="jishfrieyhtau" localSheetId="10">{#N/A,#N/A,FALSE,"Plan1";#N/A,#N/A,FALSE,"Plan2"}</definedName>
    <definedName name="jiu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10">{"'Apr-00'!$B$4:$AD$44"}</definedName>
    <definedName name="jjfdsktyhhy" localSheetId="10">{#N/A,#N/A,FALSE,"Plan1";#N/A,#N/A,FALSE,"Plan2"}</definedName>
    <definedName name="jjkjkjk" localSheetId="10">{#N/A,#N/A,FALSE,"Plan1";#N/A,#N/A,FALSE,"Plan2"}</definedName>
    <definedName name="JKDCK" localSheetId="10">{#N/A,#N/A,FALSE,"Plan1";#N/A,#N/A,FALSE,"Plan2"}</definedName>
    <definedName name="JKDFHKHFR" localSheetId="10">{#N/A,#N/A,FALSE,"Plan1";#N/A,#N/A,FALSE,"Plan2"}</definedName>
    <definedName name="JKDFTRDRJ" localSheetId="10">{#N/A,#N/A,FALSE,"Plan1";#N/A,#N/A,FALSE,"Plan2"}</definedName>
    <definedName name="jkdhfukhddf" localSheetId="10">{#N/A,#N/A,FALSE,"Plan1";#N/A,#N/A,FALSE,"Plan2"}</definedName>
    <definedName name="JKDRKGJHTDR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10">{#N/A,#N/A,FALSE,"Plan1";#N/A,#N/A,FALSE,"Plan2"}</definedName>
    <definedName name="jkfhjgkfhghh" localSheetId="10">{#N/A,#N/A,FALSE,"Plan1";#N/A,#N/A,FALSE,"Plan2"}</definedName>
    <definedName name="jkhderjkhes" localSheetId="10">{#N/A,#N/A,FALSE,"Plan1";#N/A,#N/A,FALSE,"Plan2"}</definedName>
    <definedName name="jkhdfhfd" localSheetId="10">{#N/A,#N/A,FALSE,"Plan1";#N/A,#N/A,FALSE,"Plan2"}</definedName>
    <definedName name="jkhfhest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10">{#N/A,#N/A,FALSE,"Plan1";#N/A,#N/A,FALSE,"Plan2"}</definedName>
    <definedName name="JKHGDHFUHTG" localSheetId="10">{#N/A,#N/A,FALSE,"Plan1";#N/A,#N/A,FALSE,"Plan2"}</definedName>
    <definedName name="jkhsdzjkfyiu" localSheetId="10">{#N/A,#N/A,FALSE,"Plan1";#N/A,#N/A,FALSE,"Plan2"}</definedName>
    <definedName name="jkjsdkhfdhrf" localSheetId="10">{#N/A,#N/A,FALSE,"Plan1";#N/A,#N/A,FALSE,"Plan2"}</definedName>
    <definedName name="jklgfsjgtjtg" localSheetId="10">{#N/A,#N/A,FALSE,"Plan1";#N/A,#N/A,FALSE,"Plan2"}</definedName>
    <definedName name="jksldfjsdhf" localSheetId="10">{#N/A,#N/A,FALSE,"Plan1";#N/A,#N/A,FALSE,"Plan2"}</definedName>
    <definedName name="jkxhcjkhfr" localSheetId="10">{#N/A,#N/A,FALSE,"Plan1";#N/A,#N/A,FALSE,"Plan2"}</definedName>
    <definedName name="JNGCKFKJFGH" localSheetId="10">{#N/A,#N/A,FALSE,"Plan1";#N/A,#N/A,FALSE,"Plan2"}</definedName>
    <definedName name="JREJRW" localSheetId="10">{#N/A,#N/A,FALSE,"Plan1";#N/A,#N/A,FALSE,"Plan2"}</definedName>
    <definedName name="JSADKAH" localSheetId="10">{"Econ Consolidado",#N/A,FALSE,"Econ Consol";"Fluxo de Caixa",#N/A,FALSE,"Fluxo Caixa";"Investimentos",#N/A,FALSE,"Investimentos"}</definedName>
    <definedName name="JSDAJRE" localSheetId="10">{#N/A,#N/A,FALSE,"Plan1";#N/A,#N/A,FALSE,"Plan2"}</definedName>
    <definedName name="jsdffse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10">{#N/A,#N/A,FALSE,"Plan1";#N/A,#N/A,FALSE,"Plan2"}</definedName>
    <definedName name="jsdfsdfd" localSheetId="10">{#N/A,#N/A,FALSE,"Plan1";#N/A,#N/A,FALSE,"Plan2"}</definedName>
    <definedName name="jsdljficd" localSheetId="10">{#N/A,#N/A,FALSE,"Plan1";#N/A,#N/A,FALSE,"Plan2"}</definedName>
    <definedName name="JSDTLFJDRG" localSheetId="10">{#N/A,#N/A,FALSE,"Plan1";#N/A,#N/A,FALSE,"Plan2"}</definedName>
    <definedName name="jsfjsjferwea" localSheetId="10">{#N/A,#N/A,FALSE,"Plan1";#N/A,#N/A,FALSE,"Plan2"}</definedName>
    <definedName name="jslrjer" localSheetId="10">{#N/A,#N/A,FALSE,"Plan1";#N/A,#N/A,FALSE,"Plan2"}</definedName>
    <definedName name="juklhkhdf" localSheetId="10">{#N/A,#N/A,FALSE,"Plan1";#N/A,#N/A,FALSE,"Plan2"}</definedName>
    <definedName name="JULHO99" localSheetId="10">{#N/A,#N/A,TRUE,"Quinzena 01 à 15-04-98 "}</definedName>
    <definedName name="jwekljd" localSheetId="10">{#N/A,#N/A,FALSE,"Plan1";#N/A,#N/A,FALSE,"Plan2"}</definedName>
    <definedName name="JWEOITORU5Y" localSheetId="10">{#N/A,#N/A,FALSE,"Plan1";#N/A,#N/A,FALSE,"Plan2"}</definedName>
    <definedName name="jxdfjsrf" localSheetId="10">{#N/A,#N/A,FALSE,"Plan1";#N/A,#N/A,FALSE,"Plan2"}</definedName>
    <definedName name="jxdklfjv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10">{#N/A,#N/A,FALSE,"Plan1";#N/A,#N/A,FALSE,"Plan2"}</definedName>
    <definedName name="JZXFKLJLDJF" localSheetId="10">{#N/A,#N/A,FALSE,"Plan1";#N/A,#N/A,FALSE,"Plan2"}</definedName>
    <definedName name="jzxklfdlvgfg" localSheetId="10">{#N/A,#N/A,FALSE,"Plan1";#N/A,#N/A,FALSE,"Plan2"}</definedName>
    <definedName name="k" localSheetId="10">{#N/A,#N/A,FALSE,"Plan1";#N/A,#N/A,FALSE,"Plan2"}</definedName>
    <definedName name="kaedkroswr" localSheetId="10">{"Econ Consolidado",#N/A,FALSE,"Econ Consol";"Fluxo de Caixa",#N/A,FALSE,"Fluxo Caixa";"Investimentos",#N/A,FALSE,"Investimentos"}</definedName>
    <definedName name="kçdasekr" localSheetId="10">{#N/A,#N/A,FALSE,"Plan1";#N/A,#N/A,FALSE,"Plan2"}</definedName>
    <definedName name="kçfdljtredr" localSheetId="10">{#N/A,#N/A,FALSE,"Plan1";#N/A,#N/A,FALSE,"Plan2"}</definedName>
    <definedName name="kclçkglf" localSheetId="10">{#N/A,#N/A,FALSE,"Plan1";#N/A,#N/A,FALSE,"Plan2"}</definedName>
    <definedName name="kçlkasçkere" localSheetId="10">{#N/A,#N/A,FALSE,"Plan1";#N/A,#N/A,FALSE,"Plan2"}</definedName>
    <definedName name="kdfbngtjkbf" localSheetId="10">{#N/A,#N/A,FALSE,"Plan1";#N/A,#N/A,FALSE,"Plan2"}</definedName>
    <definedName name="kdfhkghkrh" localSheetId="10">{#N/A,#N/A,FALSE,"Plan1";#N/A,#N/A,FALSE,"Plan2"}</definedName>
    <definedName name="kdfier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10">{#N/A,#N/A,FALSE,"Plan1";#N/A,#N/A,FALSE,"Plan2"}</definedName>
    <definedName name="kdfljlfr" localSheetId="10">{#N/A,#N/A,FALSE,"Plan1";#N/A,#N/A,FALSE,"Plan2"}</definedName>
    <definedName name="kdhfgkdfhytgu" localSheetId="10">{#N/A,#N/A,FALSE,"Plan1";#N/A,#N/A,FALSE,"Plan2"}</definedName>
    <definedName name="kdhgftfg" localSheetId="10">{#N/A,#N/A,FALSE,"Plan1";#N/A,#N/A,FALSE,"Plan2"}</definedName>
    <definedName name="KDHKFGKKHGF" localSheetId="10">{#N/A,#N/A,FALSE,"Plan1";#N/A,#N/A,FALSE,"Plan2"}</definedName>
    <definedName name="kdjgkfjgd" localSheetId="10">{#N/A,#N/A,FALSE,"Plan1";#N/A,#N/A,FALSE,"Plan2"}</definedName>
    <definedName name="kdjglkdlgjd" localSheetId="10">{#N/A,#N/A,FALSE,"Plan1";#N/A,#N/A,FALSE,"Plan2"}</definedName>
    <definedName name="kdjsfkldjgkty" localSheetId="10">{#N/A,#N/A,FALSE,"Plan1";#N/A,#N/A,FALSE,"Plan2"}</definedName>
    <definedName name="KDJU" localSheetId="10">{"'장비'!$A$3:$M$12"}</definedName>
    <definedName name="kdkjhgdkfhjk" localSheetId="10">{#N/A,#N/A,FALSE,"Plan1";#N/A,#N/A,FALSE,"Plan2"}</definedName>
    <definedName name="kdsf" localSheetId="10">{#N/A,#N/A,FALSE,"Plan1";#N/A,#N/A,FALSE,"Plan2"}</definedName>
    <definedName name="kdsr" localSheetId="10">{#N/A,#N/A,FALSE,"Plan1";#N/A,#N/A,FALSE,"Plan2"}</definedName>
    <definedName name="kergtfdstr" localSheetId="10">{#N/A,#N/A,FALSE,"Plan1";#N/A,#N/A,FALSE,"Plan2"}</definedName>
    <definedName name="KFDKTHGT" localSheetId="10">{#N/A,#N/A,FALSE,"Plan1";#N/A,#N/A,FALSE,"Plan2"}</definedName>
    <definedName name="kfdxlfdzs" localSheetId="10">{"Econ Consolidado",#N/A,FALSE,"Econ Consol";"Fluxo de Caixa",#N/A,FALSE,"Fluxo Caixa";"Investimentos",#N/A,FALSE,"Investimentos"}</definedName>
    <definedName name="kfgkhjkjhy" localSheetId="10">{#N/A,#N/A,FALSE,"Plan1";#N/A,#N/A,FALSE,"Plan2"}</definedName>
    <definedName name="KFJFDSDF" localSheetId="10">{#N/A,#N/A,FALSE,"Plan1";#N/A,#N/A,FALSE,"Plan2"}</definedName>
    <definedName name="kfnkeasd" localSheetId="10">{#N/A,#N/A,FALSE,"Plan1";#N/A,#N/A,FALSE,"Plan2"}</definedName>
    <definedName name="khdjkfkjhtg" localSheetId="10">{#N/A,#N/A,FALSE,"Plan1";#N/A,#N/A,FALSE,"Plan2"}</definedName>
    <definedName name="khdkfjhhfsdg" localSheetId="10">{#N/A,#N/A,FALSE,"Plan1";#N/A,#N/A,FALSE,"Plan2"}</definedName>
    <definedName name="khdkjfhgudytu" localSheetId="10">{#N/A,#N/A,FALSE,"Plan1";#N/A,#N/A,FALSE,"Plan2"}</definedName>
    <definedName name="khfdghhhgd" localSheetId="10">{#N/A,#N/A,FALSE,"Plan1";#N/A,#N/A,FALSE,"Plan2"}</definedName>
    <definedName name="khfdkjhsdjf" localSheetId="10">{#N/A,#N/A,FALSE,"Plan1";#N/A,#N/A,FALSE,"Plan2"}</definedName>
    <definedName name="khgdkftfy" localSheetId="10">{#N/A,#N/A,FALSE,"Plan1";#N/A,#N/A,FALSE,"Plan2"}</definedName>
    <definedName name="khgfhhtuhf" localSheetId="10">{#N/A,#N/A,FALSE,"Plan1";#N/A,#N/A,FALSE,"Plan2"}</definedName>
    <definedName name="khjkh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10">{#N/A,#N/A,FALSE,"Plan1";#N/A,#N/A,FALSE,"Plan2"}</definedName>
    <definedName name="kieret" localSheetId="10">{#N/A,#N/A,FALSE,"Plan1";#N/A,#N/A,FALSE,"Plan2"}</definedName>
    <definedName name="kjchkfhsezk" localSheetId="10">{#N/A,#N/A,FALSE,"Plan1";#N/A,#N/A,FALSE,"Plan2"}</definedName>
    <definedName name="kjdghksef" localSheetId="10">{#N/A,#N/A,FALSE,"Plan1";#N/A,#N/A,FALSE,"Plan2"}</definedName>
    <definedName name="kjdkftyhtert" localSheetId="10">{#N/A,#N/A,FALSE,"Plan1";#N/A,#N/A,FALSE,"Plan2"}</definedName>
    <definedName name="kjdlfkjds" localSheetId="10">{#N/A,#N/A,FALSE,"Plan1";#N/A,#N/A,FALSE,"Plan2"}</definedName>
    <definedName name="kjdzhfytrfy" localSheetId="10">{#N/A,#N/A,FALSE,"Plan1";#N/A,#N/A,FALSE,"Plan2"}</definedName>
    <definedName name="kjhdfgjthdft" localSheetId="10">{#N/A,#N/A,FALSE,"Plan1";#N/A,#N/A,FALSE,"Plan2"}</definedName>
    <definedName name="kjhsdfk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10">{#N/A,#N/A,FALSE,"Plan1";#N/A,#N/A,FALSE,"Plan2"}</definedName>
    <definedName name="KJ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10">{#N/A,#N/A,FALSE,"Plan1";#N/A,#N/A,FALSE,"Plan2"}</definedName>
    <definedName name="kjl" localSheetId="10">{#N/A,#N/A,FALSE,"ENG'G(보호계전기)"}</definedName>
    <definedName name="KJOI" localSheetId="10">{#N/A,#N/A,FALSE,"Plan1";#N/A,#N/A,FALSE,"Plan2"}</definedName>
    <definedName name="kjqwerw" localSheetId="10">{#N/A,#N/A,FALSE,"Plan1";#N/A,#N/A,FALSE,"Plan2"}</definedName>
    <definedName name="kjsfert" localSheetId="10">{#N/A,#N/A,FALSE,"Plan1";#N/A,#N/A,FALSE,"Plan2"}</definedName>
    <definedName name="KJXCFKR" localSheetId="10">{#N/A,#N/A,FALSE,"Plan1";#N/A,#N/A,FALSE,"Plan2"}</definedName>
    <definedName name="KJXDFD" localSheetId="10">{#N/A,#N/A,FALSE,"Plan1";#N/A,#N/A,FALSE,"Plan2"}</definedName>
    <definedName name="kk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10">{#N/A,#N/A,FALSE,"Plan1";#N/A,#N/A,FALSE,"Plan2"}</definedName>
    <definedName name="kkkkk" localSheetId="10">{#N/A,#N/A,FALSE,"Plan1";#N/A,#N/A,FALSE,"Plan2"}</definedName>
    <definedName name="kkkkkk" localSheetId="10">{#N/A,#N/A,FALSE,"Plan1";#N/A,#N/A,FALSE,"Plan2"}</definedName>
    <definedName name="kko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10">{#N/A,#N/A,FALSE,"Plan1";#N/A,#N/A,FALSE,"Plan2"}</definedName>
    <definedName name="kksarde" localSheetId="10">{#N/A,#N/A,FALSE,"Plan1";#N/A,#N/A,FALSE,"Plan2"}</definedName>
    <definedName name="klaskldjsw" localSheetId="10">{#N/A,#N/A,FALSE,"Plan1";#N/A,#N/A,FALSE,"Plan2"}</definedName>
    <definedName name="klçkop" localSheetId="10">{#N/A,#N/A,FALSE,"Plan1";#N/A,#N/A,FALSE,"Plan2"}</definedName>
    <definedName name="KLDFNTRDT" localSheetId="10">{#N/A,#N/A,FALSE,"Plan1";#N/A,#N/A,FALSE,"Plan2"}</definedName>
    <definedName name="klhjsdklhdf" localSheetId="10">{#N/A,#N/A,FALSE,"Plan1";#N/A,#N/A,FALSE,"Plan2"}</definedName>
    <definedName name="KLHSKLRHWE" localSheetId="10">{#N/A,#N/A,FALSE,"Plan1";#N/A,#N/A,FALSE,"Plan2"}</definedName>
    <definedName name="KLJASKJD" localSheetId="10">{#N/A,#N/A,FALSE,"Plan1";#N/A,#N/A,FALSE,"Plan2"}</definedName>
    <definedName name="KLJDXLG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10">{#N/A,#N/A,FALSE,"Plan1";#N/A,#N/A,FALSE,"Plan2"}</definedName>
    <definedName name="kljflgjrf" localSheetId="10">{#N/A,#N/A,FALSE,"Plan1";#N/A,#N/A,FALSE,"Plan2"}</definedName>
    <definedName name="kljgfdfr" localSheetId="10">{#N/A,#N/A,FALSE,"Plan1";#N/A,#N/A,FALSE,"Plan2"}</definedName>
    <definedName name="kljgfjrt" localSheetId="10">{#N/A,#N/A,FALSE,"Plan1";#N/A,#N/A,FALSE,"Plan2"}</definedName>
    <definedName name="kljlkdfj" localSheetId="10">{#N/A,#N/A,FALSE,"Plan1";#N/A,#N/A,FALSE,"Plan2"}</definedName>
    <definedName name="kljsakjfr" localSheetId="10">{#N/A,#N/A,FALSE,"Plan1";#N/A,#N/A,FALSE,"Plan2"}</definedName>
    <definedName name="kljsdje" localSheetId="10">{#N/A,#N/A,FALSE,"Plan1";#N/A,#N/A,FALSE,"Plan2"}</definedName>
    <definedName name="kljsfwe" localSheetId="10">{#N/A,#N/A,FALSE,"Plan1";#N/A,#N/A,FALSE,"Plan2"}</definedName>
    <definedName name="klk" localSheetId="10">{#N/A,#N/A,FALSE,"Plan1";#N/A,#N/A,FALSE,"Plan2"}</definedName>
    <definedName name="KLKKLKÇJÇ" localSheetId="10">{#N/A,#N/A,FALSE,"Plan1";#N/A,#N/A,FALSE,"Plan2"}</definedName>
    <definedName name="KLSDFT" localSheetId="10">{#N/A,#N/A,FALSE,"Plan1";#N/A,#N/A,FALSE,"Plan2"}</definedName>
    <definedName name="KLSDHSJKHF" localSheetId="10">{#N/A,#N/A,FALSE,"Plan1";#N/A,#N/A,FALSE,"Plan2"}</definedName>
    <definedName name="klsdkre" localSheetId="10">{#N/A,#N/A,FALSE,"Plan1";#N/A,#N/A,FALSE,"Plan2"}</definedName>
    <definedName name="KLSIDJE" localSheetId="10">{#N/A,#N/A,FALSE,"Plan1";#N/A,#N/A,FALSE,"Plan2"}</definedName>
    <definedName name="klsjarsf" localSheetId="10">{#N/A,#N/A,FALSE,"Plan1";#N/A,#N/A,FALSE,"Plan2"}</definedName>
    <definedName name="klxhjfdkhser" localSheetId="10">{#N/A,#N/A,FALSE,"Plan1";#N/A,#N/A,FALSE,"Plan2"}</definedName>
    <definedName name="kopipnsdfne" localSheetId="10">{#N/A,#N/A,FALSE,"Plan1";#N/A,#N/A,FALSE,"Plan2"}</definedName>
    <definedName name="kp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10">{#N/A,#N/A,FALSE,"Plan1";#N/A,#N/A,FALSE,"Plan2"}</definedName>
    <definedName name="ksdlkfsçzd" localSheetId="10">{#N/A,#N/A,FALSE,"Plan1";#N/A,#N/A,FALSE,"Plan2"}</definedName>
    <definedName name="ksdoçierfe" localSheetId="10">{#N/A,#N/A,FALSE,"Plan1";#N/A,#N/A,FALSE,"Plan2"}</definedName>
    <definedName name="ksdtrdrkf" localSheetId="10">{#N/A,#N/A,FALSE,"Plan1";#N/A,#N/A,FALSE,"Plan2"}</definedName>
    <definedName name="KSFÇJDFJL" localSheetId="10">{#N/A,#N/A,FALSE,"Plan1";#N/A,#N/A,FALSE,"Plan2"}</definedName>
    <definedName name="ksfhse" localSheetId="10">{#N/A,#N/A,FALSE,"Plan1";#N/A,#N/A,FALSE,"Plan2"}</definedName>
    <definedName name="KSRKOE" localSheetId="10">{#N/A,#N/A,FALSE,"Plan1";#N/A,#N/A,FALSE,"Plan2"}</definedName>
    <definedName name="KSWKE" localSheetId="10">{#N/A,#N/A,FALSE,"Plan1";#N/A,#N/A,FALSE,"Plan2"}</definedName>
    <definedName name="kysdusf" localSheetId="10">{#N/A,#N/A,FALSE,"Plan1";#N/A,#N/A,FALSE,"Plan2"}</definedName>
    <definedName name="kzslçdkçle" localSheetId="10">{#N/A,#N/A,FALSE,"Plan1";#N/A,#N/A,FALSE,"Plan2"}</definedName>
    <definedName name="LAEKWRK" localSheetId="10">{#N/A,#N/A,FALSE,"Plan1";#N/A,#N/A,FALSE,"Plan2"}</definedName>
    <definedName name="LAKDEWRF" localSheetId="10">{#N/A,#N/A,FALSE,"Plan1";#N/A,#N/A,FALSE,"Plan2"}</definedName>
    <definedName name="LASÇDSRLF" localSheetId="10">{#N/A,#N/A,FALSE,"Plan1";#N/A,#N/A,FALSE,"Plan2"}</definedName>
    <definedName name="lasrlswer" localSheetId="10">{#N/A,#N/A,FALSE,"Plan1";#N/A,#N/A,FALSE,"Plan2"}</definedName>
    <definedName name="lçadple4r" localSheetId="10">{#N/A,#N/A,FALSE,"Plan1";#N/A,#N/A,FALSE,"Plan2"}</definedName>
    <definedName name="lçasser" localSheetId="10">{#N/A,#N/A,FALSE,"Plan1";#N/A,#N/A,FALSE,"Plan2"}</definedName>
    <definedName name="lcdgjtklfrn" localSheetId="10">{#N/A,#N/A,FALSE,"Plan1";#N/A,#N/A,FALSE,"Plan2"}</definedName>
    <definedName name="lçfklsdkçaer" localSheetId="10">{#N/A,#N/A,FALSE,"Plan1";#N/A,#N/A,FALSE,"Plan2"}</definedName>
    <definedName name="lçjkgf" localSheetId="10">{#N/A,#N/A,FALSE,"Plan1";#N/A,#N/A,FALSE,"Plan2"}</definedName>
    <definedName name="LÇJSLDFJ" localSheetId="10">{#N/A,#N/A,FALSE,"Plan1";#N/A,#N/A,FALSE,"Plan2"}</definedName>
    <definedName name="LÇKÇSDRLK" localSheetId="10">{#N/A,#N/A,FALSE,"Plan1";#N/A,#N/A,FALSE,"Plan2"}</definedName>
    <definedName name="lçkl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10">{#N/A,#N/A,FALSE,"Plan1";#N/A,#N/A,FALSE,"Plan2"}</definedName>
    <definedName name="lçslrr4r" localSheetId="10">{#N/A,#N/A,FALSE,"Plan1";#N/A,#N/A,FALSE,"Plan2"}</definedName>
    <definedName name="ldfjgry" localSheetId="10">{#N/A,#N/A,FALSE,"Plan1";#N/A,#N/A,FALSE,"Plan2"}</definedName>
    <definedName name="ldfjgtilrf" localSheetId="10">{#N/A,#N/A,FALSE,"Plan1";#N/A,#N/A,FALSE,"Plan2"}</definedName>
    <definedName name="ldk" localSheetId="10">{#N/A,#N/A,FALSE,"Plan1";#N/A,#N/A,FALSE,"Plan2"}</definedName>
    <definedName name="ldkgkdfjgkh" localSheetId="10">{#N/A,#N/A,FALSE,"Plan1";#N/A,#N/A,FALSE,"Plan2"}</definedName>
    <definedName name="LDTJGR" localSheetId="10">{#N/A,#N/A,FALSE,"Plan1";#N/A,#N/A,FALSE,"Plan2"}</definedName>
    <definedName name="LEKG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10">{#N/A,#N/A,FALSE,"Plan1";#N/A,#N/A,FALSE,"Plan2"}</definedName>
    <definedName name="lidfjgklruf" localSheetId="10">{#N/A,#N/A,FALSE,"Plan1";#N/A,#N/A,FALSE,"Plan2"}</definedName>
    <definedName name="list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10">{#N/A,#N/A,FALSE,"Plan1";#N/A,#N/A,FALSE,"Plan2"}</definedName>
    <definedName name="LJDFLJRL" localSheetId="10">{#N/A,#N/A,FALSE,"Plan1";#N/A,#N/A,FALSE,"Plan2"}</definedName>
    <definedName name="ljsdfrd" localSheetId="10">{#N/A,#N/A,FALSE,"Plan1";#N/A,#N/A,FALSE,"Plan2"}</definedName>
    <definedName name="LK" localSheetId="10">{#N/A,#N/A,TRUE,"Quinzena 01 à 15-04-98 "}</definedName>
    <definedName name="lkasdkeo" localSheetId="10">{#N/A,#N/A,FALSE,"Plan1";#N/A,#N/A,FALSE,"Plan2"}</definedName>
    <definedName name="lkdeas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10">{#N/A,#N/A,FALSE,"Plan1";#N/A,#N/A,FALSE,"Plan2"}</definedName>
    <definedName name="lkfdkçtktr" localSheetId="10">{#N/A,#N/A,FALSE,"Plan1";#N/A,#N/A,FALSE,"Plan2"}</definedName>
    <definedName name="lkt" localSheetId="10">{#N/A,#N/A,FALSE,"Plan1";#N/A,#N/A,FALSE,"Plan2"}</definedName>
    <definedName name="lktlyklt" localSheetId="10">{#N/A,#N/A,FALSE,"Plan1";#N/A,#N/A,FALSE,"Plan2"}</definedName>
    <definedName name="LKTTYT" localSheetId="10">{#N/A,#N/A,FALSE,"Plan1";#N/A,#N/A,FALSE,"Plan2"}</definedName>
    <definedName name="llgg" localSheetId="10">{#N/A,#N/A,FALSE,"Plan1";#N/A,#N/A,FALSE,"Plan2"}</definedName>
    <definedName name="LLL" localSheetId="10">{#N/A,#N/A,FALSE,"Plan1";#N/A,#N/A,FALSE,"Plan2"}</definedName>
    <definedName name="LM_AR" localSheetId="10">{#N/A,#N/A,FALSE,"F-01"}</definedName>
    <definedName name="LM_AT" localSheetId="10">{#N/A,#N/A,FALSE,"F-01"}</definedName>
    <definedName name="LM_INC" localSheetId="10">{#N/A,#N/A,FALSE,"F-01"}</definedName>
    <definedName name="LMPAS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FKLDKFTR" localSheetId="10">{#N/A,#N/A,FALSE,"Plan1";#N/A,#N/A,FALSE,"Plan2"}</definedName>
    <definedName name="lsdjs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10">{#N/A,#N/A,FALSE,"Plan1";#N/A,#N/A,FALSE,"Plan2"}</definedName>
    <definedName name="lsdsder" localSheetId="10">{#N/A,#N/A,FALSE,"Plan1";#N/A,#N/A,FALSE,"Plan2"}</definedName>
    <definedName name="ltj6ljyhdjhngças" localSheetId="10">{#N/A,#N/A,FALSE,"Plan1";#N/A,#N/A,FALSE,"Plan2"}</definedName>
    <definedName name="m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10">{#N/A,#N/A,FALSE,"Plan1";#N/A,#N/A,FALSE,"Plan2"}</definedName>
    <definedName name="MANTO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10">{#N/A,#N/A,FALSE,"Plan1";#N/A,#N/A,FALSE,"Plan2"}</definedName>
    <definedName name="MC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10">{#N/A,#N/A,FALSE,"Plan1";#N/A,#N/A,FALSE,"Plan2"}</definedName>
    <definedName name="MDSÇLFJKJSD" localSheetId="10">{#N/A,#N/A,FALSE,"Plan1";#N/A,#N/A,FALSE,"Plan2"}</definedName>
    <definedName name="ME" localSheetId="10">{"HW",#N/A,FALSE,"1998"}</definedName>
    <definedName name="MESTRE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10">{#N/A,#N/A,FALSE,"Plan1";#N/A,#N/A,FALSE,"Plan2"}</definedName>
    <definedName name="MM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10">{"tabela",#N/A,FALSE,"Tabela";"decoração",#N/A,FALSE,"Decor.";"Informações",#N/A,FALSE,"Inform."}</definedName>
    <definedName name="mmmmmmm" localSheetId="10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MNBXFKGS" localSheetId="10">{#N/A,#N/A,FALSE,"Plan1";#N/A,#N/A,FALSE,"Plan2"}</definedName>
    <definedName name="mncvbgcvmc" localSheetId="10">{#N/A,#N/A,FALSE,"Plan1";#N/A,#N/A,FALSE,"Plan2"}</definedName>
    <definedName name="MNDKZSFNCEA" localSheetId="10">{#N/A,#N/A,FALSE,"Plan1";#N/A,#N/A,FALSE,"Plan2"}</definedName>
    <definedName name="mnhdshfgfhd" localSheetId="10">{#N/A,#N/A,FALSE,"Plan1";#N/A,#N/A,FALSE,"Plan2"}</definedName>
    <definedName name="mobra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10">{#N/A,#N/A,FALSE,"cdi";#N/A,#N/A,FALSE,"debent";#N/A,#N/A,FALSE,"fdos";#N/A,#N/A,FALSE,"resumo"}</definedName>
    <definedName name="Modelo1a" localSheetId="10">{#N/A,#N/A,FALSE,"cdi";#N/A,#N/A,FALSE,"debent";#N/A,#N/A,FALSE,"fdos";#N/A,#N/A,FALSE,"resumo"}</definedName>
    <definedName name="Modelo2" localSheetId="10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10">{#N/A,#N/A,FALSE,"CCTV"}</definedName>
    <definedName name="MSDRFSWER" localSheetId="10">{"Econ Consolidado",#N/A,FALSE,"Econ Consol";"Fluxo de Caixa",#N/A,FALSE,"Fluxo Caixa";"Investimentos",#N/A,FALSE,"Investimentos"}</definedName>
    <definedName name="mzshdjshjs" localSheetId="10">{#N/A,#N/A,FALSE,"Plan1";#N/A,#N/A,FALSE,"Plan2"}</definedName>
    <definedName name="na" localSheetId="10">{#N/A,#N/A,FALSE,"$170M Cash";#N/A,#N/A,FALSE,"$250M Cash";#N/A,#N/A,FALSE,"$325M Cash"}</definedName>
    <definedName name="ncdgrdhrtg" localSheetId="10">{#N/A,#N/A,FALSE,"Plan1";#N/A,#N/A,FALSE,"Plan2"}</definedName>
    <definedName name="nchngdfhgdh" localSheetId="10">{#N/A,#N/A,FALSE,"Plan1";#N/A,#N/A,FALSE,"Plan2"}</definedName>
    <definedName name="NCJFKNGJHF" localSheetId="10">{#N/A,#N/A,FALSE,"Plan1";#N/A,#N/A,FALSE,"Plan2"}</definedName>
    <definedName name="ndcxhgdhf" localSheetId="10">{#N/A,#N/A,FALSE,"Plan1";#N/A,#N/A,FALSE,"Plan2"}</definedName>
    <definedName name="ndfjnjkrhdgt" localSheetId="10">{#N/A,#N/A,FALSE,"Plan1";#N/A,#N/A,FALSE,"Plan2"}</definedName>
    <definedName name="ndfkghkjthfyst" localSheetId="10">{#N/A,#N/A,FALSE,"Plan1";#N/A,#N/A,FALSE,"Plan2"}</definedName>
    <definedName name="NDJGKFKGHUFG" localSheetId="10">{#N/A,#N/A,FALSE,"Plan1";#N/A,#N/A,FALSE,"Plan2"}</definedName>
    <definedName name="ndrjkt" localSheetId="10">{#N/A,#N/A,FALSE,"Plan1";#N/A,#N/A,FALSE,"Plan2"}</definedName>
    <definedName name="new" localSheetId="10">{#N/A,#N/A,FALSE,"Global by BU";#N/A,#N/A,FALSE,"U.S. by BU";#N/A,#N/A,FALSE,"Canada by BU";#N/A,#N/A,FALSE,"Europe by BU";#N/A,#N/A,FALSE,"Asia by BU";#N/A,#N/A,FALSE,"Cala by BU"}</definedName>
    <definedName name="NEWNAME" localSheetId="10">{#N/A,#N/A,FALSE,"CCTV"}</definedName>
    <definedName name="nfgjkhvhfghn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10">{#N/A,#N/A,FALSE,"Plan1";#N/A,#N/A,FALSE,"Plan2"}</definedName>
    <definedName name="nh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10">{#N/A,#N/A,FALSE,"Plan1";#N/A,#N/A,FALSE,"Plan2"}</definedName>
    <definedName name="NJSDFHERTG" localSheetId="10">{#N/A,#N/A,FALSE,"Plan1";#N/A,#N/A,FALSE,"Plan2"}</definedName>
    <definedName name="nkfnsskdn" localSheetId="10">{#N/A,#N/A,FALSE,"Plan1";#N/A,#N/A,FALSE,"Plan2"}</definedName>
    <definedName name="NKJL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10">{#N/A,#N/A,FALSE,"Plan1";#N/A,#N/A,FALSE,"Plan2"}</definedName>
    <definedName name="nljsdfljfdsfr" localSheetId="10">{#N/A,#N/A,FALSE,"Plan1";#N/A,#N/A,FALSE,"Plan2"}</definedName>
    <definedName name="nmjdfhxj" localSheetId="10">{#N/A,#N/A,FALSE,"Plan1";#N/A,#N/A,FALSE,"Plan2"}</definedName>
    <definedName name="nnmn" localSheetId="10">{#N/A,#N/A,FALSE,"Plan1";#N/A,#N/A,FALSE,"Plan2"}</definedName>
    <definedName name="nnn" localSheetId="10">{#N/A,#N/A,FALSE,"$170M Cash";#N/A,#N/A,FALSE,"$250M Cash";#N/A,#N/A,FALSE,"$325M Cash"}</definedName>
    <definedName name="nnnnnnnnnnn" localSheetId="10">{"HW",#N/A,FALSE,"1998"}</definedName>
    <definedName name="NNNNNNNNNNNNNNN" localSheetId="10">{#N/A,#N/A,FALSE,"Plan1";#N/A,#N/A,FALSE,"Plan2"}</definedName>
    <definedName name="nnnnnnnnnnnnnnnnnnnn" localSheetId="10">{#N/A,#N/A,FALSE,"Plan1";#N/A,#N/A,FALSE,"Plan2"}</definedName>
    <definedName name="NNXFT" localSheetId="10">{#N/A,#N/A,FALSE,"Plan1";#N/A,#N/A,FALSE,"Plan2"}</definedName>
    <definedName name="nsdkfndgfdnatf" localSheetId="10">{#N/A,#N/A,FALSE,"Plan1";#N/A,#N/A,FALSE,"Plan2"}</definedName>
    <definedName name="nsfljdiljrf" localSheetId="10">{#N/A,#N/A,FALSE,"Plan1";#N/A,#N/A,FALSE,"Plan2"}</definedName>
    <definedName name="nzxcnnjkd" localSheetId="10">{#N/A,#N/A,FALSE,"Plan1";#N/A,#N/A,FALSE,"Plan2"}</definedName>
    <definedName name="odfuudor" localSheetId="10">{#N/A,#N/A,FALSE,"Plan1";#N/A,#N/A,FALSE,"Plan2"}</definedName>
    <definedName name="oiditrot" localSheetId="10">{#N/A,#N/A,FALSE,"Plan1";#N/A,#N/A,FALSE,"Plan2"}</definedName>
    <definedName name="oio" localSheetId="10">{#N/A,#N/A,FALSE,"Plan1";#N/A,#N/A,FALSE,"Plan2"}</definedName>
    <definedName name="OJÇLJ" localSheetId="10">{#N/A,#N/A,FALSE,"Plan1";#N/A,#N/A,FALSE,"Plan2"}</definedName>
    <definedName name="ojkdfit" localSheetId="10">{#N/A,#N/A,FALSE,"Plan1";#N/A,#N/A,FALSE,"Plan2"}</definedName>
    <definedName name="ooo" localSheetId="10">{#N/A,#N/A,FALSE,"Plan1";#N/A,#N/A,FALSE,"Plan2"}</definedName>
    <definedName name="OPASEDWED" localSheetId="10">{"Econ Consolidado",#N/A,FALSE,"Econ Consol";"Fluxo de Caixa",#N/A,FALSE,"Fluxo Caixa";"Investimentos",#N/A,FALSE,"Investimentos"}</definedName>
    <definedName name="opiwre" localSheetId="10">{#N/A,#N/A,FALSE,"Plan1";#N/A,#N/A,FALSE,"Plan2"}</definedName>
    <definedName name="os" localSheetId="10">{#N/A,#N/A,FALSE,"TABLE"}</definedName>
    <definedName name="otodgkrjglsrd" localSheetId="10">{#N/A,#N/A,FALSE,"Plan1";#N/A,#N/A,FALSE,"Plan2"}</definedName>
    <definedName name="OUERWRSR" localSheetId="10">{#N/A,#N/A,FALSE,"Plan1";#N/A,#N/A,FALSE,"Plan2"}</definedName>
    <definedName name="overhaul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10">ROW()-Linha_Cabeçalho</definedName>
    <definedName name="ParamValues1" localSheetId="10">#REF!</definedName>
    <definedName name="Pendencias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CAS" localSheetId="10">{#N/A,#N/A,TRUE,"Quinzena 01 à 15-04-98 "}</definedName>
    <definedName name="Placas_Areas" localSheetId="10">{#N/A,#N/A,TRUE,"Quinzena 01 à 15-04-98 "}</definedName>
    <definedName name="plan2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10">{#N/A,#N/A,FALSE,"Plan1";#N/A,#N/A,FALSE,"Plan2"}</definedName>
    <definedName name="plaslrswe" localSheetId="10">{#N/A,#N/A,FALSE,"Plan1";#N/A,#N/A,FALSE,"Plan2"}</definedName>
    <definedName name="plsearpef" localSheetId="10">{#N/A,#N/A,FALSE,"Plan1";#N/A,#N/A,FALSE,"Plan2"}</definedName>
    <definedName name="plss" localSheetId="10">{#N/A,#N/A,FALSE,"Plan1";#N/A,#N/A,FALSE,"Plan2"}</definedName>
    <definedName name="PN2건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int" localSheetId="10">{#N/A,#N/A,FALSE,"$170M Cash";#N/A,#N/A,FALSE,"$250M Cash";#N/A,#N/A,FALSE,"$325M Cash"}</definedName>
    <definedName name="ptirigyiotut" localSheetId="10">{#N/A,#N/A,FALSE,"Plan1";#N/A,#N/A,FALSE,"Plan2"}</definedName>
    <definedName name="PWER3" localSheetId="10">{#N/A,#N/A,FALSE,"Plan1";#N/A,#N/A,FALSE,"Plan2"}</definedName>
    <definedName name="qkqh1" localSheetId="10">{#N/A,#N/A,FALSE,"명세표"}</definedName>
    <definedName name="QQ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10">{#N/A,#N/A,FALSE,"Plan1";#N/A,#N/A,FALSE,"Plan2"}</definedName>
    <definedName name="qwdqw" localSheetId="10">{#N/A,#N/A,FALSE,"Plan1";#N/A,#N/A,FALSE,"Plan2"}</definedName>
    <definedName name="qweqwe" localSheetId="10">{#N/A,#N/A,FALSE,"Plan1";#N/A,#N/A,FALSE,"Plan2"}</definedName>
    <definedName name="qweqwe4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10">{"HW",#N/A,FALSE,"1998"}</definedName>
    <definedName name="RE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sum" localSheetId="10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10">{#N/A,#N/A,TRUE,"Quinzena 01 à 15-04-98 "}</definedName>
    <definedName name="RF" localSheetId="10">{#N/A,#N/A,FALSE,"CCTV"}</definedName>
    <definedName name="rgedrfrgfdg" localSheetId="10">{#N/A,#N/A,FALSE,"Plan1";#N/A,#N/A,FALSE,"Plan2"}</definedName>
    <definedName name="rhdrmq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10">{"'장비'!$A$3:$M$12"}</definedName>
    <definedName name="rrrrrrrr" localSheetId="10">{"'장비'!$A$3:$M$12"}</definedName>
    <definedName name="rrrrrrrrrrr" localSheetId="10">{#N/A,#N/A,TRUE,"Quinzena 01 à 15-04-98 "}</definedName>
    <definedName name="RTYE" localSheetId="10">{"'장비'!$A$3:$M$12"}</definedName>
    <definedName name="sa" localSheetId="10">#REF!</definedName>
    <definedName name="saa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10">{#N/A,#N/A,FALSE,"Plan1";#N/A,#N/A,FALSE,"Plan2"}</definedName>
    <definedName name="sadke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10">{#N/A,#N/A,FALSE,"Plan1";#N/A,#N/A,FALSE,"Plan2"}</definedName>
    <definedName name="SADSRTR" localSheetId="10">{#N/A,#N/A,FALSE,"Plan1";#N/A,#N/A,FALSE,"Plan2"}</definedName>
    <definedName name="sadwde" localSheetId="10">{#N/A,#N/A,FALSE,"Plan1";#N/A,#N/A,FALSE,"Plan2"}</definedName>
    <definedName name="sanjay" localSheetId="10">{#N/A,#N/A,FALSE,"TABLE"}</definedName>
    <definedName name="SAS" localSheetId="10">{#N/A,#N/A,FALSE,"Plan1";#N/A,#N/A,FALSE,"Plan2"}</definedName>
    <definedName name="sasads" localSheetId="10">{#N/A,#N/A,FALSE,"Plan1";#N/A,#N/A,FALSE,"Plan2"}</definedName>
    <definedName name="sda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10">{#N/A,#N/A,FALSE,"Plan1";#N/A,#N/A,FALSE,"Plan2"}</definedName>
    <definedName name="sdckd" localSheetId="10">{#N/A,#N/A,FALSE,"Plan1";#N/A,#N/A,FALSE,"Plan2"}</definedName>
    <definedName name="SDDFKSEDE" localSheetId="10">{#N/A,#N/A,FALSE,"Plan1";#N/A,#N/A,FALSE,"Plan2"}</definedName>
    <definedName name="sddkslker" localSheetId="10">{#N/A,#N/A,FALSE,"Plan1";#N/A,#N/A,FALSE,"Plan2"}</definedName>
    <definedName name="sdefr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10">{#N/A,#N/A,FALSE,"Plan1";#N/A,#N/A,FALSE,"Plan2"}</definedName>
    <definedName name="sdfdfc" localSheetId="10">{#N/A,#N/A,FALSE,"Plan1";#N/A,#N/A,FALSE,"Plan2"}</definedName>
    <definedName name="sdfdf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10">{#N/A,#N/A,FALSE,"Plan1";#N/A,#N/A,FALSE,"Plan2"}</definedName>
    <definedName name="sdfdsf" localSheetId="10">{#N/A,#N/A,FALSE,"Plan1";#N/A,#N/A,FALSE,"Plan2"}</definedName>
    <definedName name="SDFEDRT" localSheetId="10">{#N/A,#N/A,FALSE,"Plan1";#N/A,#N/A,FALSE,"Plan2"}</definedName>
    <definedName name="sdfer" localSheetId="10">{#N/A,#N/A,FALSE,"Plan1";#N/A,#N/A,FALSE,"Plan2"}</definedName>
    <definedName name="sdferr" localSheetId="10">{#N/A,#N/A,FALSE,"Plan1";#N/A,#N/A,FALSE,"Plan2"}</definedName>
    <definedName name="sdfe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10">{#N/A,#N/A,FALSE,"Plan1";#N/A,#N/A,FALSE,"Plan2"}</definedName>
    <definedName name="sdfgtr" localSheetId="10">{#N/A,#N/A,FALSE,"Plan1";#N/A,#N/A,FALSE,"Plan2"}</definedName>
    <definedName name="sdfjdetrt" localSheetId="10">{#N/A,#N/A,FALSE,"Plan1";#N/A,#N/A,FALSE,"Plan2"}</definedName>
    <definedName name="SDFJDRTJEIDR" localSheetId="10">{#N/A,#N/A,FALSE,"Plan1";#N/A,#N/A,FALSE,"Plan2"}</definedName>
    <definedName name="sdfjergtij" localSheetId="10">{#N/A,#N/A,FALSE,"Plan1";#N/A,#N/A,FALSE,"Plan2"}</definedName>
    <definedName name="SDFOPJKWE" localSheetId="10">{#N/A,#N/A,FALSE,"Plan1";#N/A,#N/A,FALSE,"Plan2"}</definedName>
    <definedName name="sdfrdt5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10">{#N/A,#N/A,FALSE,"Plan1";#N/A,#N/A,FALSE,"Plan2"}</definedName>
    <definedName name="SDFRTKK" localSheetId="10">{#N/A,#N/A,FALSE,"Plan1";#N/A,#N/A,FALSE,"Plan2"}</definedName>
    <definedName name="SDFRTR" localSheetId="10">{#N/A,#N/A,FALSE,"Plan1";#N/A,#N/A,FALSE,"Plan2"}</definedName>
    <definedName name="sdfry6" localSheetId="10">{#N/A,#N/A,FALSE,"Plan1";#N/A,#N/A,FALSE,"Plan2"}</definedName>
    <definedName name="sdfsaf" localSheetId="10">{#N/A,#N/A,FALSE,"Plan1";#N/A,#N/A,FALSE,"Plan2"}</definedName>
    <definedName name="sdfsd" localSheetId="10">{"'Estimativa de Lançamento-JAN'!$A$1:$AI$85"}</definedName>
    <definedName name="sdfsdfg" localSheetId="10">{#N/A,#N/A,FALSE,"Plan1";#N/A,#N/A,FALSE,"Plan2"}</definedName>
    <definedName name="SDFSDFK" localSheetId="10">{#N/A,#N/A,FALSE,"Plan1";#N/A,#N/A,FALSE,"Plan2"}</definedName>
    <definedName name="sdfsdgftret" localSheetId="10">{#N/A,#N/A,FALSE,"Plan1";#N/A,#N/A,FALSE,"Plan2"}</definedName>
    <definedName name="SDFSF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DFSFRT" localSheetId="10">{"Econ Consolidado",#N/A,FALSE,"Econ Consol";"Fluxo de Caixa",#N/A,FALSE,"Fluxo Caixa";"Investimentos",#N/A,FALSE,"Investimentos"}</definedName>
    <definedName name="sdfsr" localSheetId="10">{#N/A,#N/A,FALSE,"Plan1";#N/A,#N/A,FALSE,"Plan2"}</definedName>
    <definedName name="sdfty" localSheetId="10">{#N/A,#N/A,FALSE,"Plan1";#N/A,#N/A,FALSE,"Plan2"}</definedName>
    <definedName name="sdgdf" localSheetId="10">{#N/A,#N/A,FALSE,"Plan1";#N/A,#N/A,FALSE,"Plan2"}</definedName>
    <definedName name="sdgfrt" localSheetId="10">{#N/A,#N/A,FALSE,"Plan1";#N/A,#N/A,FALSE,"Plan2"}</definedName>
    <definedName name="sdgft" localSheetId="10">{#N/A,#N/A,FALSE,"Plan1";#N/A,#N/A,FALSE,"Plan2"}</definedName>
    <definedName name="sdgt" localSheetId="10">{#N/A,#N/A,FALSE,"Plan1";#N/A,#N/A,FALSE,"Plan2"}</definedName>
    <definedName name="sdhfghdsfg" localSheetId="10">{#N/A,#N/A,FALSE,"Plan1";#N/A,#N/A,FALSE,"Plan2"}</definedName>
    <definedName name="SDHFJKHDFJRE" localSheetId="10">{#N/A,#N/A,FALSE,"Plan1";#N/A,#N/A,FALSE,"Plan2"}</definedName>
    <definedName name="SDHKFDRKGTR" localSheetId="10">{#N/A,#N/A,FALSE,"Plan1";#N/A,#N/A,FALSE,"Plan2"}</definedName>
    <definedName name="sdjdswger" localSheetId="10">{#N/A,#N/A,FALSE,"Plan1";#N/A,#N/A,FALSE,"Plan2"}</definedName>
    <definedName name="sdjfdf" localSheetId="10">{#N/A,#N/A,FALSE,"Plan1";#N/A,#N/A,FALSE,"Plan2"}</definedName>
    <definedName name="sdjfhdjk" localSheetId="10">{#N/A,#N/A,FALSE,"Plan1";#N/A,#N/A,FALSE,"Plan2"}</definedName>
    <definedName name="SDJFJDER" localSheetId="10">{#N/A,#N/A,FALSE,"Plan1";#N/A,#N/A,FALSE,"Plan2"}</definedName>
    <definedName name="sdjflsdjfl" localSheetId="10">{#N/A,#N/A,FALSE,"Plan1";#N/A,#N/A,FALSE,"Plan2"}</definedName>
    <definedName name="SDJHF" localSheetId="10">{#N/A,#N/A,FALSE,"Plan1";#N/A,#N/A,FALSE,"Plan2"}</definedName>
    <definedName name="sdjrderertrr" localSheetId="10">{#N/A,#N/A,FALSE,"Plan1";#N/A,#N/A,FALSE,"Plan2"}</definedName>
    <definedName name="sdkdjk" localSheetId="10">{#N/A,#N/A,FALSE,"Plan1";#N/A,#N/A,FALSE,"Plan2"}</definedName>
    <definedName name="sdkfjhkdgfhk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10">{#N/A,#N/A,FALSE,"Plan1";#N/A,#N/A,FALSE,"Plan2"}</definedName>
    <definedName name="sdkk" localSheetId="10">{#N/A,#N/A,FALSE,"Plan1";#N/A,#N/A,FALSE,"Plan2"}</definedName>
    <definedName name="sdlfsdflj" localSheetId="10">{#N/A,#N/A,FALSE,"Plan1";#N/A,#N/A,FALSE,"Plan2"}</definedName>
    <definedName name="sdmfmdfsgfd" localSheetId="10">{#N/A,#N/A,FALSE,"Plan1";#N/A,#N/A,FALSE,"Plan2"}</definedName>
    <definedName name="sd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10">{#N/A,#N/A,FALSE,"Plan1";#N/A,#N/A,FALSE,"Plan2"}</definedName>
    <definedName name="sdsd" localSheetId="10">{#N/A,#N/A,FALSE,"Plan1";#N/A,#N/A,FALSE,"Plan2"}</definedName>
    <definedName name="sdser" localSheetId="10">{#N/A,#N/A,FALSE,"Plan1";#N/A,#N/A,FALSE,"Plan2"}</definedName>
    <definedName name="sdsre" localSheetId="10">{#N/A,#N/A,FALSE,"Plan1";#N/A,#N/A,FALSE,"Plan2"}</definedName>
    <definedName name="sdss" localSheetId="10">{#N/A,#N/A,FALSE,"Plan1";#N/A,#N/A,FALSE,"Plan2"}</definedName>
    <definedName name="sdusi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10">{"Econ Consolidado",#N/A,FALSE,"Econ Consol";"Fluxo de Caixa",#N/A,FALSE,"Fluxo Caixa";"Investimentos",#N/A,FALSE,"Investimentos"}</definedName>
    <definedName name="sdxfrt" localSheetId="10">{#N/A,#N/A,FALSE,"Plan1";#N/A,#N/A,FALSE,"Plan2"}</definedName>
    <definedName name="SDZFERF" localSheetId="10">{#N/A,#N/A,FALSE,"Plan1";#N/A,#N/A,FALSE,"Plan2"}</definedName>
    <definedName name="sefret4r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ftru" localSheetId="10">{#N/A,#N/A,FALSE,"Plan1";#N/A,#N/A,FALSE,"Plan2"}</definedName>
    <definedName name="sencount" localSheetId="10">1</definedName>
    <definedName name="SEREWRSWE" localSheetId="10">{"tabela",#N/A,FALSE,"Tabela";"decoração",#N/A,FALSE,"Decor.";"Informações",#N/A,FALSE,"Inform."}</definedName>
    <definedName name="sf" localSheetId="10">{#N/A,#N/A,FALSE,"Plan1";#N/A,#N/A,FALSE,"Plan2"}</definedName>
    <definedName name="sfcrer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10">{#N/A,#N/A,FALSE,"Plan1";#N/A,#N/A,FALSE,"Plan2"}</definedName>
    <definedName name="sfds" localSheetId="10">{#N/A,#N/A,FALSE,"Plan1";#N/A,#N/A,FALSE,"Plan2"}</definedName>
    <definedName name="sfdsd" localSheetId="10">{#N/A,#N/A,FALSE,"Plan1";#N/A,#N/A,FALSE,"Plan2"}</definedName>
    <definedName name="sfrsdrgt" localSheetId="10">{#N/A,#N/A,FALSE,"Plan1";#N/A,#N/A,FALSE,"Plan2"}</definedName>
    <definedName name="SFRT" localSheetId="10">{#N/A,#N/A,FALSE,"Plan1";#N/A,#N/A,FALSE,"Plan2"}</definedName>
    <definedName name="sfsdferf" localSheetId="10">{#N/A,#N/A,FALSE,"Plan1";#N/A,#N/A,FALSE,"Plan2"}</definedName>
    <definedName name="SFSDS" localSheetId="10">{#N/A,#N/A,FALSE,"Plan1";#N/A,#N/A,FALSE,"Plan2"}</definedName>
    <definedName name="sgtghty" localSheetId="10">{#N/A,#N/A,FALSE,"Plan1";#N/A,#N/A,FALSE,"Plan2"}</definedName>
    <definedName name="SH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jawe" localSheetId="10">{#N/A,#N/A,FALSE,"Plan1";#N/A,#N/A,FALSE,"Plan2"}</definedName>
    <definedName name="sjdffd" localSheetId="10">{#N/A,#N/A,FALSE,"Plan1";#N/A,#N/A,FALSE,"Plan2"}</definedName>
    <definedName name="SJDFHDJS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10">{#N/A,#N/A,FALSE,"Plan1";#N/A,#N/A,FALSE,"Plan2"}</definedName>
    <definedName name="SJDKJDE" localSheetId="10">{"Econ Consolidado",#N/A,FALSE,"Econ Consol";"Fluxo de Caixa",#N/A,FALSE,"Fluxo Caixa";"Investimentos",#N/A,FALSE,"Investimentos"}</definedName>
    <definedName name="sjekwjri" localSheetId="10">{#N/A,#N/A,FALSE,"Plan1";#N/A,#N/A,FALSE,"Plan2"}</definedName>
    <definedName name="sjfkdhsfds" localSheetId="10">{#N/A,#N/A,FALSE,"Plan1";#N/A,#N/A,FALSE,"Plan2"}</definedName>
    <definedName name="sjkdljslkrje" localSheetId="10">{#N/A,#N/A,FALSE,"Plan1";#N/A,#N/A,FALSE,"Plan2"}</definedName>
    <definedName name="skadadaszs" localSheetId="10">{#N/A,#N/A,FALSE,"Plan1";#N/A,#N/A,FALSE,"Plan2"}</definedName>
    <definedName name="SKASH" localSheetId="10">{#N/A,#N/A,FALSE,"Plan1";#N/A,#N/A,FALSE,"Plan2"}</definedName>
    <definedName name="skldfrde" localSheetId="10">{#N/A,#N/A,FALSE,"Plan1";#N/A,#N/A,FALSE,"Plan2"}</definedName>
    <definedName name="skosroer" localSheetId="10">{#N/A,#N/A,FALSE,"Plan1";#N/A,#N/A,FALSE,"Plan2"}</definedName>
    <definedName name="sp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10">{#N/A,#N/A,FALSE,"Plan1";#N/A,#N/A,FALSE,"Plan2"}</definedName>
    <definedName name="SRH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ab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est" localSheetId="10">{"'Edit'!$A$1:$V$2277"}</definedName>
    <definedName name="TESTANDO" localSheetId="10">{#N/A,#N/A,TRUE,"Quinzena 01 à 15-04-98 "}</definedName>
    <definedName name="teste1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10">{#N/A,#N/A,FALSE,"Plan1";#N/A,#N/A,FALSE,"Plan2"}</definedName>
    <definedName name="THYJ" localSheetId="10">{#N/A,#N/A,FALSE,"Plan1";#N/A,#N/A,FALSE,"Plan2"}</definedName>
    <definedName name="tihjgih" localSheetId="10">{#N/A,#N/A,FALSE,"Plan1";#N/A,#N/A,FALSE,"Plan2"}</definedName>
    <definedName name="trjyidih" localSheetId="10">{#N/A,#N/A,FALSE,"Plan1";#N/A,#N/A,FALSE,"Plan2"}</definedName>
    <definedName name="tuyedjsksj" localSheetId="10">{#N/A,#N/A,FALSE,"Plan1";#N/A,#N/A,FALSE,"Plan2"}</definedName>
    <definedName name="TYHGFHFHG" localSheetId="10">{#N/A,#N/A,FALSE,"Plan1";#N/A,#N/A,FALSE,"Plan2"}</definedName>
    <definedName name="u" localSheetId="10">{#N/A,#N/A,FALSE,"ET-CAPA";#N/A,#N/A,FALSE,"ET-PAG1";#N/A,#N/A,FALSE,"ET-PAG2";#N/A,#N/A,FALSE,"ET-PAG3";#N/A,#N/A,FALSE,"ET-PAG4";#N/A,#N/A,FALSE,"ET-PAG5"}</definedName>
    <definedName name="udhgfhfg" localSheetId="10">{#N/A,#N/A,FALSE,"Plan1";#N/A,#N/A,FALSE,"Plan2"}</definedName>
    <definedName name="ueiutriuef" localSheetId="10">{#N/A,#N/A,FALSE,"Plan1";#N/A,#N/A,FALSE,"Plan2"}</definedName>
    <definedName name="UHGSDUS" localSheetId="10">{#N/A,#N/A,FALSE,"Plan1";#N/A,#N/A,FALSE,"Plan2"}</definedName>
    <definedName name="UIHWER45R" localSheetId="10">{#N/A,#N/A,FALSE,"Plan1";#N/A,#N/A,FALSE,"Plan2"}</definedName>
    <definedName name="uiosderuiu" localSheetId="10">{#N/A,#N/A,FALSE,"Plan1";#N/A,#N/A,FALSE,"Plan2"}</definedName>
    <definedName name="UIOURET" localSheetId="10">{#N/A,#N/A,FALSE,"Plan1";#N/A,#N/A,FALSE,"Plan2"}</definedName>
    <definedName name="uiwuer" localSheetId="10">{#N/A,#N/A,FALSE,"Plan1";#N/A,#N/A,FALSE,"Plan2"}</definedName>
    <definedName name="UKHDFDSGUDFKD" localSheetId="10">{#N/A,#N/A,FALSE,"Plan1";#N/A,#N/A,FALSE,"Plan2"}</definedName>
    <definedName name="um" localSheetId="10">0</definedName>
    <definedName name="unit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10">{#N/A,#N/A,FALSE,"Plan1";#N/A,#N/A,FALSE,"Plan2"}</definedName>
    <definedName name="valve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10">{#N/A,#N/A,FALSE,"Plan1";#N/A,#N/A,FALSE,"Plan2"}</definedName>
    <definedName name="VERIFICAR" localSheetId="10">{#N/A,#N/A,TRUE,"Quinzena 01 à 15-04-98 "}</definedName>
    <definedName name="vfnijfd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10">{#N/A,#N/A,FALSE,"Plan1";#N/A,#N/A,FALSE,"Plan2"}</definedName>
    <definedName name="vld_classificacao" localSheetId="10">IF(#REF!="Ativa",OFFSET(INDEX(rng_list_classificacao,MATCH(#REF!,rng_list_classificacao,0)),1,0,COUNTA(rng_list_classificacao)-1),#REF!)</definedName>
    <definedName name="vld_regional" localSheetId="10">OFFSET(INDEX(rng_list_regional,MATCH(#REF!,rng_list_regional,0)),1,0,COUNTA(rng_list_regional)-1)</definedName>
    <definedName name="vld_segmento" localSheetId="10">IF(#REF!="Ativa",OFFSET(INDEX(rng_list_segmento,MATCH(#REF!,rng_list_segmento,0)),1,0,COUNTA(rng_list_segmento)-1),#REF!)</definedName>
    <definedName name="vld_sociedade" localSheetId="10">OFFSET(INDEX(rng_list_sociedade,MATCH(#REF!,rng_list_sociedade,0)),1,0,COUNTA(rng_list_sociedade)-1)</definedName>
    <definedName name="vld_status_empresa" localSheetId="10">OFFSET(INDEX(rng_list_status_empresa,MATCH(#REF!,rng_list_status_empresa,0)),1,0,COUNTA(rng_list_status_empresa)-1)</definedName>
    <definedName name="vld_status_lancamento" localSheetId="10">IF(#REF!="Ativa",OFFSET(INDEX(rng_list_status_lancamento,MATCH(#REF!,rng_list_status_lancamento,0)),1,0,COUNTA(rng_list_status_lancamento)-1),#REF!)</definedName>
    <definedName name="vld_status_projeto" localSheetId="10">IF(#REF!="Ativa",OFFSET(INDEX(rng_list_status_projeto,MATCH(#REF!,rng_list_status_projeto,0)),1,0,COUNTA(rng_list_status_projeto)-1),#REF!)</definedName>
    <definedName name="vld_status_viabilidade" localSheetId="10">OFFSET(INDEX(rng_list_status_viabilidade,MATCH(#REF!,rng_list_status_viabilidade,0)),1,0,COUNTA(rng_list_status_viabilidade)-1)</definedName>
    <definedName name="VSDHFGDFGR" localSheetId="10">{#N/A,#N/A,FALSE,"Plan1";#N/A,#N/A,FALSE,"Plan2"}</definedName>
    <definedName name="vvbb" localSheetId="10">{"tabela",#N/A,FALSE,"Tabela";"decoração",#N/A,FALSE,"Decor.";"Informações",#N/A,FALSE,"Inform."}</definedName>
    <definedName name="vvcbnb" localSheetId="10">{#N/A,#N/A,FALSE,"Plan1";#N/A,#N/A,FALSE,"Plan2"}</definedName>
    <definedName name="vvvvv" localSheetId="10">{"Econ Consolidado",#N/A,FALSE,"Econ Consol";"Fluxo de Caixa",#N/A,FALSE,"Fluxo Caixa";"Investimentos",#N/A,FALSE,"Investimentos"}</definedName>
    <definedName name="vvvvvv" localSheetId="10">{#N/A,#N/A,FALSE,"Plan1";#N/A,#N/A,FALSE,"Plan2"}</definedName>
    <definedName name="vvvvvvvvvvvvvvvvv" localSheetId="10">{"HW",#N/A,FALSE,"1998"}</definedName>
    <definedName name="w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dalrdjlaev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10">{#N/A,#N/A,FALSE,"Plan1";#N/A,#N/A,FALSE,"Plan2"}</definedName>
    <definedName name="wetoedjtkdr" localSheetId="10">{#N/A,#N/A,FALSE,"Plan1";#N/A,#N/A,FALSE,"Plan2"}</definedName>
    <definedName name="WHATS" localSheetId="10">{"'Edit'!$A$1:$V$2277"}</definedName>
    <definedName name="win.VESSEL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10">{#N/A,#N/A,FALSE,"Plan1";#N/A,#N/A,FALSE,"Plan2"}</definedName>
    <definedName name="WLQ" localSheetId="10">{#N/A,#N/A,FALSE,"명세표"}</definedName>
    <definedName name="WRITE" localSheetId="10">{#N/A,#N/A,FALSE,"CCTV"}</definedName>
    <definedName name="wrn.BM." localSheetId="10">{#N/A,#N/A,FALSE,"CCTV"}</definedName>
    <definedName name="wrn.Brita98.xls." localSheetId="10">{#N/A,#N/A,TRUE,"Quinzena 01 à 15-04-98 "}</definedName>
    <definedName name="wrn.Completo." localSheetId="10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10">{"EconCons",#N/A,TRUE,"Econômico - Consolidado";"CaixaCons",#N/A,TRUE,"Caixa - Consolidado";"InvestCons",#N/A,TRUE,"Invest Consolidado"}</definedName>
    <definedName name="wrn.Consolidado." localSheetId="10">{"Econ Consolidado",#N/A,FALSE,"Econ Consol";"Fluxo de Caixa",#N/A,FALSE,"Fluxo Caixa";"Investimentos",#N/A,FALSE,"Investimentos"}</definedName>
    <definedName name="wrn.GERAL." localSheetId="10">{#N/A,#N/A,FALSE,"ET-CAPA";#N/A,#N/A,FALSE,"ET-PAG1";#N/A,#N/A,FALSE,"ET-PAG2";#N/A,#N/A,FALSE,"ET-PAG3";#N/A,#N/A,FALSE,"ET-PAG4";#N/A,#N/A,FALSE,"ET-PAG5"}</definedName>
    <definedName name="wrn.HAGE." localSheetId="10">{#N/A,#N/A,FALSE,"cdi";#N/A,#N/A,FALSE,"debent";#N/A,#N/A,FALSE,"fdos";#N/A,#N/A,FALSE,"resumo"}</definedName>
    <definedName name="wrn.HAGE01" localSheetId="10">{#N/A,#N/A,FALSE,"cdi";#N/A,#N/A,FALSE,"debent";#N/A,#N/A,FALSE,"fdos";#N/A,#N/A,FALSE,"resumo"}</definedName>
    <definedName name="wrn.HW." localSheetId="10">{"HW",#N/A,FALSE,"1998"}</definedName>
    <definedName name="wrn.imp_flx." localSheetId="10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10">{#N/A,#N/A,FALSE,"Plan1";#N/A,#N/A,FALSE,"Plan2"}</definedName>
    <definedName name="wrn.Imprimir." localSheetId="10">{"tabela",#N/A,FALSE,"Tabela";"decoração",#N/A,FALSE,"Decor.";"Informações",#N/A,FALSE,"Inform."}</definedName>
    <definedName name="wrn.LPU._.MG." localSheetId="10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10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10">{#N/A,#N/A,FALSE,"ALVENARIA";#N/A,#N/A,FALSE,"BLOCOS";#N/A,#N/A,FALSE,"CINTAS";#N/A,#N/A,FALSE,"CORTINA";#N/A,#N/A,FALSE,"LAJES";#N/A,#N/A,FALSE,"PILARES";#N/A,#N/A,FALSE,"VIGAS"}</definedName>
    <definedName name="wrn.Month._.Report._.Package." localSheetId="10">{#N/A,#N/A,FALSE,"Global Wls Trend";#N/A,#N/A,FALSE,"Region Trend";#N/A,#N/A,FALSE,"PBU Trend"}</definedName>
    <definedName name="wrn.Monthly._.Report._.Package." localSheetId="10">{#N/A,#N/A,FALSE,"Global by BU";#N/A,#N/A,FALSE,"U.S. by BU";#N/A,#N/A,FALSE,"Canada by BU";#N/A,#N/A,FALSE,"Europe by BU";#N/A,#N/A,FALSE,"Asia by BU";#N/A,#N/A,FALSE,"Cala by BU"}</definedName>
    <definedName name="wrn.PENDENCIAS.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10">{#N/A,#N/A,FALSE,"F-01"}</definedName>
    <definedName name="wrn.Planiha._.de._.Medição._.F._.01._1" localSheetId="10">{#N/A,#N/A,FALSE,"F-01"}</definedName>
    <definedName name="wrn.Planilha_de_Medição_F_02" localSheetId="10">{#N/A,#N/A,FALSE,"F-01"}</definedName>
    <definedName name="wrn.print._.all." localSheetId="10">{#N/A,#N/A,FALSE,"$170M Cash";#N/A,#N/A,FALSE,"$250M Cash";#N/A,#N/A,FALSE,"$325M Cash"}</definedName>
    <definedName name="wrn.PrintAll." localSheetId="10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10">{#N/A,#N/A,FALSE,"Sheet1";#N/A,#N/A,FALSE,"Sheet2";#N/A,#N/A,FALSE,"Sheet3"}</definedName>
    <definedName name="wrn.PrintPrev1." localSheetId="10">{#N/A,#N/A,FALSE,"Sheet4";#N/A,#N/A,FALSE,"Sheet5";#N/A,#N/A,FALSE,"Sheet6"}</definedName>
    <definedName name="wrn.PrintPrev2." localSheetId="10">{#N/A,#N/A,FALSE,"Sheet7";#N/A,#N/A,FALSE,"Sheet8";#N/A,#N/A,FALSE,"Sheet9"}</definedName>
    <definedName name="wrn.Quadros._.relatório." localSheetId="10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10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10">{#N/A,#N/A,FALSE,"TABLE"}</definedName>
    <definedName name="wrn.TERCEIRO." localSheetId="10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10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10">{#N/A,#N/A,FALSE,"명세표"}</definedName>
    <definedName name="wrn.Unidades." localSheetId="10">{"Rio Branco",#N/A,FALSE,"Rio Branco";"Itajaí",#N/A,FALSE,"Itajaí";"Pinheiro Machado",#N/A,FALSE,"PMachado";"Esteio",#N/A,FALSE,"Esteio"}</definedName>
    <definedName name="wrn.VESSEL및N2._.구입사양서.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10">{#N/A,#N/A,FALSE,"Sheet1";#N/A,#N/A,FALSE,"Sheet2";#N/A,#N/A,FALSE,"TAB96-1"}</definedName>
    <definedName name="wrn.보호계전기." localSheetId="10">{#N/A,#N/A,FALSE,"ENG'G(보호계전기)"}</definedName>
    <definedName name="wrn.현장._.NCR._.분석." localSheetId="10">{#N/A,#N/A,FALSE,"현장 NCR 분석";#N/A,#N/A,FALSE,"현장품질감사";#N/A,#N/A,FALSE,"현장품질감사"}</definedName>
    <definedName name="wrn1.Cons." localSheetId="10">{"EconCons",#N/A,TRUE,"Econômico - Consolidado";"CaixaCons",#N/A,TRUE,"Caixa - Consolidado";"InvestCons",#N/A,TRUE,"Invest Consolidado"}</definedName>
    <definedName name="wrn1.print._.all." localSheetId="10">{#N/A,#N/A,FALSE,"$170M Cash";#N/A,#N/A,FALSE,"$250M Cash";#N/A,#N/A,FALSE,"$325M Cash"}</definedName>
    <definedName name="WRS" localSheetId="10">{"'장비'!$A$3:$M$12"}</definedName>
    <definedName name="wrt" localSheetId="10">{#N/A,#N/A,FALSE,"$170M Cash";#N/A,#N/A,FALSE,"$250M Cash";#N/A,#N/A,FALSE,"$325M Cash"}</definedName>
    <definedName name="wvu.PLANILHA2.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10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10">{#N/A,#N/A,FALSE,"Plan1";#N/A,#N/A,FALSE,"Plan2"}</definedName>
    <definedName name="xcgjkfghf" localSheetId="10">{#N/A,#N/A,FALSE,"Plan1";#N/A,#N/A,FALSE,"Plan2"}</definedName>
    <definedName name="XCGJKVHFDG" localSheetId="10">{#N/A,#N/A,FALSE,"Plan1";#N/A,#N/A,FALSE,"Plan2"}</definedName>
    <definedName name="xcgtrty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10">{#N/A,#N/A,FALSE,"Plan1";#N/A,#N/A,FALSE,"Plan2"}</definedName>
    <definedName name="xcndj" localSheetId="10">{#N/A,#N/A,FALSE,"Plan1";#N/A,#N/A,FALSE,"Plan2"}</definedName>
    <definedName name="XCVGGT" localSheetId="10">{#N/A,#N/A,FALSE,"Plan1";#N/A,#N/A,FALSE,"Plan2"}</definedName>
    <definedName name="xcvrg" localSheetId="10">{#N/A,#N/A,FALSE,"Plan1";#N/A,#N/A,FALSE,"Plan2"}</definedName>
    <definedName name="xdfef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10">{#N/A,#N/A,FALSE,"Plan1";#N/A,#N/A,FALSE,"Plan2"}</definedName>
    <definedName name="xfdlfj" localSheetId="10">{#N/A,#N/A,FALSE,"Plan1";#N/A,#N/A,FALSE,"Plan2"}</definedName>
    <definedName name="xfdxfdf" localSheetId="10">{#N/A,#N/A,FALSE,"Plan1";#N/A,#N/A,FALSE,"Plan2"}</definedName>
    <definedName name="XFJKLDJKLGJ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10">{#N/A,#N/A,FALSE,"Plan1";#N/A,#N/A,FALSE,"Plan2"}</definedName>
    <definedName name="XFT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10">{"Econ Consolidado",#N/A,FALSE,"Econ Consol";"Fluxo de Caixa",#N/A,FALSE,"Fluxo Caixa";"Investimentos",#N/A,FALSE,"Investimentos"}</definedName>
    <definedName name="xfvgcfgt" localSheetId="10">{#N/A,#N/A,FALSE,"Plan1";#N/A,#N/A,FALSE,"Plan2"}</definedName>
    <definedName name="xgrg" localSheetId="10">{#N/A,#N/A,FALSE,"Plan1";#N/A,#N/A,FALSE,"Plan2"}</definedName>
    <definedName name="xmght" localSheetId="10">{#N/A,#N/A,FALSE,"Plan1";#N/A,#N/A,FALSE,"Plan2"}</definedName>
    <definedName name="xo" localSheetId="10">{#N/A,#N/A,FALSE,"Global by BU";#N/A,#N/A,FALSE,"U.S. by BU";#N/A,#N/A,FALSE,"Canada by BU";#N/A,#N/A,FALSE,"Europe by BU";#N/A,#N/A,FALSE,"Asia by BU";#N/A,#N/A,FALSE,"Cala by BU"}</definedName>
    <definedName name="xxx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" localSheetId="10">#REF!</definedName>
    <definedName name="XXXXX" localSheetId="10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10">{"'Edit'!$A$1:$V$2277"}</definedName>
    <definedName name="xxxxxxxxxxxxxx" localSheetId="10">{#N/A,#N/A,FALSE,"Plan1";#N/A,#N/A,FALSE,"Plan2"}</definedName>
    <definedName name="xzfrt" localSheetId="10">{#N/A,#N/A,FALSE,"Plan1";#N/A,#N/A,FALSE,"Plan2"}</definedName>
    <definedName name="yeitrtged" localSheetId="10">{#N/A,#N/A,FALSE,"Plan1";#N/A,#N/A,FALSE,"Plan2"}</definedName>
    <definedName name="yhdfiuygrui" localSheetId="10">{#N/A,#N/A,FALSE,"Plan1";#N/A,#N/A,FALSE,"Plan2"}</definedName>
    <definedName name="YRGUYDRIY" localSheetId="10">{"Econ Consolidado",#N/A,FALSE,"Econ Consol";"Fluxo de Caixa",#N/A,FALSE,"Fluxo Caixa";"Investimentos",#N/A,FALSE,"Investimentos"}</definedName>
    <definedName name="yuegursdmksf" localSheetId="10">{#N/A,#N/A,FALSE,"Plan1";#N/A,#N/A,FALSE,"Plan2"}</definedName>
    <definedName name="yuekl4fr" localSheetId="10">{#N/A,#N/A,FALSE,"Plan1";#N/A,#N/A,FALSE,"Plan2"}</definedName>
    <definedName name="yureytuyrea" localSheetId="10">{#N/A,#N/A,FALSE,"Plan1";#N/A,#N/A,FALSE,"Plan2"}</definedName>
    <definedName name="z" localSheetId="10">{"'Estimativa de Lançamento-JAN'!$A$1:$AI$85"}</definedName>
    <definedName name="zcdçskld" localSheetId="10">{#N/A,#N/A,FALSE,"Plan1";#N/A,#N/A,FALSE,"Plan2"}</definedName>
    <definedName name="zcsdrfrt" localSheetId="10">{#N/A,#N/A,FALSE,"Plan1";#N/A,#N/A,FALSE,"Plan2"}</definedName>
    <definedName name="ZDRE" localSheetId="10">{#N/A,#N/A,FALSE,"Plan1";#N/A,#N/A,FALSE,"Plan2"}</definedName>
    <definedName name="ZSADF" localSheetId="10">{#N/A,#N/A,FALSE,"Plan1";#N/A,#N/A,FALSE,"Plan2"}</definedName>
    <definedName name="zsads" localSheetId="10">{#N/A,#N/A,FALSE,"Plan1";#N/A,#N/A,FALSE,"Plan2"}</definedName>
    <definedName name="zsds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10">{#N/A,#N/A,FALSE,"Plan1";#N/A,#N/A,FALSE,"Plan2"}</definedName>
    <definedName name="zxcfdstrrt" localSheetId="10">{#N/A,#N/A,FALSE,"Plan1";#N/A,#N/A,FALSE,"Plan2"}</definedName>
    <definedName name="zxcx" localSheetId="10">{#N/A,#N/A,FALSE,"Plan1";#N/A,#N/A,FALSE,"Plan2"}</definedName>
    <definedName name="ZXFCRF" localSheetId="10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10">{#N/A,#N/A,FALSE,"Plan1";#N/A,#N/A,FALSE,"Plan2"}</definedName>
    <definedName name="zzdftr" localSheetId="10">{#N/A,#N/A,FALSE,"Plan1";#N/A,#N/A,FALSE,"Plan2"}</definedName>
    <definedName name="zzz" localSheetId="10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ㄱ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10">{"'장비'!$A$3:$M$12"}</definedName>
    <definedName name="검증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10">{#N/A,#N/A,FALSE,"현장 NCR 분석";#N/A,#N/A,FALSE,"현장품질감사";#N/A,#N/A,FALSE,"현장품질감사"}</definedName>
    <definedName name="고문2" localSheetId="10">{#N/A,#N/A,FALSE,"현장 NCR 분석";#N/A,#N/A,FALSE,"현장품질감사";#N/A,#N/A,FALSE,"현장품질감사"}</definedName>
    <definedName name="공공공표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10">{#N/A,#N/A,FALSE,"ENG'G(보호계전기)"}</definedName>
    <definedName name="공급표표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10">{#N/A,#N/A,FALSE,"CCTV"}</definedName>
    <definedName name="ㄷㄳ" localSheetId="10">{"'장비'!$A$3:$M$12"}</definedName>
    <definedName name="ㄷㄷㄷㄷ" localSheetId="10">{"'장비'!$A$3:$M$12"}</definedName>
    <definedName name="ㄷㅈㅂㄷ" localSheetId="10">{"'장비'!$A$3:$M$12"}</definedName>
    <definedName name="ㄹㄹ" localSheetId="10">{"'장비'!$A$3:$M$12"}</definedName>
    <definedName name="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10">{#N/A,#N/A,FALSE,"현장 NCR 분석";#N/A,#N/A,FALSE,"현장품질감사";#N/A,#N/A,FALSE,"현장품질감사"}</definedName>
    <definedName name="ㅁ" localSheetId="10">{#N/A,#N/A,FALSE,"명세표"}</definedName>
    <definedName name="ㅁ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10">{#N/A,#N/A,FALSE,"명세표"}</definedName>
    <definedName name="ㅁㅁㅁㅁㅁㅁㅁㅁㅁㅁㅁㅁ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10">{#N/A,#N/A,FALSE,"명세표"}</definedName>
    <definedName name="ㅂㅂㅂㅂ" localSheetId="10">{#N/A,#N/A,FALSE,"명세표"}</definedName>
    <definedName name="ㅂㅂㅂㅂㅂㅂㅂ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10">{"'장비'!$A$3:$M$12"}</definedName>
    <definedName name="ㅂㅈㄷ" localSheetId="10">{"'장비'!$A$3:$M$12"}</definedName>
    <definedName name="ㅂㅈㄷㄷㅂㅈㅈㅂ" localSheetId="10">{"'장비'!$A$3:$M$12"}</definedName>
    <definedName name="ㅂㅈㄷㅂㅈ" localSheetId="10">{"'장비'!$A$3:$M$12"}</definedName>
    <definedName name="ㅂㅈㄷㅂㅈㅈㅂㄷ" localSheetId="10">{"'장비'!$A$3:$M$12"}</definedName>
    <definedName name="ㅂㅈㄷㅈㅂㄷ" localSheetId="10">{"'장비'!$A$3:$M$12"}</definedName>
    <definedName name="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10">{#N/A,#N/A,FALSE,"ENG'G(보호계전기)"}</definedName>
    <definedName name="본공사공정표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10">{#N/A,#N/A,FALSE,"현장 NCR 분석";#N/A,#N/A,FALSE,"현장품질감사";#N/A,#N/A,FALSE,"현장품질감사"}</definedName>
    <definedName name="분야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10">{"'장비'!$A$3:$M$12"}</definedName>
    <definedName name="ㅅㅅㅅㅅㅅ" localSheetId="10">{"'장비'!$A$3:$M$12"}</definedName>
    <definedName name="사업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10">{#N/A,#N/A,FALSE,"TABLE"}</definedName>
    <definedName name="석항" localSheetId="10">{#N/A,#N/A,FALSE,"명세표"}</definedName>
    <definedName name="설계현황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10">{"'장비'!$A$3:$M$12"}</definedName>
    <definedName name="신설" localSheetId="10">{#N/A,#N/A,FALSE,"명세표"}</definedName>
    <definedName name="ㅇㅇ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10">{#N/A,#N/A,FALSE,"명세표"}</definedName>
    <definedName name="ㅈㅈㅈㅈ" localSheetId="10">{#N/A,#N/A,FALSE,"명세표"}</definedName>
    <definedName name="자미" localSheetId="10">{#N/A,#N/A,FALSE,"명세표"}</definedName>
    <definedName name="자재3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10">{#N/A,#N/A,FALSE,"ENG'G(보호계전기)"}</definedName>
    <definedName name="집계" localSheetId="10">{#N/A,#N/A,FALSE,"명세표"}</definedName>
    <definedName name="철골공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10">{#N/A,#N/A,FALSE,"명세표"}</definedName>
    <definedName name="ㅋㅋㅋ" localSheetId="10">{#N/A,#N/A,FALSE,"명세표"}</definedName>
    <definedName name="ㅌㅌ" localSheetId="10">{#N/A,#N/A,FALSE,"명세표"}</definedName>
    <definedName name="토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10">{"'장비'!$A$3:$M$12"}</definedName>
    <definedName name="하하하" localSheetId="10">{#N/A,#N/A,FALSE,"명세표"}</definedName>
    <definedName name="한국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10">{#N/A,#N/A,FALSE,"명세표"}</definedName>
    <definedName name="ㅏㅏㅏ" localSheetId="10">{#N/A,#N/A,FALSE,"명세표"}</definedName>
    <definedName name="ㅔㅔ" localSheetId="10">{#N/A,#N/A,FALSE,"명세표"}</definedName>
    <definedName name="ㅔㅔㅔㅔㅔ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10">{"'장비'!$A$3:$M$12"}</definedName>
    <definedName name="ㅗㅗ" localSheetId="10">{#N/A,#N/A,FALSE,"명세표"}</definedName>
    <definedName name="ㅗㅗㅗㅗㅗ" localSheetId="10">{"'장비'!$A$3:$M$12"}</definedName>
    <definedName name="ㅛ" localSheetId="10">{"'장비'!$A$3:$M$12"}</definedName>
    <definedName name="ㅛㅕㅛㅕㅛ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10">{"'장비'!$A$3:$M$12"}</definedName>
    <definedName name="ㅜ" localSheetId="10">{#N/A,#N/A,FALSE,"명세표"}</definedName>
    <definedName name="ㅠㅠ" localSheetId="10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10">{#N/A,#N/A,FALSE,"명세표"}</definedName>
    <definedName name="_xlnm._FilterDatabase" localSheetId="10" hidden="1">'CPU'!$A$1:$Y$5027</definedName>
    <definedName name="_______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_PK2" localSheetId="11">{"'장비'!$A$3:$M$12"}</definedName>
    <definedName name="____PKG3" localSheetId="11">{"'장비'!$A$3:$M$12"}</definedName>
    <definedName name="____qqq222" localSheetId="11">{"'장비'!$A$3:$M$12"}</definedName>
    <definedName name="_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_CO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ECS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_PK2" localSheetId="11">{"'장비'!$A$3:$M$12"}</definedName>
    <definedName name="___PKG3" localSheetId="11">{"'장비'!$A$3:$M$12"}</definedName>
    <definedName name="___qqq222" localSheetId="11">{"'장비'!$A$3:$M$12"}</definedName>
    <definedName name="_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CO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ECS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_PK2" localSheetId="11">{"'장비'!$A$3:$M$12"}</definedName>
    <definedName name="__PKG3" localSheetId="11">{"'장비'!$A$3:$M$12"}</definedName>
    <definedName name="__qqq222" localSheetId="11">{"'장비'!$A$3:$M$12"}</definedName>
    <definedName name="_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_r2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CO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ECS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_IA0542" localSheetId="11">{#N/A,#N/A,FALSE,"Plan1";#N/A,#N/A,FALSE,"Plan2"}</definedName>
    <definedName name="_new11" localSheetId="11">{#N/A,#N/A,FALSE,"Global by BU";#N/A,#N/A,FALSE,"U.S. by BU";#N/A,#N/A,FALSE,"Canada by BU";#N/A,#N/A,FALSE,"Europe by BU";#N/A,#N/A,FALSE,"Asia by BU";#N/A,#N/A,FALSE,"Cala by BU"}</definedName>
    <definedName name="_Order2" localSheetId="11">0</definedName>
    <definedName name="_PK2" localSheetId="11">{"'장비'!$A$3:$M$12"}</definedName>
    <definedName name="_PKG3" localSheetId="11">{"'장비'!$A$3:$M$12"}</definedName>
    <definedName name="_qqq222" localSheetId="11">{"'장비'!$A$3:$M$12"}</definedName>
    <definedName name="_r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R2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_sfe5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_wer3" localSheetId="11">{#N/A,#N/A,FALSE,"Plan1";#N/A,#N/A,FALSE,"Plan2"}</definedName>
    <definedName name="_wrn.pendencias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aaa" localSheetId="11">#REF!</definedName>
    <definedName name="aaaaaaaaa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aacccc" localSheetId="11">{#N/A,#N/A,FALSE,"Plan1";#N/A,#N/A,FALSE,"Plan2"}</definedName>
    <definedName name="AB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bc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çoeeer" localSheetId="11">{#N/A,#N/A,FALSE,"Plan1";#N/A,#N/A,FALSE,"Plan2"}</definedName>
    <definedName name="ad" localSheetId="11">{#N/A,#N/A,FALSE,"Plan1";#N/A,#N/A,FALSE,"Plan2"}</definedName>
    <definedName name="adads" localSheetId="11">{#N/A,#N/A,FALSE,"Plan1";#N/A,#N/A,FALSE,"Plan2"}</definedName>
    <definedName name="adads2" localSheetId="11">{#N/A,#N/A,FALSE,"Plan1";#N/A,#N/A,FALSE,"Plan2"}</definedName>
    <definedName name="adced" localSheetId="11">{#N/A,#N/A,FALSE,"Plan1";#N/A,#N/A,FALSE,"Plan2"}</definedName>
    <definedName name="adced2" localSheetId="11">{#N/A,#N/A,FALSE,"Plan1";#N/A,#N/A,FALSE,"Plan2"}</definedName>
    <definedName name="ader" localSheetId="11">{#N/A,#N/A,FALSE,"Plan1";#N/A,#N/A,FALSE,"Plan2"}</definedName>
    <definedName name="ader2" localSheetId="11">{#N/A,#N/A,FALSE,"Plan1";#N/A,#N/A,FALSE,"Plan2"}</definedName>
    <definedName name="adesr" localSheetId="11">{#N/A,#N/A,FALSE,"Plan1";#N/A,#N/A,FALSE,"Plan2"}</definedName>
    <definedName name="adewr" localSheetId="11">{#N/A,#N/A,FALSE,"Plan1";#N/A,#N/A,FALSE,"Plan2"}</definedName>
    <definedName name="adf" localSheetId="11">{#N/A,#N/A,FALSE,"Plan1";#N/A,#N/A,FALSE,"Plan2"}</definedName>
    <definedName name="adsfr" localSheetId="11">{#N/A,#N/A,FALSE,"Plan1";#N/A,#N/A,FALSE,"Plan2"}</definedName>
    <definedName name="adssrgtg" localSheetId="11">{#N/A,#N/A,FALSE,"Plan1";#N/A,#N/A,FALSE,"Plan2"}</definedName>
    <definedName name="adtsetrr6t" localSheetId="11">{#N/A,#N/A,FALSE,"Plan1";#N/A,#N/A,FALSE,"Plan2"}</definedName>
    <definedName name="adwr" localSheetId="11">{#N/A,#N/A,FALSE,"Plan1";#N/A,#N/A,FALSE,"Plan2"}</definedName>
    <definedName name="aeiresft" localSheetId="11">{#N/A,#N/A,FALSE,"Plan1";#N/A,#N/A,FALSE,"Plan2"}</definedName>
    <definedName name="aEL3QE" localSheetId="11">{#N/A,#N/A,FALSE,"Plan1";#N/A,#N/A,FALSE,"Plan2"}</definedName>
    <definedName name="afeasfre" localSheetId="11">{#N/A,#N/A,FALSE,"Plan1";#N/A,#N/A,FALSE,"Plan2"}</definedName>
    <definedName name="agua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AH" localSheetId="11">{#N/A,#N/A,FALSE,"CCTV"}</definedName>
    <definedName name="anscount" localSheetId="11">1</definedName>
    <definedName name="AQE" localSheetId="11">{"'장비'!$A$3:$M$12"}</definedName>
    <definedName name="ArComprimido" localSheetId="11">{"'Estimativa de Lançamento-JAN'!$A$1:$AI$85"}</definedName>
    <definedName name="area" localSheetId="11">#REF!</definedName>
    <definedName name="asawe3" localSheetId="11">{#N/A,#N/A,FALSE,"Plan1";#N/A,#N/A,FALSE,"Plan2"}</definedName>
    <definedName name="asd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A" localSheetId="11">{#N/A,#N/A,FALSE,"Plan1";#N/A,#N/A,FALSE,"Plan2"}</definedName>
    <definedName name="asdade" localSheetId="11">{#N/A,#N/A,FALSE,"Plan1";#N/A,#N/A,FALSE,"Plan2"}</definedName>
    <definedName name="asdas" localSheetId="11">{#N/A,#N/A,FALSE,"Plan1";#N/A,#N/A,FALSE,"Plan2"}</definedName>
    <definedName name="asdawed" localSheetId="11">{#N/A,#N/A,FALSE,"Plan1";#N/A,#N/A,FALSE,"Plan2"}</definedName>
    <definedName name="ASDER" localSheetId="11">{#N/A,#N/A,FALSE,"Plan1";#N/A,#N/A,FALSE,"Plan2"}</definedName>
    <definedName name="asderr" localSheetId="11">{#N/A,#N/A,FALSE,"Plan1";#N/A,#N/A,FALSE,"Plan2"}</definedName>
    <definedName name="asdesre" localSheetId="11">{#N/A,#N/A,FALSE,"Plan1";#N/A,#N/A,FALSE,"Plan2"}</definedName>
    <definedName name="asdewr" localSheetId="11">{#N/A,#N/A,FALSE,"Plan1";#N/A,#N/A,FALSE,"Plan2"}</definedName>
    <definedName name="ASDFASDFA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ASDFADF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asdfrrt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fs" localSheetId="11">{#N/A,#N/A,FALSE,"Plan1";#N/A,#N/A,FALSE,"Plan2"}</definedName>
    <definedName name="asdg" localSheetId="11">{#N/A,#N/A,FALSE,"Plan1";#N/A,#N/A,FALSE,"Plan2"}</definedName>
    <definedName name="asdke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asdlas" localSheetId="11">{#N/A,#N/A,FALSE,"Plan1";#N/A,#N/A,FALSE,"Plan2"}</definedName>
    <definedName name="asdqwe" localSheetId="11">{#N/A,#N/A,FALSE,"Plan1";#N/A,#N/A,FALSE,"Plan2"}</definedName>
    <definedName name="asdsa" localSheetId="11">{#N/A,#N/A,FALSE,"Plan1";#N/A,#N/A,FALSE,"Plan2"}</definedName>
    <definedName name="asdser" localSheetId="11">{#N/A,#N/A,FALSE,"Plan1";#N/A,#N/A,FALSE,"Plan2"}</definedName>
    <definedName name="asdwef" localSheetId="11">{#N/A,#N/A,FALSE,"Plan1";#N/A,#N/A,FALSE,"Plan2"}</definedName>
    <definedName name="ASET" localSheetId="11">{#N/A,#N/A,FALSE,"Plan1";#N/A,#N/A,FALSE,"Plan2"}</definedName>
    <definedName name="asfDSF" localSheetId="11">{#N/A,#N/A,FALSE,"Plan1";#N/A,#N/A,FALSE,"Plan2"}</definedName>
    <definedName name="ASFERTE" localSheetId="11">{#N/A,#N/A,FALSE,"Plan1";#N/A,#N/A,FALSE,"Plan2"}</definedName>
    <definedName name="asfl" localSheetId="11">{#N/A,#N/A,FALSE,"Plan1";#N/A,#N/A,FALSE,"Plan2"}</definedName>
    <definedName name="asfsz" localSheetId="11">{#N/A,#N/A,FALSE,"Plan1";#N/A,#N/A,FALSE,"Plan2"}</definedName>
    <definedName name="askserf" localSheetId="11">{#N/A,#N/A,FALSE,"Plan1";#N/A,#N/A,FALSE,"Plan2"}</definedName>
    <definedName name="ASSFSDF" localSheetId="11">{#N/A,#N/A,FALSE,"Plan1";#N/A,#N/A,FALSE,"Plan2"}</definedName>
    <definedName name="asw" localSheetId="11">{#N/A,#N/A,FALSE,"Plan1";#N/A,#N/A,FALSE,"Plan2"}</definedName>
    <definedName name="ATIVOS" localSheetId="11">{#N/A,#N/A,FALSE,"F-01"}</definedName>
    <definedName name="awdjw" localSheetId="11">{#N/A,#N/A,FALSE,"Plan1";#N/A,#N/A,FALSE,"Plan2"}</definedName>
    <definedName name="aweqw4" localSheetId="11">{#N/A,#N/A,FALSE,"Plan1";#N/A,#N/A,FALSE,"Plan2"}</definedName>
    <definedName name="awssdwaer" localSheetId="11">{#N/A,#N/A,FALSE,"Plan1";#N/A,#N/A,FALSE,"Plan2"}</definedName>
    <definedName name="b" localSheetId="11">{#N/A,#N/A,FALSE,"Plan1";#N/A,#N/A,FALSE,"Plan2"}</definedName>
    <definedName name="bbbbbbbbbbbbbbb" localSheetId="11">{"'Edit'!$A$1:$V$2277"}</definedName>
    <definedName name="bdfjghf" localSheetId="11">{#N/A,#N/A,FALSE,"Plan1";#N/A,#N/A,FALSE,"Plan2"}</definedName>
    <definedName name="bdzbfbdr" localSheetId="11">{#N/A,#N/A,FALSE,"Plan1";#N/A,#N/A,FALSE,"Plan2"}</definedName>
    <definedName name="BGG" localSheetId="11">{#N/A,#N/A,FALSE,"Plan1";#N/A,#N/A,FALSE,"Plan2"}</definedName>
    <definedName name="bhjgfhfh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GO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BJSDKHFE" localSheetId="11">{#N/A,#N/A,FALSE,"Plan1";#N/A,#N/A,FALSE,"Plan2"}</definedName>
    <definedName name="bmdgghrtfde" localSheetId="11">{#N/A,#N/A,FALSE,"Plan1";#N/A,#N/A,FALSE,"Plan2"}</definedName>
    <definedName name="bnkjhjhdfxgt" localSheetId="11">{#N/A,#N/A,FALSE,"Plan1";#N/A,#N/A,FALSE,"Plan2"}</definedName>
    <definedName name="bxnzfmkzxbhdf" localSheetId="11">{#N/A,#N/A,FALSE,"Plan1";#N/A,#N/A,FALSE,"Plan2"}</definedName>
    <definedName name="caixas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AT6_IP" localSheetId="11">{#N/A,#N/A,FALSE,"F-01"}</definedName>
    <definedName name="ççç" localSheetId="11">{#N/A,#N/A,FALSE,"Plan1";#N/A,#N/A,FALSE,"Plan2"}</definedName>
    <definedName name="cccc" localSheetId="11">{#N/A,#N/A,FALSE,"Plan1";#N/A,#N/A,FALSE,"Plan2"}</definedName>
    <definedName name="ççççççç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ccccccccccccccc" localSheetId="11">{"HW",#N/A,FALSE,"1998"}</definedName>
    <definedName name="çcklfjk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dfmerf" localSheetId="11">{#N/A,#N/A,FALSE,"Plan1";#N/A,#N/A,FALSE,"Plan2"}</definedName>
    <definedName name="CDSGHE" localSheetId="11">{#N/A,#N/A,FALSE,"Plan1";#N/A,#N/A,FALSE,"Plan2"}</definedName>
    <definedName name="çfhjglkjhkljyh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flçf" localSheetId="11">{#N/A,#N/A,FALSE,"Plan1";#N/A,#N/A,FALSE,"Plan2"}</definedName>
    <definedName name="chfch" localSheetId="11">{#N/A,#N/A,FALSE,"Plan1";#N/A,#N/A,FALSE,"Plan2"}</definedName>
    <definedName name="ÇJKRÇLFS" localSheetId="11">{"Econ Consolidado",#N/A,FALSE,"Econ Consol";"Fluxo de Caixa",#N/A,FALSE,"Fluxo Caixa";"Investimentos",#N/A,FALSE,"Investimentos"}</definedName>
    <definedName name="ÇJsrejtçe" localSheetId="11">{#N/A,#N/A,FALSE,"Plan1";#N/A,#N/A,FALSE,"Plan2"}</definedName>
    <definedName name="çkaçekow" localSheetId="11">{#N/A,#N/A,FALSE,"Plan1";#N/A,#N/A,FALSE,"Plan2"}</definedName>
    <definedName name="ÇKSDOEKR" localSheetId="11">{#N/A,#N/A,FALSE,"Plan1";#N/A,#N/A,FALSE,"Plan2"}</definedName>
    <definedName name="çl" localSheetId="11">{#N/A,#N/A,FALSE,"Plan1";#N/A,#N/A,FALSE,"Plan2"}</definedName>
    <definedName name="çlassde" localSheetId="11">{#N/A,#N/A,FALSE,"Plan1";#N/A,#N/A,FALSE,"Plan2"}</definedName>
    <definedName name="çlçlç" localSheetId="11">{#N/A,#N/A,FALSE,"Plan1";#N/A,#N/A,FALSE,"Plan2"}</definedName>
    <definedName name="çld" localSheetId="11">{#N/A,#N/A,FALSE,"Plan1";#N/A,#N/A,FALSE,"Plan2"}</definedName>
    <definedName name="çlererr" localSheetId="11">{#N/A,#N/A,FALSE,"Plan1";#N/A,#N/A,FALSE,"Plan2"}</definedName>
    <definedName name="çlertert" localSheetId="11">{#N/A,#N/A,FALSE,"Plan1";#N/A,#N/A,FALSE,"Plan2"}</definedName>
    <definedName name="çll" localSheetId="11">{#N/A,#N/A,FALSE,"Plan1";#N/A,#N/A,FALSE,"Plan2"}</definedName>
    <definedName name="CMC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CONFIRMAR" localSheetId="11">{#N/A,#N/A,TRUE,"Quinzena 01 à 15-04-98 "}</definedName>
    <definedName name="cont" localSheetId="11">{#N/A,#N/A,FALSE,"Plan1";#N/A,#N/A,FALSE,"Plan2"}</definedName>
    <definedName name="ÇSAÇDFW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CS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ÇSLÇDLFKD" localSheetId="11">{#N/A,#N/A,FALSE,"Plan1";#N/A,#N/A,FALSE,"Plan2"}</definedName>
    <definedName name="CTH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lmo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asfrt" localSheetId="11">{#N/A,#N/A,FALSE,"Plan1";#N/A,#N/A,FALSE,"Plan2"}</definedName>
    <definedName name="DÇDL" localSheetId="11">{#N/A,#N/A,FALSE,"Plan1";#N/A,#N/A,FALSE,"Plan2"}</definedName>
    <definedName name="dcnsfgdjkgb" localSheetId="11">{#N/A,#N/A,FALSE,"Plan1";#N/A,#N/A,FALSE,"Plan2"}</definedName>
    <definedName name="DÇWK" localSheetId="11">{#N/A,#N/A,FALSE,"Plan1";#N/A,#N/A,FALSE,"Plan2"}</definedName>
    <definedName name="DD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dd" localSheetId="11">{"'장비'!$A$3:$M$12"}</definedName>
    <definedName name="ddddd" localSheetId="11">{#N/A,#N/A,FALSE,"Plan1";#N/A,#N/A,FALSE,"Plan2"}</definedName>
    <definedName name="dde" localSheetId="11">{#N/A,#N/A,FALSE,"Plan1";#N/A,#N/A,FALSE,"Plan2"}</definedName>
    <definedName name="ddgfdvgd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DGSFG" localSheetId="11">{#N/A,#N/A,FALSE,"Plan1";#N/A,#N/A,FALSE,"Plan2"}</definedName>
    <definedName name="dede" localSheetId="11">{#N/A,#N/A,FALSE,"Plan1";#N/A,#N/A,FALSE,"Plan2"}</definedName>
    <definedName name="des" localSheetId="11">{#N/A,#N/A,FALSE,"Plan1";#N/A,#N/A,FALSE,"Plan2"}</definedName>
    <definedName name="desc" localSheetId="11">{#N/A,#N/A,FALSE,"Plan1";#N/A,#N/A,FALSE,"Plan2"}</definedName>
    <definedName name="d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" localSheetId="11">{#N/A,#N/A,FALSE,"명세표"}</definedName>
    <definedName name="dfdfty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djgfdfgdf" localSheetId="11">{#N/A,#N/A,FALSE,"Plan1";#N/A,#N/A,FALSE,"Plan2"}</definedName>
    <definedName name="dfdrtrr" localSheetId="11">{#N/A,#N/A,FALSE,"Plan1";#N/A,#N/A,FALSE,"Plan2"}</definedName>
    <definedName name="DFDSG" localSheetId="11">{#N/A,#N/A,FALSE,"Plan1";#N/A,#N/A,FALSE,"Plan2"}</definedName>
    <definedName name="dfer" localSheetId="11">{#N/A,#N/A,FALSE,"Plan1";#N/A,#N/A,FALSE,"Plan2"}</definedName>
    <definedName name="dffbty" localSheetId="11">{#N/A,#N/A,FALSE,"Plan1";#N/A,#N/A,FALSE,"Plan2"}</definedName>
    <definedName name="dffgk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fhg" localSheetId="11">{#N/A,#N/A,FALSE,"Plan1";#N/A,#N/A,FALSE,"Plan2"}</definedName>
    <definedName name="dfg" localSheetId="11">{#N/A,#N/A,FALSE,"Plan1";#N/A,#N/A,FALSE,"Plan2"}</definedName>
    <definedName name="dfgdf" localSheetId="11">{#N/A,#N/A,FALSE,"Plan1";#N/A,#N/A,FALSE,"Plan2"}</definedName>
    <definedName name="dfgdytygr" localSheetId="11">{#N/A,#N/A,FALSE,"Plan1";#N/A,#N/A,FALSE,"Plan2"}</definedName>
    <definedName name="dfgftrrdt5" localSheetId="11">{#N/A,#N/A,FALSE,"Plan1";#N/A,#N/A,FALSE,"Plan2"}</definedName>
    <definedName name="dfghjfhsg" localSheetId="11">{#N/A,#N/A,FALSE,"Plan1";#N/A,#N/A,FALSE,"Plan2"}</definedName>
    <definedName name="dfgj" localSheetId="11">{#N/A,#N/A,FALSE,"Plan1";#N/A,#N/A,FALSE,"Plan2"}</definedName>
    <definedName name="dfgjfttyd" localSheetId="11">{#N/A,#N/A,FALSE,"Plan1";#N/A,#N/A,FALSE,"Plan2"}</definedName>
    <definedName name="dfgjjtdrtg" localSheetId="11">{#N/A,#N/A,FALSE,"Plan1";#N/A,#N/A,FALSE,"Plan2"}</definedName>
    <definedName name="dfgt" localSheetId="11">{#N/A,#N/A,FALSE,"Plan1";#N/A,#N/A,FALSE,"Plan2"}</definedName>
    <definedName name="dfgtrkjhk" localSheetId="11">{#N/A,#N/A,FALSE,"Plan1";#N/A,#N/A,FALSE,"Plan2"}</definedName>
    <definedName name="dfgty" localSheetId="11">{#N/A,#N/A,FALSE,"Plan1";#N/A,#N/A,FALSE,"Plan2"}</definedName>
    <definedName name="dfhdgfdgf" localSheetId="11">{#N/A,#N/A,FALSE,"Plan1";#N/A,#N/A,FALSE,"Plan2"}</definedName>
    <definedName name="DFHDJGJFHJGF" localSheetId="11">{#N/A,#N/A,FALSE,"Plan1";#N/A,#N/A,FALSE,"Plan2"}</definedName>
    <definedName name="dfhdyg" localSheetId="11">{#N/A,#N/A,FALSE,"Plan1";#N/A,#N/A,FALSE,"Plan2"}</definedName>
    <definedName name="DFHGDHUR" localSheetId="11">{#N/A,#N/A,FALSE,"Plan1";#N/A,#N/A,FALSE,"Plan2"}</definedName>
    <definedName name="dfhgjfgdhfjdrf" localSheetId="11">{#N/A,#N/A,FALSE,"Plan1";#N/A,#N/A,FALSE,"Plan2"}</definedName>
    <definedName name="dfhgkhfut" localSheetId="11">{#N/A,#N/A,FALSE,"Plan1";#N/A,#N/A,FALSE,"Plan2"}</definedName>
    <definedName name="dfhguitrhfg" localSheetId="11">{#N/A,#N/A,FALSE,"Plan1";#N/A,#N/A,FALSE,"Plan2"}</definedName>
    <definedName name="DFHKHDGKJHDKS" localSheetId="11">{#N/A,#N/A,FALSE,"Plan1";#N/A,#N/A,FALSE,"Plan2"}</definedName>
    <definedName name="dfjgjfhykj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jkgtdftr" localSheetId="11">{#N/A,#N/A,FALSE,"Plan1";#N/A,#N/A,FALSE,"Plan2"}</definedName>
    <definedName name="dfkhgfg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knfhkdrj" localSheetId="11">{#N/A,#N/A,FALSE,"Plan1";#N/A,#N/A,FALSE,"Plan2"}</definedName>
    <definedName name="dfnert" localSheetId="11">{#N/A,#N/A,FALSE,"Plan1";#N/A,#N/A,FALSE,"Plan2"}</definedName>
    <definedName name="dfrt" localSheetId="11">{#N/A,#N/A,FALSE,"Plan1";#N/A,#N/A,FALSE,"Plan2"}</definedName>
    <definedName name="dfsdr5tt" localSheetId="11">{#N/A,#N/A,FALSE,"Plan1";#N/A,#N/A,FALSE,"Plan2"}</definedName>
    <definedName name="dfsd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fsdtr" localSheetId="11">{#N/A,#N/A,FALSE,"Plan1";#N/A,#N/A,FALSE,"Plan2"}</definedName>
    <definedName name="dfsf" localSheetId="11">{#N/A,#N/A,FALSE,"Plan1";#N/A,#N/A,FALSE,"Plan2"}</definedName>
    <definedName name="DFT" localSheetId="11">{#N/A,#N/A,FALSE,"Plan1";#N/A,#N/A,FALSE,"Plan2"}</definedName>
    <definedName name="DFTRTTY" localSheetId="11">{#N/A,#N/A,FALSE,"Plan1";#N/A,#N/A,FALSE,"Plan2"}</definedName>
    <definedName name="dfurghifdjyhits" localSheetId="11">{#N/A,#N/A,FALSE,"Plan1";#N/A,#N/A,FALSE,"Plan2"}</definedName>
    <definedName name="dfxgdrged" localSheetId="11">{#N/A,#N/A,FALSE,"Plan1";#N/A,#N/A,FALSE,"Plan2"}</definedName>
    <definedName name="dgfrtyt" localSheetId="11">{#N/A,#N/A,FALSE,"Plan1";#N/A,#N/A,FALSE,"Plan2"}</definedName>
    <definedName name="dggfdg" localSheetId="11">{#N/A,#N/A,FALSE,"Plan1";#N/A,#N/A,FALSE,"Plan2"}</definedName>
    <definedName name="dgldfhgkljslh" localSheetId="11">{#N/A,#N/A,FALSE,"Plan1";#N/A,#N/A,FALSE,"Plan2"}</definedName>
    <definedName name="dhfgdhrehrwe" localSheetId="11">{#N/A,#N/A,FALSE,"Plan1";#N/A,#N/A,FALSE,"Plan2"}</definedName>
    <definedName name="dhgfdgrfgdfgd" localSheetId="11">{#N/A,#N/A,FALSE,"Plan1";#N/A,#N/A,FALSE,"Plan2"}</definedName>
    <definedName name="dhkjfhdhfjdh" localSheetId="11">{#N/A,#N/A,FALSE,"Plan1";#N/A,#N/A,FALSE,"Plan2"}</definedName>
    <definedName name="DHTJRT" localSheetId="11">{#N/A,#N/A,FALSE,"Plan1";#N/A,#N/A,FALSE,"Plan2"}</definedName>
    <definedName name="dijghdhks" localSheetId="11">{#N/A,#N/A,FALSE,"Plan1";#N/A,#N/A,FALSE,"Plan2"}</definedName>
    <definedName name="djasdrjas" localSheetId="11">{#N/A,#N/A,FALSE,"Plan1";#N/A,#N/A,FALSE,"Plan2"}</definedName>
    <definedName name="dj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jfkhjhfgrgdfh" localSheetId="11">{#N/A,#N/A,FALSE,"Plan1";#N/A,#N/A,FALSE,"Plan2"}</definedName>
    <definedName name="djfkhsdkjhf" localSheetId="11">{#N/A,#N/A,FALSE,"Plan1";#N/A,#N/A,FALSE,"Plan2"}</definedName>
    <definedName name="djfldjsgljslkjtg" localSheetId="11">{#N/A,#N/A,FALSE,"Plan1";#N/A,#N/A,FALSE,"Plan2"}</definedName>
    <definedName name="djflkdjgdth" localSheetId="11">{#N/A,#N/A,FALSE,"Plan1";#N/A,#N/A,FALSE,"Plan2"}</definedName>
    <definedName name="DJFLKDJGKTJYJT" localSheetId="11">{#N/A,#N/A,FALSE,"Plan1";#N/A,#N/A,FALSE,"Plan2"}</definedName>
    <definedName name="djgkfjgtiyty" localSheetId="11">{#N/A,#N/A,FALSE,"Plan1";#N/A,#N/A,FALSE,"Plan2"}</definedName>
    <definedName name="djrkehrjfhng" localSheetId="11">{#N/A,#N/A,FALSE,"Plan1";#N/A,#N/A,FALSE,"Plan2"}</definedName>
    <definedName name="djtkjldfr" localSheetId="11">{#N/A,#N/A,FALSE,"Plan1";#N/A,#N/A,FALSE,"Plan2"}</definedName>
    <definedName name="DJXDLFGDFG" localSheetId="11">{#N/A,#N/A,FALSE,"Plan1";#N/A,#N/A,FALSE,"Plan2"}</definedName>
    <definedName name="dkdkdkdkd" localSheetId="11">{#N/A,#N/A,FALSE,"명세표"}</definedName>
    <definedName name="dkfhskgf" localSheetId="11">{#N/A,#N/A,FALSE,"Plan1";#N/A,#N/A,FALSE,"Plan2"}</definedName>
    <definedName name="dkjfk" localSheetId="11">{#N/A,#N/A,FALSE,"Plan1";#N/A,#N/A,FALSE,"Plan2"}</definedName>
    <definedName name="DKLD" localSheetId="11">{#N/A,#N/A,FALSE,"Plan1";#N/A,#N/A,FALSE,"Plan2"}</definedName>
    <definedName name="DKLFJDKFD" localSheetId="11">{#N/A,#N/A,FALSE,"Plan1";#N/A,#N/A,FALSE,"Plan2"}</definedName>
    <definedName name="dklfjgirtgid" localSheetId="11">{#N/A,#N/A,FALSE,"Plan1";#N/A,#N/A,FALSE,"Plan2"}</definedName>
    <definedName name="dklfm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mbfmndbmtrhed" localSheetId="11">{#N/A,#N/A,FALSE,"Plan1";#N/A,#N/A,FALSE,"Plan2"}</definedName>
    <definedName name="DNFJKDHTKRE" localSheetId="11">{#N/A,#N/A,FALSE,"Plan1";#N/A,#N/A,FALSE,"Plan2"}</definedName>
    <definedName name="dng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rewr" localSheetId="11">{#N/A,#N/A,FALSE,"Plan1";#N/A,#N/A,FALSE,"Plan2"}</definedName>
    <definedName name="DRRJR" localSheetId="11">{#N/A,#N/A,FALSE,"Plan1";#N/A,#N/A,FALSE,"Plan2"}</definedName>
    <definedName name="drtrt" localSheetId="11">{"'Estimativa de Lançamento-JAN'!$A$1:$AI$85"}</definedName>
    <definedName name="dsdrf" localSheetId="11">{#N/A,#N/A,FALSE,"Plan1";#N/A,#N/A,FALSE,"Plan2"}</definedName>
    <definedName name="dsfdf" localSheetId="11">{#N/A,#N/A,FALSE,"Plan1";#N/A,#N/A,FALSE,"Plan2"}</definedName>
    <definedName name="dsfg" localSheetId="11">{#N/A,#N/A,FALSE,"Plan1";#N/A,#N/A,FALSE,"Plan2"}</definedName>
    <definedName name="DSFKDSKH" localSheetId="11">{#N/A,#N/A,FALSE,"Plan1";#N/A,#N/A,FALSE,"Plan2"}</definedName>
    <definedName name="DSFR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frtyy" localSheetId="11">{#N/A,#N/A,FALSE,"Plan1";#N/A,#N/A,FALSE,"Plan2"}</definedName>
    <definedName name="DSFSAD" localSheetId="11">{#N/A,#N/A,FALSE,"Plan1";#N/A,#N/A,FALSE,"Plan2"}</definedName>
    <definedName name="dsfsdf" localSheetId="11">{#N/A,#N/A,FALSE,"Plan1";#N/A,#N/A,FALSE,"Plan2"}</definedName>
    <definedName name="dsfsdgfb" localSheetId="11">{#N/A,#N/A,FALSE,"Plan1";#N/A,#N/A,FALSE,"Plan2"}</definedName>
    <definedName name="dsgfr" localSheetId="11">{#N/A,#N/A,FALSE,"Plan1";#N/A,#N/A,FALSE,"Plan2"}</definedName>
    <definedName name="dshfkhkrhesru" localSheetId="11">{#N/A,#N/A,FALSE,"Plan1";#N/A,#N/A,FALSE,"Plan2"}</definedName>
    <definedName name="dsjkthkr" localSheetId="11">{#N/A,#N/A,FALSE,"Plan1";#N/A,#N/A,FALSE,"Plan2"}</definedName>
    <definedName name="DSLFJSLFJ" localSheetId="11">{#N/A,#N/A,FALSE,"Plan1";#N/A,#N/A,FALSE,"Plan2"}</definedName>
    <definedName name="dsrff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srgdergdrg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dss" localSheetId="11">{#N/A,#N/A,FALSE,"Plan1";#N/A,#N/A,FALSE,"Plan2"}</definedName>
    <definedName name="dtgsrytt" localSheetId="11">{#N/A,#N/A,FALSE,"Plan1";#N/A,#N/A,FALSE,"Plan2"}</definedName>
    <definedName name="dtrjkhtrgkfh" localSheetId="11">{#N/A,#N/A,FALSE,"Plan1";#N/A,#N/A,FALSE,"Plan2"}</definedName>
    <definedName name="dttjuk" localSheetId="11">{#N/A,#N/A,FALSE,"Plan1";#N/A,#N/A,FALSE,"Plan2"}</definedName>
    <definedName name="dvtry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dwetrt" localSheetId="11">{#N/A,#N/A,FALSE,"Plan1";#N/A,#N/A,FALSE,"Plan2"}</definedName>
    <definedName name="DY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DYHYGJDHZKGF" localSheetId="11">{#N/A,#N/A,FALSE,"Plan1";#N/A,#N/A,FALSE,"Plan2"}</definedName>
    <definedName name="dzdfr" localSheetId="11">{#N/A,#N/A,FALSE,"Plan1";#N/A,#N/A,FALSE,"Plan2"}</definedName>
    <definedName name="e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C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EW" localSheetId="11">{#N/A,#N/A,FALSE,"F-01"}</definedName>
    <definedName name="ECEW_1" localSheetId="11">{#N/A,#N/A,FALSE,"F-01"}</definedName>
    <definedName name="ECS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CS기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EDE" localSheetId="11">{#N/A,#N/A,FALSE,"Plan1";#N/A,#N/A,FALSE,"Plan2"}</definedName>
    <definedName name="eee" localSheetId="11">{#N/A,#N/A,FALSE,"ET-CAPA";#N/A,#N/A,FALSE,"ET-PAG1";#N/A,#N/A,FALSE,"ET-PAG2";#N/A,#N/A,FALSE,"ET-PAG3";#N/A,#N/A,FALSE,"ET-PAG4";#N/A,#N/A,FALSE,"ET-PAG5"}</definedName>
    <definedName name="efestfr" localSheetId="11">{#N/A,#N/A,FALSE,"Plan1";#N/A,#N/A,FALSE,"Plan2"}</definedName>
    <definedName name="efrdrt" localSheetId="11">{#N/A,#N/A,FALSE,"Plan1";#N/A,#N/A,FALSE,"Plan2"}</definedName>
    <definedName name="efrg" localSheetId="11">{#N/A,#N/A,FALSE,"Plan1";#N/A,#N/A,FALSE,"Plan2"}</definedName>
    <definedName name="efsgfr" localSheetId="11">{#N/A,#N/A,FALSE,"Plan1";#N/A,#N/A,FALSE,"Plan2"}</definedName>
    <definedName name="ER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ergerg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ergfhyu" localSheetId="11">{#N/A,#N/A,FALSE,"Plan1";#N/A,#N/A,FALSE,"Plan2"}</definedName>
    <definedName name="ESGFDSFD" localSheetId="11">{#N/A,#N/A,FALSE,"Plan1";#N/A,#N/A,FALSE,"Plan2"}</definedName>
    <definedName name="EU" localSheetId="11">{#N/A,#N/A,FALSE,"Plan1";#N/A,#N/A,FALSE,"Plan2"}</definedName>
    <definedName name="EVL" localSheetId="11">{"Econ Consolidado",#N/A,FALSE,"Econ Consol";"Fluxo de Caixa",#N/A,FALSE,"Fluxo Caixa";"Investimentos",#N/A,FALSE,"Investimentos"}</definedName>
    <definedName name="Evol." localSheetId="11">{"Econ Consolidado",#N/A,FALSE,"Econ Consol";"Fluxo de Caixa",#N/A,FALSE,"Fluxo Caixa";"Investimentos",#N/A,FALSE,"Investimentos"}</definedName>
    <definedName name="ewfr" localSheetId="11">{#N/A,#N/A,FALSE,"Plan1";#N/A,#N/A,FALSE,"Plan2"}</definedName>
    <definedName name="eyruieyteta" localSheetId="11">{#N/A,#N/A,FALSE,"Plan1";#N/A,#N/A,FALSE,"Plan2"}</definedName>
    <definedName name="f" localSheetId="11">{#N/A,#N/A,FALSE,"Plan1";#N/A,#N/A,FALSE,"Plan2"}</definedName>
    <definedName name="FAS" localSheetId="11">{"'Total'!$A$1","'Total'!$A$3"}</definedName>
    <definedName name="fasfasf" localSheetId="11">{#N/A,#N/A,TRUE,"Quinzena 01 à 15-04-98 "}</definedName>
    <definedName name="fddhght" localSheetId="11">{#N/A,#N/A,FALSE,"Plan1";#N/A,#N/A,FALSE,"Plan2"}</definedName>
    <definedName name="fdfgd" localSheetId="11">{#N/A,#N/A,FALSE,"Plan1";#N/A,#N/A,FALSE,"Plan2"}</definedName>
    <definedName name="fdfng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dgaf" localSheetId="11">{#N/A,#N/A,FALSE,"Plan1";#N/A,#N/A,FALSE,"Plan2"}</definedName>
    <definedName name="fdgdf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DGFDJHGZEDR" localSheetId="11">{#N/A,#N/A,FALSE,"Plan1";#N/A,#N/A,FALSE,"Plan2"}</definedName>
    <definedName name="fdgfyhygfuj" localSheetId="11">{#N/A,#N/A,FALSE,"Plan1";#N/A,#N/A,FALSE,"Plan2"}</definedName>
    <definedName name="fdhgfdf" localSheetId="11">{#N/A,#N/A,FALSE,"Plan1";#N/A,#N/A,FALSE,"Plan2"}</definedName>
    <definedName name="fdjfgdfjg" localSheetId="11">{#N/A,#N/A,FALSE,"Plan1";#N/A,#N/A,FALSE,"Plan2"}</definedName>
    <definedName name="fdjghkshtygt" localSheetId="11">{#N/A,#N/A,FALSE,"Plan1";#N/A,#N/A,FALSE,"Plan2"}</definedName>
    <definedName name="fdnhgf" localSheetId="11">{"'Estimativa de Lançamento-JAN'!$A$1:$AI$85"}</definedName>
    <definedName name="fdsf" localSheetId="11">{#N/A,#N/A,FALSE,"Plan1";#N/A,#N/A,FALSE,"Plan2"}</definedName>
    <definedName name="fffff" localSheetId="11">{#N/A,#N/A,FALSE,"Plan1";#N/A,#N/A,FALSE,"Plan2"}</definedName>
    <definedName name="FFTY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g" localSheetId="11">{#N/A,#N/A,FALSE,"Plan1";#N/A,#N/A,FALSE,"Plan2"}</definedName>
    <definedName name="fgg" localSheetId="11">{"'장비'!$A$3:$M$12"}</definedName>
    <definedName name="fghfh" localSheetId="11">{"'Estimativa de Lançamento-JAN'!$A$1:$AI$85"}</definedName>
    <definedName name="fghgfh" localSheetId="11">{#N/A,#N/A,FALSE,"Plan1";#N/A,#N/A,FALSE,"Plan2"}</definedName>
    <definedName name="FGJHFGK" localSheetId="11">{#N/A,#N/A,FALSE,"Plan1";#N/A,#N/A,FALSE,"Plan2"}</definedName>
    <definedName name="fgktyhdf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gtrgty" localSheetId="11">{#N/A,#N/A,FALSE,"Plan1";#N/A,#N/A,FALSE,"Plan2"}</definedName>
    <definedName name="fhgjfgyt" localSheetId="11">{#N/A,#N/A,FALSE,"Plan1";#N/A,#N/A,FALSE,"Plan2"}</definedName>
    <definedName name="fhgjkhtrfg" localSheetId="11">{#N/A,#N/A,FALSE,"Plan1";#N/A,#N/A,FALSE,"Plan2"}</definedName>
    <definedName name="FHGTGSRSG" localSheetId="11">{#N/A,#N/A,FALSE,"Plan1";#N/A,#N/A,FALSE,"Plan2"}</definedName>
    <definedName name="FIELD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ILTRO" localSheetId="11">{#N/A,#N/A,TRUE,"Quinzena 01 à 15-04-98 "}</definedName>
    <definedName name="fjdhfgjdhtgu" localSheetId="11">{#N/A,#N/A,FALSE,"Plan1";#N/A,#N/A,FALSE,"Plan2"}</definedName>
    <definedName name="fjfjg" localSheetId="11">{#N/A,#N/A,FALSE,"명세표"}</definedName>
    <definedName name="FJGH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JHJHG" localSheetId="11">{#N/A,#N/A,FALSE,"Plan1";#N/A,#N/A,FALSE,"Plan2"}</definedName>
    <definedName name="fjtgfh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FKF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kfw" localSheetId="11">{#N/A,#N/A,FALSE,"Plan1";#N/A,#N/A,FALSE,"Plan2"}</definedName>
    <definedName name="fl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rçt4r" localSheetId="11">{#N/A,#N/A,FALSE,"Plan1";#N/A,#N/A,FALSE,"Plan2"}</definedName>
    <definedName name="frdtty" localSheetId="11">{#N/A,#N/A,FALSE,"Plan1";#N/A,#N/A,FALSE,"Plan2"}</definedName>
    <definedName name="fsdfsf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fuihgjk" localSheetId="11">{#N/A,#N/A,FALSE,"Plan1";#N/A,#N/A,FALSE,"Plan2"}</definedName>
    <definedName name="fxjghkfg" localSheetId="11">{#N/A,#N/A,FALSE,"Plan1";#N/A,#N/A,FALSE,"Plan2"}</definedName>
    <definedName name="galo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bdjkvhgd" localSheetId="11">{#N/A,#N/A,FALSE,"Plan1";#N/A,#N/A,FALSE,"Plan2"}</definedName>
    <definedName name="gbdsjgsjfdgj" localSheetId="11">{#N/A,#N/A,FALSE,"Plan1";#N/A,#N/A,FALSE,"Plan2"}</definedName>
    <definedName name="gdfdhgfjgj" localSheetId="11">{#N/A,#N/A,FALSE,"Plan1";#N/A,#N/A,FALSE,"Plan2"}</definedName>
    <definedName name="gdfgdstggt" localSheetId="11">{#N/A,#N/A,FALSE,"Plan1";#N/A,#N/A,FALSE,"Plan2"}</definedName>
    <definedName name="GDFHGRJGFJDRF" localSheetId="11">{"Econ Consolidado",#N/A,FALSE,"Econ Consol";"Fluxo de Caixa",#N/A,FALSE,"Fluxo Caixa";"Investimentos",#N/A,FALSE,"Investimentos"}</definedName>
    <definedName name="gdfigfhuyuy" localSheetId="11">{#N/A,#N/A,FALSE,"Plan1";#N/A,#N/A,FALSE,"Plan2"}</definedName>
    <definedName name="gdfsgfew" localSheetId="11">{#N/A,#N/A,FALSE,"Plan1";#N/A,#N/A,FALSE,"Plan2"}</definedName>
    <definedName name="gdhfgdhfgf" localSheetId="11">{#N/A,#N/A,FALSE,"Plan1";#N/A,#N/A,FALSE,"Plan2"}</definedName>
    <definedName name="gdsfhefrwrw" localSheetId="11">{#N/A,#N/A,FALSE,"Plan1";#N/A,#N/A,FALSE,"Plan2"}</definedName>
    <definedName name="geshrjhed" localSheetId="11">{#N/A,#N/A,FALSE,"Plan1";#N/A,#N/A,FALSE,"Plan2"}</definedName>
    <definedName name="gfdcgnkf" localSheetId="11">{#N/A,#N/A,FALSE,"Plan1";#N/A,#N/A,FALSE,"Plan2"}</definedName>
    <definedName name="gfdjtgur" localSheetId="11">{#N/A,#N/A,FALSE,"Plan1";#N/A,#N/A,FALSE,"Plan2"}</definedName>
    <definedName name="gfgdhxgfdhf" localSheetId="11">{#N/A,#N/A,FALSE,"Plan1";#N/A,#N/A,FALSE,"Plan2"}</definedName>
    <definedName name="gfhfdtgjb" localSheetId="11">{#N/A,#N/A,FALSE,"Plan1";#N/A,#N/A,FALSE,"Plan2"}</definedName>
    <definedName name="gfjdshrtjhtged" localSheetId="11">{#N/A,#N/A,FALSE,"Plan1";#N/A,#N/A,FALSE,"Plan2"}</definedName>
    <definedName name="gfjgkddgfd" localSheetId="11">{#N/A,#N/A,FALSE,"Plan1";#N/A,#N/A,FALSE,"Plan2"}</definedName>
    <definedName name="gfsghjdgygr" localSheetId="11">{#N/A,#N/A,FALSE,"Plan1";#N/A,#N/A,FALSE,"Plan2"}</definedName>
    <definedName name="gftfy" localSheetId="11">{#N/A,#N/A,FALSE,"Plan1";#N/A,#N/A,FALSE,"Plan2"}</definedName>
    <definedName name="gfty" localSheetId="11">{#N/A,#N/A,FALSE,"Plan1";#N/A,#N/A,FALSE,"Plan2"}</definedName>
    <definedName name="GFUJU9" localSheetId="11">{#N/A,#N/A,FALSE,"Plan1";#N/A,#N/A,FALSE,"Plan2"}</definedName>
    <definedName name="ggg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gggg" localSheetId="11">{"'장비'!$A$3:$M$12"}</definedName>
    <definedName name="ggggggggg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h" localSheetId="11">{"'장비'!$A$3:$M$12"}</definedName>
    <definedName name="ghfgdfrtert" localSheetId="11">{#N/A,#N/A,FALSE,"Plan1";#N/A,#N/A,FALSE,"Plan2"}</definedName>
    <definedName name="ghfhghft" localSheetId="11">{#N/A,#N/A,FALSE,"Plan1";#N/A,#N/A,FALSE,"Plan2"}</definedName>
    <definedName name="ghjg" localSheetId="11">{"'Estimativa de Lançamento-JAN'!$A$1:$AI$85"}</definedName>
    <definedName name="ghkfhgh" localSheetId="11">{#N/A,#N/A,FALSE,"Plan1";#N/A,#N/A,FALSE,"Plan2"}</definedName>
    <definedName name="ghkjh" localSheetId="11">{#N/A,#N/A,FALSE,"ENG'G(보호계전기)"}</definedName>
    <definedName name="GJ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fhjktgcf" localSheetId="11">{#N/A,#N/A,FALSE,"Plan1";#N/A,#N/A,FALSE,"Plan2"}</definedName>
    <definedName name="GJ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jgh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jkhgjhjfggfjhfg" localSheetId="11">{#N/A,#N/A,FALSE,"Plan1";#N/A,#N/A,FALSE,"Plan2"}</definedName>
    <definedName name="glgl" localSheetId="11">{#N/A,#N/A,FALSE,"Plan1";#N/A,#N/A,FALSE,"Plan2"}</definedName>
    <definedName name="global" localSheetId="11">{"'Estimativa de Lançamento-JAN'!$A$1:$AI$85"}</definedName>
    <definedName name="gnfrth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SDWJSTGE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gtuigsdyugsdf" localSheetId="11">{#N/A,#N/A,FALSE,"Plan1";#N/A,#N/A,FALSE,"Plan2"}</definedName>
    <definedName name="GUI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GV" localSheetId="11">{#N/A,#N/A,FALSE,"CCTV"}</definedName>
    <definedName name="hcjfkhdghfktg" localSheetId="11">{#N/A,#N/A,FALSE,"Plan1";#N/A,#N/A,FALSE,"Plan2"}</definedName>
    <definedName name="hddfndgdfg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DFGHGST" localSheetId="11">{#N/A,#N/A,FALSE,"Plan1";#N/A,#N/A,FALSE,"Plan2"}</definedName>
    <definedName name="HDFGJKHKFDHTY" localSheetId="11">{#N/A,#N/A,FALSE,"Plan1";#N/A,#N/A,FALSE,"Plan2"}</definedName>
    <definedName name="hdfhdhrtgd" localSheetId="11">{#N/A,#N/A,FALSE,"Plan1";#N/A,#N/A,FALSE,"Plan2"}</definedName>
    <definedName name="hdfhftde" localSheetId="11">{#N/A,#N/A,FALSE,"Plan1";#N/A,#N/A,FALSE,"Plan2"}</definedName>
    <definedName name="hdfhgkdhgtrf" localSheetId="11">{#N/A,#N/A,FALSE,"Plan1";#N/A,#N/A,FALSE,"Plan2"}</definedName>
    <definedName name="hdfjhdkzhgdr" localSheetId="11">{#N/A,#N/A,FALSE,"Plan1";#N/A,#N/A,FALSE,"Plan2"}</definedName>
    <definedName name="hdfjkgvjgtd" localSheetId="11">{#N/A,#N/A,FALSE,"Plan1";#N/A,#N/A,FALSE,"Plan2"}</definedName>
    <definedName name="hdfjkhdhrute" localSheetId="11">{#N/A,#N/A,FALSE,"Plan1";#N/A,#N/A,FALSE,"Plan2"}</definedName>
    <definedName name="HDFKGVF" localSheetId="11">{#N/A,#N/A,FALSE,"Plan1";#N/A,#N/A,FALSE,"Plan2"}</definedName>
    <definedName name="hdgfhdgtdrt" localSheetId="11">{#N/A,#N/A,FALSE,"Plan1";#N/A,#N/A,FALSE,"Plan2"}</definedName>
    <definedName name="hdghgtgtrgd" localSheetId="11">{#N/A,#N/A,FALSE,"Plan1";#N/A,#N/A,FALSE,"Plan2"}</definedName>
    <definedName name="HDHDGHTUHDTG" localSheetId="11">{#N/A,#N/A,FALSE,"Plan1";#N/A,#N/A,FALSE,"Plan2"}</definedName>
    <definedName name="hdhghfthrrhy" localSheetId="11">{#N/A,#N/A,FALSE,"Plan1";#N/A,#N/A,FALSE,"Plan2"}</definedName>
    <definedName name="hdkfjhydjh" localSheetId="11">{#N/A,#N/A,FALSE,"Plan1";#N/A,#N/A,FALSE,"Plan2"}</definedName>
    <definedName name="hdsgfgrrdgr" localSheetId="11">{#N/A,#N/A,FALSE,"Plan1";#N/A,#N/A,FALSE,"Plan2"}</definedName>
    <definedName name="hdtertkkdsa" localSheetId="11">{#N/A,#N/A,FALSE,"Plan1";#N/A,#N/A,FALSE,"Plan2"}</definedName>
    <definedName name="HEDHA" localSheetId="11">{#N/A,#N/A,FALSE,"Plan1";#N/A,#N/A,FALSE,"Plan2"}</definedName>
    <definedName name="heife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erkfdshfker" localSheetId="11">{#N/A,#N/A,FALSE,"Plan1";#N/A,#N/A,FALSE,"Plan2"}</definedName>
    <definedName name="hersdtretyt" localSheetId="11">{#N/A,#N/A,FALSE,"Plan1";#N/A,#N/A,FALSE,"Plan2"}</definedName>
    <definedName name="HFDJTHTRS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FDKHGFR" localSheetId="11">{#N/A,#N/A,FALSE,"Plan1";#N/A,#N/A,FALSE,"Plan2"}</definedName>
    <definedName name="hfdkhgkfdhtj" localSheetId="11">{#N/A,#N/A,FALSE,"Plan1";#N/A,#N/A,FALSE,"Plan2"}</definedName>
    <definedName name="hfgfktgkhyt" localSheetId="11">{#N/A,#N/A,FALSE,"Plan1";#N/A,#N/A,FALSE,"Plan2"}</definedName>
    <definedName name="hfghdkhrgkjg" localSheetId="11">{#N/A,#N/A,FALSE,"Plan1";#N/A,#N/A,FALSE,"Plan2"}</definedName>
    <definedName name="hfighfth" localSheetId="11">{#N/A,#N/A,FALSE,"Plan1";#N/A,#N/A,FALSE,"Plan2"}</definedName>
    <definedName name="hfjghtfuyrf" localSheetId="11">{#N/A,#N/A,FALSE,"Plan1";#N/A,#N/A,FALSE,"Plan2"}</definedName>
    <definedName name="HFKJHDJGHFJ" localSheetId="11">{#N/A,#N/A,FALSE,"Plan1";#N/A,#N/A,FALSE,"Plan2"}</definedName>
    <definedName name="hgdesgfgsj" localSheetId="11">{#N/A,#N/A,FALSE,"Plan1";#N/A,#N/A,FALSE,"Plan2"}</definedName>
    <definedName name="hgdgfd" localSheetId="11">{#N/A,#N/A,FALSE,"Plan1";#N/A,#N/A,FALSE,"Plan2"}</definedName>
    <definedName name="hgfhjkdfhj" localSheetId="11">{#N/A,#N/A,FALSE,"Plan1";#N/A,#N/A,FALSE,"Plan2"}</definedName>
    <definedName name="hgg" localSheetId="11">{#N/A,#N/A,FALSE,"Plan1";#N/A,#N/A,FALSE,"Plan2"}</definedName>
    <definedName name="hgjdfgghg" localSheetId="11">{#N/A,#N/A,FALSE,"Plan1";#N/A,#N/A,FALSE,"Plan2"}</definedName>
    <definedName name="hgjkfdhg" localSheetId="11">{#N/A,#N/A,FALSE,"Plan1";#N/A,#N/A,FALSE,"Plan2"}</definedName>
    <definedName name="hgkdfhkfk" localSheetId="11">{#N/A,#N/A,FALSE,"Plan1";#N/A,#N/A,FALSE,"Plan2"}</definedName>
    <definedName name="hgkjhdfhtrdyt" localSheetId="11">{#N/A,#N/A,FALSE,"Plan1";#N/A,#N/A,FALSE,"Plan2"}</definedName>
    <definedName name="hgkjhdfkhgtfhg" localSheetId="11">{#N/A,#N/A,FALSE,"Plan1";#N/A,#N/A,FALSE,"Plan2"}</definedName>
    <definedName name="hgkjhkfhsdkdhgk" localSheetId="11">{#N/A,#N/A,FALSE,"Plan1";#N/A,#N/A,FALSE,"Plan2"}</definedName>
    <definedName name="hgsufgdhghd" localSheetId="11">{#N/A,#N/A,FALSE,"Plan1";#N/A,#N/A,FALSE,"Plan2"}</definedName>
    <definedName name="HHGFHTYUT" localSheetId="11">{#N/A,#N/A,FALSE,"Plan1";#N/A,#N/A,FALSE,"Plan2"}</definedName>
    <definedName name="hhh" localSheetId="11">{"'Total'!$A$1","'Total'!$A$3"}</definedName>
    <definedName name="hik" localSheetId="11">{#N/A,#N/A,FALSE,"TABLE"}</definedName>
    <definedName name="hjdgtjdjxrfg" localSheetId="11">{#N/A,#N/A,FALSE,"Plan1";#N/A,#N/A,FALSE,"Plan2"}</definedName>
    <definedName name="HJFDGD" localSheetId="11">{#N/A,#N/A,FALSE,"Plan1";#N/A,#N/A,FALSE,"Plan2"}</definedName>
    <definedName name="HJGASD" localSheetId="11">{#N/A,#N/A,FALSE,"Plan1";#N/A,#N/A,FALSE,"Plan2"}</definedName>
    <definedName name="HJGFGTFDG" localSheetId="11">{#N/A,#N/A,FALSE,"Plan1";#N/A,#N/A,FALSE,"Plan2"}</definedName>
    <definedName name="hjgfhdsgfhsd" localSheetId="11">{#N/A,#N/A,FALSE,"Plan1";#N/A,#N/A,FALSE,"Plan2"}</definedName>
    <definedName name="hjgxfjgdjyftr" localSheetId="11">{#N/A,#N/A,FALSE,"Plan1";#N/A,#N/A,FALSE,"Plan2"}</definedName>
    <definedName name="hjgyugasd" localSheetId="11">{#N/A,#N/A,FALSE,"Plan1";#N/A,#N/A,FALSE,"Plan2"}</definedName>
    <definedName name="hjjfyfy" localSheetId="11">{#N/A,#N/A,FALSE,"Plan1";#N/A,#N/A,FALSE,"Plan2"}</definedName>
    <definedName name="hjkchkvjhdjkgh" localSheetId="11">{#N/A,#N/A,FALSE,"Plan1";#N/A,#N/A,FALSE,"Plan2"}</definedName>
    <definedName name="hjkfjdyht" localSheetId="11">{#N/A,#N/A,FALSE,"Plan1";#N/A,#N/A,FALSE,"Plan2"}</definedName>
    <definedName name="hjsdffe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jsdkhk" localSheetId="11">{#N/A,#N/A,FALSE,"Plan1";#N/A,#N/A,FALSE,"Plan2"}</definedName>
    <definedName name="hjsrdfre" localSheetId="11">{"Econ Consolidado",#N/A,FALSE,"Econ Consol";"Fluxo de Caixa",#N/A,FALSE,"Fluxo Caixa";"Investimentos",#N/A,FALSE,"Investimentos"}</definedName>
    <definedName name="HKewewsr" localSheetId="11">{#N/A,#N/A,FALSE,"Plan1";#N/A,#N/A,FALSE,"Plan2"}</definedName>
    <definedName name="hkhdskacd" localSheetId="11">{#N/A,#N/A,FALSE,"Plan1";#N/A,#N/A,FALSE,"Plan2"}</definedName>
    <definedName name="hkjfgfhgfh" localSheetId="11">{#N/A,#N/A,FALSE,"Plan1";#N/A,#N/A,FALSE,"Plan2"}</definedName>
    <definedName name="hkjfhgjkfhghfg" localSheetId="11">{#N/A,#N/A,FALSE,"Plan1";#N/A,#N/A,FALSE,"Plan2"}</definedName>
    <definedName name="HKLZHFRH" localSheetId="11">{#N/A,#N/A,FALSE,"Plan1";#N/A,#N/A,FALSE,"Plan2"}</definedName>
    <definedName name="ho" localSheetId="11">{#N/A,#N/A,FALSE,"TABLE"}</definedName>
    <definedName name="hrterte" localSheetId="11">{#N/A,#N/A,FALSE,"Plan1";#N/A,#N/A,FALSE,"Plan2"}</definedName>
    <definedName name="hsdf" localSheetId="11">{#N/A,#N/A,FALSE,"Plan1";#N/A,#N/A,FALSE,"Plan2"}</definedName>
    <definedName name="hsdfgdgudrt" localSheetId="11">{#N/A,#N/A,FALSE,"Plan1";#N/A,#N/A,FALSE,"Plan2"}</definedName>
    <definedName name="hsdfjkdhur" localSheetId="11">{#N/A,#N/A,FALSE,"Plan1";#N/A,#N/A,FALSE,"Plan2"}</definedName>
    <definedName name="hsdgftdht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hsdjffd" localSheetId="11">{#N/A,#N/A,FALSE,"Plan1";#N/A,#N/A,FALSE,"Plan2"}</definedName>
    <definedName name="hsdjffe" localSheetId="11">{#N/A,#N/A,FALSE,"Plan1";#N/A,#N/A,FALSE,"Plan2"}</definedName>
    <definedName name="HSFIHDTR" localSheetId="11">{"Econ Consolidado",#N/A,FALSE,"Econ Consol";"Fluxo de Caixa",#N/A,FALSE,"Fluxo Caixa";"Investimentos",#N/A,FALSE,"Investimentos"}</definedName>
    <definedName name="hsfjkdshrgf" localSheetId="11">{#N/A,#N/A,FALSE,"Plan1";#N/A,#N/A,FALSE,"Plan2"}</definedName>
    <definedName name="hthhrtetdre" localSheetId="11">{#N/A,#N/A,FALSE,"Plan1";#N/A,#N/A,FALSE,"Plan2"}</definedName>
    <definedName name="HTML_Control" localSheetId="11">{"'장비'!$A$3:$M$12"}</definedName>
    <definedName name="HTML2_CONTROL" localSheetId="11">{"'Estimativa de Lançamento-JAN'!$A$1:$AI$85"}</definedName>
    <definedName name="HTML3_CONTROL" localSheetId="11">{"'Estimativa de Lançamento-JAN'!$A$1:$AI$85"}</definedName>
    <definedName name="HTMLControl" localSheetId="11">{"'Edit'!$A$1:$V$2277"}</definedName>
    <definedName name="HVJKHGKFXHFD" localSheetId="11">{#N/A,#N/A,FALSE,"Plan1";#N/A,#N/A,FALSE,"Plan2"}</definedName>
    <definedName name="hwekjhekhf" localSheetId="11">{#N/A,#N/A,FALSE,"Plan1";#N/A,#N/A,FALSE,"Plan2"}</definedName>
    <definedName name="HXFRE" localSheetId="11">{#N/A,#N/A,FALSE,"Plan1";#N/A,#N/A,FALSE,"Plan2"}</definedName>
    <definedName name="HXKJFGDKHG" localSheetId="11">{#N/A,#N/A,FALSE,"Plan1";#N/A,#N/A,FALSE,"Plan2"}</definedName>
    <definedName name="idfhgkjhfkthy" localSheetId="11">{#N/A,#N/A,FALSE,"Plan1";#N/A,#N/A,FALSE,"Plan2"}</definedName>
    <definedName name="ieroweft" localSheetId="11">{#N/A,#N/A,FALSE,"Plan1";#N/A,#N/A,FALSE,"Plan2"}</definedName>
    <definedName name="iewpotqi5poejy" localSheetId="11">{#N/A,#N/A,FALSE,"Plan1";#N/A,#N/A,FALSE,"Plan2"}</definedName>
    <definedName name="ihdfifguhgfuiyh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dsitrr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hfdkjhktgrd" localSheetId="11">{#N/A,#N/A,FALSE,"Plan1";#N/A,#N/A,FALSE,"Plan2"}</definedName>
    <definedName name="ihrtetw4r" localSheetId="11">{#N/A,#N/A,FALSE,"Plan1";#N/A,#N/A,FALSE,"Plan2"}</definedName>
    <definedName name="IIASDSAWE" localSheetId="11">{"Econ Consolidado",#N/A,FALSE,"Econ Consol";"Fluxo de Caixa",#N/A,FALSE,"Fluxo Caixa";"Investimentos",#N/A,FALSE,"Investimentos"}</definedName>
    <definedName name="iinstalações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lhweilrji4e" localSheetId="11">{#N/A,#N/A,FALSE,"Plan1";#N/A,#N/A,FALSE,"Plan2"}</definedName>
    <definedName name="ilsdr4wf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nsatalações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stalaçoes2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INTEGRA" localSheetId="11">{"'Edit'!$A$1:$V$2277"}</definedName>
    <definedName name="ioeriotyt" localSheetId="11">{#N/A,#N/A,FALSE,"Plan1";#N/A,#N/A,FALSE,"Plan2"}</definedName>
    <definedName name="iohudtorh" localSheetId="11">{#N/A,#N/A,FALSE,"Plan1";#N/A,#N/A,FALSE,"Plan2"}</definedName>
    <definedName name="iojtkheayed" localSheetId="11">{#N/A,#N/A,FALSE,"Plan1";#N/A,#N/A,FALSE,"Plan2"}</definedName>
    <definedName name="iouweroieuw4" localSheetId="11">{#N/A,#N/A,FALSE,"Plan1";#N/A,#N/A,FALSE,"Plan2"}</definedName>
    <definedName name="iphifpgh" localSheetId="11">{#N/A,#N/A,FALSE,"Plan1";#N/A,#N/A,FALSE,"Plan2"}</definedName>
    <definedName name="ipodsifgpds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potjrjketjr" localSheetId="11">{#N/A,#N/A,FALSE,"Plan1";#N/A,#N/A,FALSE,"Plan2"}</definedName>
    <definedName name="ITEM별상세업무분장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GFGDFUY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iyguygiyt" localSheetId="11">{#N/A,#N/A,FALSE,"Plan1";#N/A,#N/A,FALSE,"Plan2"}</definedName>
    <definedName name="iyuyheturtd" localSheetId="11">{#N/A,#N/A,FALSE,"Plan1";#N/A,#N/A,FALSE,"Plan2"}</definedName>
    <definedName name="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alejdasjf" localSheetId="11">{#N/A,#N/A,FALSE,"Plan1";#N/A,#N/A,FALSE,"Plan2"}</definedName>
    <definedName name="JASDJS" localSheetId="11">{#N/A,#N/A,FALSE,"Plan1";#N/A,#N/A,FALSE,"Plan2"}</definedName>
    <definedName name="jaskldjlse" localSheetId="11">{#N/A,#N/A,FALSE,"Plan1";#N/A,#N/A,FALSE,"Plan2"}</definedName>
    <definedName name="JASLDKLD" localSheetId="11">{#N/A,#N/A,FALSE,"Plan1";#N/A,#N/A,FALSE,"Plan2"}</definedName>
    <definedName name="JÇDFHDF" localSheetId="11">{"Econ Consolidado",#N/A,FALSE,"Econ Consol";"Fluxo de Caixa",#N/A,FALSE,"Fluxo Caixa";"Investimentos",#N/A,FALSE,"Investimentos"}</definedName>
    <definedName name="jdbgftbhr" localSheetId="11">{#N/A,#N/A,FALSE,"Plan1";#N/A,#N/A,FALSE,"Plan2"}</definedName>
    <definedName name="jdfgldfjgklh" localSheetId="11">{#N/A,#N/A,FALSE,"Plan1";#N/A,#N/A,FALSE,"Plan2"}</definedName>
    <definedName name="jdfhjkdrhjtkg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dfjdtrgt" localSheetId="11">{#N/A,#N/A,FALSE,"Plan1";#N/A,#N/A,FALSE,"Plan2"}</definedName>
    <definedName name="JDFJLDJR" localSheetId="11">{#N/A,#N/A,FALSE,"Plan1";#N/A,#N/A,FALSE,"Plan2"}</definedName>
    <definedName name="jdfkgitfgdrtt" localSheetId="11">{#N/A,#N/A,FALSE,"Plan1";#N/A,#N/A,FALSE,"Plan2"}</definedName>
    <definedName name="JDFKHFKJ" localSheetId="11">{#N/A,#N/A,FALSE,"Plan1";#N/A,#N/A,FALSE,"Plan2"}</definedName>
    <definedName name="jdfklgtdtr" localSheetId="11">{#N/A,#N/A,FALSE,"Plan1";#N/A,#N/A,FALSE,"Plan2"}</definedName>
    <definedName name="JDFKTHRT" localSheetId="11">{#N/A,#N/A,FALSE,"Plan1";#N/A,#N/A,FALSE,"Plan2"}</definedName>
    <definedName name="JDFLKJDRF" localSheetId="11">{#N/A,#N/A,FALSE,"Plan1";#N/A,#N/A,FALSE,"Plan2"}</definedName>
    <definedName name="jdfzlkjgfdht" localSheetId="11">{#N/A,#N/A,FALSE,"Plan1";#N/A,#N/A,FALSE,"Plan2"}</definedName>
    <definedName name="jdglhfghkt" localSheetId="11">{#N/A,#N/A,FALSE,"Plan1";#N/A,#N/A,FALSE,"Plan2"}</definedName>
    <definedName name="jdhfjdhgfd" localSheetId="11">{#N/A,#N/A,FALSE,"Plan1";#N/A,#N/A,FALSE,"Plan2"}</definedName>
    <definedName name="jdjdjdjd" localSheetId="11">{#N/A,#N/A,FALSE,"명세표"}</definedName>
    <definedName name="jdkfhgjhf" localSheetId="11">{#N/A,#N/A,FALSE,"Plan1";#N/A,#N/A,FALSE,"Plan2"}</definedName>
    <definedName name="jdkfjdtr" localSheetId="11">{#N/A,#N/A,FALSE,"Plan1";#N/A,#N/A,FALSE,"Plan2"}</definedName>
    <definedName name="jdljgftldjti5r" localSheetId="11">{#N/A,#N/A,FALSE,"Plan1";#N/A,#N/A,FALSE,"Plan2"}</definedName>
    <definedName name="JDLKJDASGF" localSheetId="11">{#N/A,#N/A,FALSE,"Plan1";#N/A,#N/A,FALSE,"Plan2"}</definedName>
    <definedName name="jdrfkdjfghrtfjg" localSheetId="11">{#N/A,#N/A,FALSE,"Plan1";#N/A,#N/A,FALSE,"Plan2"}</definedName>
    <definedName name="jdskfhdk" localSheetId="11">{#N/A,#N/A,FALSE,"Plan1";#N/A,#N/A,FALSE,"Plan2"}</definedName>
    <definedName name="JDSKLGKDRHGGF" localSheetId="11">{#N/A,#N/A,FALSE,"Plan1";#N/A,#N/A,FALSE,"Plan2"}</definedName>
    <definedName name="jefsgfr" localSheetId="11">{#N/A,#N/A,FALSE,"Plan1";#N/A,#N/A,FALSE,"Plan2"}</definedName>
    <definedName name="JERHIEHYURE" localSheetId="11">{#N/A,#N/A,FALSE,"Plan1";#N/A,#N/A,FALSE,"Plan2"}</definedName>
    <definedName name="jfddlsrtyty" localSheetId="11">{#N/A,#N/A,FALSE,"Plan1";#N/A,#N/A,FALSE,"Plan2"}</definedName>
    <definedName name="jfdjtgdjghitfyh" localSheetId="11">{#N/A,#N/A,FALSE,"Plan1";#N/A,#N/A,FALSE,"Plan2"}</definedName>
    <definedName name="jfdkgkftftg" localSheetId="11">{#N/A,#N/A,FALSE,"Plan1";#N/A,#N/A,FALSE,"Plan2"}</definedName>
    <definedName name="jfghjkfdhtkyru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FGJYHTY" localSheetId="11">{#N/A,#N/A,FALSE,"Plan1";#N/A,#N/A,FALSE,"Plan2"}</definedName>
    <definedName name="jfgkflcnjkglc" localSheetId="11">{#N/A,#N/A,FALSE,"Plan1";#N/A,#N/A,FALSE,"Plan2"}</definedName>
    <definedName name="JFHRE" localSheetId="11">{#N/A,#N/A,FALSE,"Plan1";#N/A,#N/A,FALSE,"Plan2"}</definedName>
    <definedName name="jfkdls5jtirjd" localSheetId="11">{#N/A,#N/A,FALSE,"Plan1";#N/A,#N/A,FALSE,"Plan2"}</definedName>
    <definedName name="jfkljdkfcj" localSheetId="11">{#N/A,#N/A,FALSE,"Plan1";#N/A,#N/A,FALSE,"Plan2"}</definedName>
    <definedName name="jfkrhdtghdut" localSheetId="11">{#N/A,#N/A,FALSE,"Plan1";#N/A,#N/A,FALSE,"Plan2"}</definedName>
    <definedName name="JFRESR" localSheetId="11">{#N/A,#N/A,FALSE,"Plan1";#N/A,#N/A,FALSE,"Plan2"}</definedName>
    <definedName name="jgdfdgfjgdj" localSheetId="11">{#N/A,#N/A,FALSE,"Plan1";#N/A,#N/A,FALSE,"Plan2"}</definedName>
    <definedName name="jgdfght" localSheetId="11">{#N/A,#N/A,FALSE,"Plan1";#N/A,#N/A,FALSE,"Plan2"}</definedName>
    <definedName name="jgfgdsgfdhrf" localSheetId="11">{#N/A,#N/A,FALSE,"Plan1";#N/A,#N/A,FALSE,"Plan2"}</definedName>
    <definedName name="JGFJGTFT" localSheetId="11">{#N/A,#N/A,FALSE,"Plan1";#N/A,#N/A,FALSE,"Plan2"}</definedName>
    <definedName name="jgkjkhjuftgi" localSheetId="11">{#N/A,#N/A,FALSE,"Plan1";#N/A,#N/A,FALSE,"Plan2"}</definedName>
    <definedName name="jh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hdfjjhirft" localSheetId="11">{#N/A,#N/A,FALSE,"Plan1";#N/A,#N/A,FALSE,"Plan2"}</definedName>
    <definedName name="jhdfjkhtrdhf" localSheetId="11">{#N/A,#N/A,FALSE,"Plan1";#N/A,#N/A,FALSE,"Plan2"}</definedName>
    <definedName name="jhdfuthr" localSheetId="11">{#N/A,#N/A,FALSE,"Plan1";#N/A,#N/A,FALSE,"Plan2"}</definedName>
    <definedName name="JHDFZGRDHF" localSheetId="11">{"Econ Consolidado",#N/A,FALSE,"Econ Consol";"Fluxo de Caixa",#N/A,FALSE,"Fluxo Caixa";"Investimentos",#N/A,FALSE,"Investimentos"}</definedName>
    <definedName name="JHERKHKFGH" localSheetId="11">{#N/A,#N/A,FALSE,"Plan1";#N/A,#N/A,FALSE,"Plan2"}</definedName>
    <definedName name="JHGKJFJFJGL" localSheetId="11">{#N/A,#N/A,FALSE,"Plan1";#N/A,#N/A,FALSE,"Plan2"}</definedName>
    <definedName name="jhsdjkhfuks" localSheetId="11">{#N/A,#N/A,FALSE,"Plan1";#N/A,#N/A,FALSE,"Plan2"}</definedName>
    <definedName name="jisdrkje" localSheetId="11">{#N/A,#N/A,FALSE,"Plan1";#N/A,#N/A,FALSE,"Plan2"}</definedName>
    <definedName name="jishfrieyhtau" localSheetId="11">{#N/A,#N/A,FALSE,"Plan1";#N/A,#N/A,FALSE,"Plan2"}</definedName>
    <definedName name="jiu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j" localSheetId="11">{"'Apr-00'!$B$4:$AD$44"}</definedName>
    <definedName name="jjfdsktyhhy" localSheetId="11">{#N/A,#N/A,FALSE,"Plan1";#N/A,#N/A,FALSE,"Plan2"}</definedName>
    <definedName name="jjkjkjk" localSheetId="11">{#N/A,#N/A,FALSE,"Plan1";#N/A,#N/A,FALSE,"Plan2"}</definedName>
    <definedName name="JKDCK" localSheetId="11">{#N/A,#N/A,FALSE,"Plan1";#N/A,#N/A,FALSE,"Plan2"}</definedName>
    <definedName name="JKDFHKHFR" localSheetId="11">{#N/A,#N/A,FALSE,"Plan1";#N/A,#N/A,FALSE,"Plan2"}</definedName>
    <definedName name="JKDFTRDRJ" localSheetId="11">{#N/A,#N/A,FALSE,"Plan1";#N/A,#N/A,FALSE,"Plan2"}</definedName>
    <definedName name="jkdhfukhddf" localSheetId="11">{#N/A,#N/A,FALSE,"Plan1";#N/A,#N/A,FALSE,"Plan2"}</definedName>
    <definedName name="JKDRKGJHTDR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elsjreja" localSheetId="11">{#N/A,#N/A,FALSE,"Plan1";#N/A,#N/A,FALSE,"Plan2"}</definedName>
    <definedName name="jkfhjgkfhghh" localSheetId="11">{#N/A,#N/A,FALSE,"Plan1";#N/A,#N/A,FALSE,"Plan2"}</definedName>
    <definedName name="jkhderjkhes" localSheetId="11">{#N/A,#N/A,FALSE,"Plan1";#N/A,#N/A,FALSE,"Plan2"}</definedName>
    <definedName name="jkhdfhfd" localSheetId="11">{#N/A,#N/A,FALSE,"Plan1";#N/A,#N/A,FALSE,"Plan2"}</definedName>
    <definedName name="jkhfhest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KHFKJHGKFTHUDET" localSheetId="11">{#N/A,#N/A,FALSE,"Plan1";#N/A,#N/A,FALSE,"Plan2"}</definedName>
    <definedName name="JKHGDHFUHTG" localSheetId="11">{#N/A,#N/A,FALSE,"Plan1";#N/A,#N/A,FALSE,"Plan2"}</definedName>
    <definedName name="jkhsdzjkfyiu" localSheetId="11">{#N/A,#N/A,FALSE,"Plan1";#N/A,#N/A,FALSE,"Plan2"}</definedName>
    <definedName name="jkjsdkhfdhrf" localSheetId="11">{#N/A,#N/A,FALSE,"Plan1";#N/A,#N/A,FALSE,"Plan2"}</definedName>
    <definedName name="jklgfsjgtjtg" localSheetId="11">{#N/A,#N/A,FALSE,"Plan1";#N/A,#N/A,FALSE,"Plan2"}</definedName>
    <definedName name="jksldfjsdhf" localSheetId="11">{#N/A,#N/A,FALSE,"Plan1";#N/A,#N/A,FALSE,"Plan2"}</definedName>
    <definedName name="jkxhcjkhfr" localSheetId="11">{#N/A,#N/A,FALSE,"Plan1";#N/A,#N/A,FALSE,"Plan2"}</definedName>
    <definedName name="JNGCKFKJFGH" localSheetId="11">{#N/A,#N/A,FALSE,"Plan1";#N/A,#N/A,FALSE,"Plan2"}</definedName>
    <definedName name="JREJRW" localSheetId="11">{#N/A,#N/A,FALSE,"Plan1";#N/A,#N/A,FALSE,"Plan2"}</definedName>
    <definedName name="JSADKAH" localSheetId="11">{"Econ Consolidado",#N/A,FALSE,"Econ Consol";"Fluxo de Caixa",#N/A,FALSE,"Fluxo Caixa";"Investimentos",#N/A,FALSE,"Investimentos"}</definedName>
    <definedName name="JSDAJRE" localSheetId="11">{#N/A,#N/A,FALSE,"Plan1";#N/A,#N/A,FALSE,"Plan2"}</definedName>
    <definedName name="jsdffse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sdfjgx" localSheetId="11">{#N/A,#N/A,FALSE,"Plan1";#N/A,#N/A,FALSE,"Plan2"}</definedName>
    <definedName name="jsdfsdfd" localSheetId="11">{#N/A,#N/A,FALSE,"Plan1";#N/A,#N/A,FALSE,"Plan2"}</definedName>
    <definedName name="jsdljficd" localSheetId="11">{#N/A,#N/A,FALSE,"Plan1";#N/A,#N/A,FALSE,"Plan2"}</definedName>
    <definedName name="JSDTLFJDRG" localSheetId="11">{#N/A,#N/A,FALSE,"Plan1";#N/A,#N/A,FALSE,"Plan2"}</definedName>
    <definedName name="jsfjsjferwea" localSheetId="11">{#N/A,#N/A,FALSE,"Plan1";#N/A,#N/A,FALSE,"Plan2"}</definedName>
    <definedName name="jslrjer" localSheetId="11">{#N/A,#N/A,FALSE,"Plan1";#N/A,#N/A,FALSE,"Plan2"}</definedName>
    <definedName name="juklhkhdf" localSheetId="11">{#N/A,#N/A,FALSE,"Plan1";#N/A,#N/A,FALSE,"Plan2"}</definedName>
    <definedName name="JULHO99" localSheetId="11">{#N/A,#N/A,TRUE,"Quinzena 01 à 15-04-98 "}</definedName>
    <definedName name="jwekljd" localSheetId="11">{#N/A,#N/A,FALSE,"Plan1";#N/A,#N/A,FALSE,"Plan2"}</definedName>
    <definedName name="JWEOITORU5Y" localSheetId="11">{#N/A,#N/A,FALSE,"Plan1";#N/A,#N/A,FALSE,"Plan2"}</definedName>
    <definedName name="jxdfjsrf" localSheetId="11">{#N/A,#N/A,FALSE,"Plan1";#N/A,#N/A,FALSE,"Plan2"}</definedName>
    <definedName name="jxdklfjv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jzsdjkszl" localSheetId="11">{#N/A,#N/A,FALSE,"Plan1";#N/A,#N/A,FALSE,"Plan2"}</definedName>
    <definedName name="JZXFKLJLDJF" localSheetId="11">{#N/A,#N/A,FALSE,"Plan1";#N/A,#N/A,FALSE,"Plan2"}</definedName>
    <definedName name="jzxklfdlvgfg" localSheetId="11">{#N/A,#N/A,FALSE,"Plan1";#N/A,#N/A,FALSE,"Plan2"}</definedName>
    <definedName name="k" localSheetId="11">{#N/A,#N/A,FALSE,"Plan1";#N/A,#N/A,FALSE,"Plan2"}</definedName>
    <definedName name="kaedkroswr" localSheetId="11">{"Econ Consolidado",#N/A,FALSE,"Econ Consol";"Fluxo de Caixa",#N/A,FALSE,"Fluxo Caixa";"Investimentos",#N/A,FALSE,"Investimentos"}</definedName>
    <definedName name="kçdasekr" localSheetId="11">{#N/A,#N/A,FALSE,"Plan1";#N/A,#N/A,FALSE,"Plan2"}</definedName>
    <definedName name="kçfdljtredr" localSheetId="11">{#N/A,#N/A,FALSE,"Plan1";#N/A,#N/A,FALSE,"Plan2"}</definedName>
    <definedName name="kclçkglf" localSheetId="11">{#N/A,#N/A,FALSE,"Plan1";#N/A,#N/A,FALSE,"Plan2"}</definedName>
    <definedName name="kçlkasçkere" localSheetId="11">{#N/A,#N/A,FALSE,"Plan1";#N/A,#N/A,FALSE,"Plan2"}</definedName>
    <definedName name="kdfbngtjkbf" localSheetId="11">{#N/A,#N/A,FALSE,"Plan1";#N/A,#N/A,FALSE,"Plan2"}</definedName>
    <definedName name="kdfhkghkrh" localSheetId="11">{#N/A,#N/A,FALSE,"Plan1";#N/A,#N/A,FALSE,"Plan2"}</definedName>
    <definedName name="kdfier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dfkçrkf" localSheetId="11">{#N/A,#N/A,FALSE,"Plan1";#N/A,#N/A,FALSE,"Plan2"}</definedName>
    <definedName name="kdfljlfr" localSheetId="11">{#N/A,#N/A,FALSE,"Plan1";#N/A,#N/A,FALSE,"Plan2"}</definedName>
    <definedName name="kdhfgkdfhytgu" localSheetId="11">{#N/A,#N/A,FALSE,"Plan1";#N/A,#N/A,FALSE,"Plan2"}</definedName>
    <definedName name="kdhgftfg" localSheetId="11">{#N/A,#N/A,FALSE,"Plan1";#N/A,#N/A,FALSE,"Plan2"}</definedName>
    <definedName name="KDHKFGKKHGF" localSheetId="11">{#N/A,#N/A,FALSE,"Plan1";#N/A,#N/A,FALSE,"Plan2"}</definedName>
    <definedName name="kdjgkfjgd" localSheetId="11">{#N/A,#N/A,FALSE,"Plan1";#N/A,#N/A,FALSE,"Plan2"}</definedName>
    <definedName name="kdjglkdlgjd" localSheetId="11">{#N/A,#N/A,FALSE,"Plan1";#N/A,#N/A,FALSE,"Plan2"}</definedName>
    <definedName name="kdjsfkldjgkty" localSheetId="11">{#N/A,#N/A,FALSE,"Plan1";#N/A,#N/A,FALSE,"Plan2"}</definedName>
    <definedName name="KDJU" localSheetId="11">{"'장비'!$A$3:$M$12"}</definedName>
    <definedName name="kdkjhgdkfhjk" localSheetId="11">{#N/A,#N/A,FALSE,"Plan1";#N/A,#N/A,FALSE,"Plan2"}</definedName>
    <definedName name="kdsf" localSheetId="11">{#N/A,#N/A,FALSE,"Plan1";#N/A,#N/A,FALSE,"Plan2"}</definedName>
    <definedName name="kdsr" localSheetId="11">{#N/A,#N/A,FALSE,"Plan1";#N/A,#N/A,FALSE,"Plan2"}</definedName>
    <definedName name="kergtfdstr" localSheetId="11">{#N/A,#N/A,FALSE,"Plan1";#N/A,#N/A,FALSE,"Plan2"}</definedName>
    <definedName name="KFDKTHGT" localSheetId="11">{#N/A,#N/A,FALSE,"Plan1";#N/A,#N/A,FALSE,"Plan2"}</definedName>
    <definedName name="kfdxlfdzs" localSheetId="11">{"Econ Consolidado",#N/A,FALSE,"Econ Consol";"Fluxo de Caixa",#N/A,FALSE,"Fluxo Caixa";"Investimentos",#N/A,FALSE,"Investimentos"}</definedName>
    <definedName name="kfgkhjkjhy" localSheetId="11">{#N/A,#N/A,FALSE,"Plan1";#N/A,#N/A,FALSE,"Plan2"}</definedName>
    <definedName name="KFJFDSDF" localSheetId="11">{#N/A,#N/A,FALSE,"Plan1";#N/A,#N/A,FALSE,"Plan2"}</definedName>
    <definedName name="kfnkeasd" localSheetId="11">{#N/A,#N/A,FALSE,"Plan1";#N/A,#N/A,FALSE,"Plan2"}</definedName>
    <definedName name="khdjkfkjhtg" localSheetId="11">{#N/A,#N/A,FALSE,"Plan1";#N/A,#N/A,FALSE,"Plan2"}</definedName>
    <definedName name="khdkfjhhfsdg" localSheetId="11">{#N/A,#N/A,FALSE,"Plan1";#N/A,#N/A,FALSE,"Plan2"}</definedName>
    <definedName name="khdkjfhgudytu" localSheetId="11">{#N/A,#N/A,FALSE,"Plan1";#N/A,#N/A,FALSE,"Plan2"}</definedName>
    <definedName name="khfdghhhgd" localSheetId="11">{#N/A,#N/A,FALSE,"Plan1";#N/A,#N/A,FALSE,"Plan2"}</definedName>
    <definedName name="khfdkjhsdjf" localSheetId="11">{#N/A,#N/A,FALSE,"Plan1";#N/A,#N/A,FALSE,"Plan2"}</definedName>
    <definedName name="khgdkftfy" localSheetId="11">{#N/A,#N/A,FALSE,"Plan1";#N/A,#N/A,FALSE,"Plan2"}</definedName>
    <definedName name="khgfhhtuhf" localSheetId="11">{#N/A,#N/A,FALSE,"Plan1";#N/A,#N/A,FALSE,"Plan2"}</definedName>
    <definedName name="khjkh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HJKLSDF" localSheetId="11">{#N/A,#N/A,FALSE,"Plan1";#N/A,#N/A,FALSE,"Plan2"}</definedName>
    <definedName name="kieret" localSheetId="11">{#N/A,#N/A,FALSE,"Plan1";#N/A,#N/A,FALSE,"Plan2"}</definedName>
    <definedName name="kjchkfhsezk" localSheetId="11">{#N/A,#N/A,FALSE,"Plan1";#N/A,#N/A,FALSE,"Plan2"}</definedName>
    <definedName name="kjdghksef" localSheetId="11">{#N/A,#N/A,FALSE,"Plan1";#N/A,#N/A,FALSE,"Plan2"}</definedName>
    <definedName name="kjdkftyhtert" localSheetId="11">{#N/A,#N/A,FALSE,"Plan1";#N/A,#N/A,FALSE,"Plan2"}</definedName>
    <definedName name="kjdlfkjds" localSheetId="11">{#N/A,#N/A,FALSE,"Plan1";#N/A,#N/A,FALSE,"Plan2"}</definedName>
    <definedName name="kjdzhfytrfy" localSheetId="11">{#N/A,#N/A,FALSE,"Plan1";#N/A,#N/A,FALSE,"Plan2"}</definedName>
    <definedName name="kjhdfgjthdft" localSheetId="11">{#N/A,#N/A,FALSE,"Plan1";#N/A,#N/A,FALSE,"Plan2"}</definedName>
    <definedName name="kjhsdfk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hsiorf" localSheetId="11">{#N/A,#N/A,FALSE,"Plan1";#N/A,#N/A,FALSE,"Plan2"}</definedName>
    <definedName name="KJ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jjwww" localSheetId="11">{#N/A,#N/A,FALSE,"Plan1";#N/A,#N/A,FALSE,"Plan2"}</definedName>
    <definedName name="kjl" localSheetId="11">{#N/A,#N/A,FALSE,"ENG'G(보호계전기)"}</definedName>
    <definedName name="KJOI" localSheetId="11">{#N/A,#N/A,FALSE,"Plan1";#N/A,#N/A,FALSE,"Plan2"}</definedName>
    <definedName name="kjqwerw" localSheetId="11">{#N/A,#N/A,FALSE,"Plan1";#N/A,#N/A,FALSE,"Plan2"}</definedName>
    <definedName name="kjsfert" localSheetId="11">{#N/A,#N/A,FALSE,"Plan1";#N/A,#N/A,FALSE,"Plan2"}</definedName>
    <definedName name="KJXCFKR" localSheetId="11">{#N/A,#N/A,FALSE,"Plan1";#N/A,#N/A,FALSE,"Plan2"}</definedName>
    <definedName name="KJXDFD" localSheetId="11">{#N/A,#N/A,FALSE,"Plan1";#N/A,#N/A,FALSE,"Plan2"}</definedName>
    <definedName name="kk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k" localSheetId="11">{#N/A,#N/A,FALSE,"Plan1";#N/A,#N/A,FALSE,"Plan2"}</definedName>
    <definedName name="kkkkk" localSheetId="11">{#N/A,#N/A,FALSE,"Plan1";#N/A,#N/A,FALSE,"Plan2"}</definedName>
    <definedName name="kkkkkk" localSheetId="11">{#N/A,#N/A,FALSE,"Plan1";#N/A,#N/A,FALSE,"Plan2"}</definedName>
    <definedName name="kko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ksaklçer" localSheetId="11">{#N/A,#N/A,FALSE,"Plan1";#N/A,#N/A,FALSE,"Plan2"}</definedName>
    <definedName name="kksarde" localSheetId="11">{#N/A,#N/A,FALSE,"Plan1";#N/A,#N/A,FALSE,"Plan2"}</definedName>
    <definedName name="klaskldjsw" localSheetId="11">{#N/A,#N/A,FALSE,"Plan1";#N/A,#N/A,FALSE,"Plan2"}</definedName>
    <definedName name="klçkop" localSheetId="11">{#N/A,#N/A,FALSE,"Plan1";#N/A,#N/A,FALSE,"Plan2"}</definedName>
    <definedName name="KLDFNTRDT" localSheetId="11">{#N/A,#N/A,FALSE,"Plan1";#N/A,#N/A,FALSE,"Plan2"}</definedName>
    <definedName name="klhjsdklhdf" localSheetId="11">{#N/A,#N/A,FALSE,"Plan1";#N/A,#N/A,FALSE,"Plan2"}</definedName>
    <definedName name="KLHSKLRHWE" localSheetId="11">{#N/A,#N/A,FALSE,"Plan1";#N/A,#N/A,FALSE,"Plan2"}</definedName>
    <definedName name="KLJASKJD" localSheetId="11">{#N/A,#N/A,FALSE,"Plan1";#N/A,#N/A,FALSE,"Plan2"}</definedName>
    <definedName name="KLJDXLG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ljeflwr" localSheetId="11">{#N/A,#N/A,FALSE,"Plan1";#N/A,#N/A,FALSE,"Plan2"}</definedName>
    <definedName name="kljflgjrf" localSheetId="11">{#N/A,#N/A,FALSE,"Plan1";#N/A,#N/A,FALSE,"Plan2"}</definedName>
    <definedName name="kljgfdfr" localSheetId="11">{#N/A,#N/A,FALSE,"Plan1";#N/A,#N/A,FALSE,"Plan2"}</definedName>
    <definedName name="kljgfjrt" localSheetId="11">{#N/A,#N/A,FALSE,"Plan1";#N/A,#N/A,FALSE,"Plan2"}</definedName>
    <definedName name="kljlkdfj" localSheetId="11">{#N/A,#N/A,FALSE,"Plan1";#N/A,#N/A,FALSE,"Plan2"}</definedName>
    <definedName name="kljsakjfr" localSheetId="11">{#N/A,#N/A,FALSE,"Plan1";#N/A,#N/A,FALSE,"Plan2"}</definedName>
    <definedName name="kljsdje" localSheetId="11">{#N/A,#N/A,FALSE,"Plan1";#N/A,#N/A,FALSE,"Plan2"}</definedName>
    <definedName name="kljsfwe" localSheetId="11">{#N/A,#N/A,FALSE,"Plan1";#N/A,#N/A,FALSE,"Plan2"}</definedName>
    <definedName name="klk" localSheetId="11">{#N/A,#N/A,FALSE,"Plan1";#N/A,#N/A,FALSE,"Plan2"}</definedName>
    <definedName name="KLKKLKÇJÇ" localSheetId="11">{#N/A,#N/A,FALSE,"Plan1";#N/A,#N/A,FALSE,"Plan2"}</definedName>
    <definedName name="KLSDFT" localSheetId="11">{#N/A,#N/A,FALSE,"Plan1";#N/A,#N/A,FALSE,"Plan2"}</definedName>
    <definedName name="KLSDHSJKHF" localSheetId="11">{#N/A,#N/A,FALSE,"Plan1";#N/A,#N/A,FALSE,"Plan2"}</definedName>
    <definedName name="klsdkre" localSheetId="11">{#N/A,#N/A,FALSE,"Plan1";#N/A,#N/A,FALSE,"Plan2"}</definedName>
    <definedName name="KLSIDJE" localSheetId="11">{#N/A,#N/A,FALSE,"Plan1";#N/A,#N/A,FALSE,"Plan2"}</definedName>
    <definedName name="klsjarsf" localSheetId="11">{#N/A,#N/A,FALSE,"Plan1";#N/A,#N/A,FALSE,"Plan2"}</definedName>
    <definedName name="klxhjfdkhser" localSheetId="11">{#N/A,#N/A,FALSE,"Plan1";#N/A,#N/A,FALSE,"Plan2"}</definedName>
    <definedName name="kopipnsdfne" localSheetId="11">{#N/A,#N/A,FALSE,"Plan1";#N/A,#N/A,FALSE,"Plan2"}</definedName>
    <definedName name="kp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ÇKSÇ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KSDLDF" localSheetId="11">{#N/A,#N/A,FALSE,"Plan1";#N/A,#N/A,FALSE,"Plan2"}</definedName>
    <definedName name="ksdlkfsçzd" localSheetId="11">{#N/A,#N/A,FALSE,"Plan1";#N/A,#N/A,FALSE,"Plan2"}</definedName>
    <definedName name="ksdoçierfe" localSheetId="11">{#N/A,#N/A,FALSE,"Plan1";#N/A,#N/A,FALSE,"Plan2"}</definedName>
    <definedName name="ksdtrdrkf" localSheetId="11">{#N/A,#N/A,FALSE,"Plan1";#N/A,#N/A,FALSE,"Plan2"}</definedName>
    <definedName name="KSFÇJDFJL" localSheetId="11">{#N/A,#N/A,FALSE,"Plan1";#N/A,#N/A,FALSE,"Plan2"}</definedName>
    <definedName name="ksfhse" localSheetId="11">{#N/A,#N/A,FALSE,"Plan1";#N/A,#N/A,FALSE,"Plan2"}</definedName>
    <definedName name="KSRKOE" localSheetId="11">{#N/A,#N/A,FALSE,"Plan1";#N/A,#N/A,FALSE,"Plan2"}</definedName>
    <definedName name="KSWKE" localSheetId="11">{#N/A,#N/A,FALSE,"Plan1";#N/A,#N/A,FALSE,"Plan2"}</definedName>
    <definedName name="kysdusf" localSheetId="11">{#N/A,#N/A,FALSE,"Plan1";#N/A,#N/A,FALSE,"Plan2"}</definedName>
    <definedName name="kzslçdkçle" localSheetId="11">{#N/A,#N/A,FALSE,"Plan1";#N/A,#N/A,FALSE,"Plan2"}</definedName>
    <definedName name="LAEKWRK" localSheetId="11">{#N/A,#N/A,FALSE,"Plan1";#N/A,#N/A,FALSE,"Plan2"}</definedName>
    <definedName name="LAKDEWRF" localSheetId="11">{#N/A,#N/A,FALSE,"Plan1";#N/A,#N/A,FALSE,"Plan2"}</definedName>
    <definedName name="LASÇDSRLF" localSheetId="11">{#N/A,#N/A,FALSE,"Plan1";#N/A,#N/A,FALSE,"Plan2"}</definedName>
    <definedName name="lasrlswer" localSheetId="11">{#N/A,#N/A,FALSE,"Plan1";#N/A,#N/A,FALSE,"Plan2"}</definedName>
    <definedName name="lçadple4r" localSheetId="11">{#N/A,#N/A,FALSE,"Plan1";#N/A,#N/A,FALSE,"Plan2"}</definedName>
    <definedName name="lçasser" localSheetId="11">{#N/A,#N/A,FALSE,"Plan1";#N/A,#N/A,FALSE,"Plan2"}</definedName>
    <definedName name="lcdgjtklfrn" localSheetId="11">{#N/A,#N/A,FALSE,"Plan1";#N/A,#N/A,FALSE,"Plan2"}</definedName>
    <definedName name="lçfklsdkçaer" localSheetId="11">{#N/A,#N/A,FALSE,"Plan1";#N/A,#N/A,FALSE,"Plan2"}</definedName>
    <definedName name="lçjkgf" localSheetId="11">{#N/A,#N/A,FALSE,"Plan1";#N/A,#N/A,FALSE,"Plan2"}</definedName>
    <definedName name="LÇJSLDFJ" localSheetId="11">{#N/A,#N/A,FALSE,"Plan1";#N/A,#N/A,FALSE,"Plan2"}</definedName>
    <definedName name="LÇKÇSDRLK" localSheetId="11">{#N/A,#N/A,FALSE,"Plan1";#N/A,#N/A,FALSE,"Plan2"}</definedName>
    <definedName name="lçkl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çlfklçdglfdgt" localSheetId="11">{#N/A,#N/A,FALSE,"Plan1";#N/A,#N/A,FALSE,"Plan2"}</definedName>
    <definedName name="lçslrr4r" localSheetId="11">{#N/A,#N/A,FALSE,"Plan1";#N/A,#N/A,FALSE,"Plan2"}</definedName>
    <definedName name="ldfjgry" localSheetId="11">{#N/A,#N/A,FALSE,"Plan1";#N/A,#N/A,FALSE,"Plan2"}</definedName>
    <definedName name="ldfjgtilrf" localSheetId="11">{#N/A,#N/A,FALSE,"Plan1";#N/A,#N/A,FALSE,"Plan2"}</definedName>
    <definedName name="ldk" localSheetId="11">{#N/A,#N/A,FALSE,"Plan1";#N/A,#N/A,FALSE,"Plan2"}</definedName>
    <definedName name="ldkgkdfjgkh" localSheetId="11">{#N/A,#N/A,FALSE,"Plan1";#N/A,#N/A,FALSE,"Plan2"}</definedName>
    <definedName name="LDTJGR" localSheetId="11">{#N/A,#N/A,FALSE,"Plan1";#N/A,#N/A,FALSE,"Plan2"}</definedName>
    <definedName name="LEKG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fjdjrt" localSheetId="11">{#N/A,#N/A,FALSE,"Plan1";#N/A,#N/A,FALSE,"Plan2"}</definedName>
    <definedName name="lidfjgklruf" localSheetId="11">{#N/A,#N/A,FALSE,"Plan1";#N/A,#N/A,FALSE,"Plan2"}</definedName>
    <definedName name="list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jdfkgyt" localSheetId="11">{#N/A,#N/A,FALSE,"Plan1";#N/A,#N/A,FALSE,"Plan2"}</definedName>
    <definedName name="LJDFLJRL" localSheetId="11">{#N/A,#N/A,FALSE,"Plan1";#N/A,#N/A,FALSE,"Plan2"}</definedName>
    <definedName name="ljsdfrd" localSheetId="11">{#N/A,#N/A,FALSE,"Plan1";#N/A,#N/A,FALSE,"Plan2"}</definedName>
    <definedName name="LK" localSheetId="11">{#N/A,#N/A,TRUE,"Quinzena 01 à 15-04-98 "}</definedName>
    <definedName name="lkasdkeo" localSheetId="11">{#N/A,#N/A,FALSE,"Plan1";#N/A,#N/A,FALSE,"Plan2"}</definedName>
    <definedName name="lkdeas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kdzxfsdrf" localSheetId="11">{#N/A,#N/A,FALSE,"Plan1";#N/A,#N/A,FALSE,"Plan2"}</definedName>
    <definedName name="lkfdkçtktr" localSheetId="11">{#N/A,#N/A,FALSE,"Plan1";#N/A,#N/A,FALSE,"Plan2"}</definedName>
    <definedName name="lkt" localSheetId="11">{#N/A,#N/A,FALSE,"Plan1";#N/A,#N/A,FALSE,"Plan2"}</definedName>
    <definedName name="lktlyklt" localSheetId="11">{#N/A,#N/A,FALSE,"Plan1";#N/A,#N/A,FALSE,"Plan2"}</definedName>
    <definedName name="LKTTYT" localSheetId="11">{#N/A,#N/A,FALSE,"Plan1";#N/A,#N/A,FALSE,"Plan2"}</definedName>
    <definedName name="llgg" localSheetId="11">{#N/A,#N/A,FALSE,"Plan1";#N/A,#N/A,FALSE,"Plan2"}</definedName>
    <definedName name="LLL" localSheetId="11">{#N/A,#N/A,FALSE,"Plan1";#N/A,#N/A,FALSE,"Plan2"}</definedName>
    <definedName name="LM_AR" localSheetId="11">{#N/A,#N/A,FALSE,"F-01"}</definedName>
    <definedName name="LM_AT" localSheetId="11">{#N/A,#N/A,FALSE,"F-01"}</definedName>
    <definedName name="LM_INC" localSheetId="11">{#N/A,#N/A,FALSE,"F-01"}</definedName>
    <definedName name="LMPAS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O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FKLDKFTR" localSheetId="11">{#N/A,#N/A,FALSE,"Plan1";#N/A,#N/A,FALSE,"Plan2"}</definedName>
    <definedName name="lsdjs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lsdkljfkg" localSheetId="11">{#N/A,#N/A,FALSE,"Plan1";#N/A,#N/A,FALSE,"Plan2"}</definedName>
    <definedName name="lsdsder" localSheetId="11">{#N/A,#N/A,FALSE,"Plan1";#N/A,#N/A,FALSE,"Plan2"}</definedName>
    <definedName name="ltj6ljyhdjhngças" localSheetId="11">{#N/A,#N/A,FALSE,"Plan1";#N/A,#N/A,FALSE,"Plan2"}</definedName>
    <definedName name="m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AISAP" localSheetId="11">{#N/A,#N/A,FALSE,"Plan1";#N/A,#N/A,FALSE,"Plan2"}</definedName>
    <definedName name="MANTO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STER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ttubcust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AURILIO" localSheetId="11">{#N/A,#N/A,FALSE,"Plan1";#N/A,#N/A,FALSE,"Plan2"}</definedName>
    <definedName name="MC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CM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dfgtr" localSheetId="11">{#N/A,#N/A,FALSE,"Plan1";#N/A,#N/A,FALSE,"Plan2"}</definedName>
    <definedName name="MDSÇLFJKJSD" localSheetId="11">{#N/A,#N/A,FALSE,"Plan1";#N/A,#N/A,FALSE,"Plan2"}</definedName>
    <definedName name="ME" localSheetId="11">{"HW",#N/A,FALSE,"1998"}</definedName>
    <definedName name="MESTRE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LMÇLKJKI" localSheetId="11">{#N/A,#N/A,FALSE,"Plan1";#N/A,#N/A,FALSE,"Plan2"}</definedName>
    <definedName name="MM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mmmmm" localSheetId="11">{"tabela",#N/A,FALSE,"Tabela";"decoração",#N/A,FALSE,"Decor.";"Informações",#N/A,FALSE,"Inform."}</definedName>
    <definedName name="mmmmmmm" localSheetId="1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MNBXFKGS" localSheetId="11">{#N/A,#N/A,FALSE,"Plan1";#N/A,#N/A,FALSE,"Plan2"}</definedName>
    <definedName name="mncvbgcvmc" localSheetId="11">{#N/A,#N/A,FALSE,"Plan1";#N/A,#N/A,FALSE,"Plan2"}</definedName>
    <definedName name="MNDKZSFNCEA" localSheetId="11">{#N/A,#N/A,FALSE,"Plan1";#N/A,#N/A,FALSE,"Plan2"}</definedName>
    <definedName name="mnhdshfgfhd" localSheetId="11">{#N/A,#N/A,FALSE,"Plan1";#N/A,#N/A,FALSE,"Plan2"}</definedName>
    <definedName name="mobra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Modelo1" localSheetId="11">{#N/A,#N/A,FALSE,"cdi";#N/A,#N/A,FALSE,"debent";#N/A,#N/A,FALSE,"fdos";#N/A,#N/A,FALSE,"resumo"}</definedName>
    <definedName name="Modelo1a" localSheetId="11">{#N/A,#N/A,FALSE,"cdi";#N/A,#N/A,FALSE,"debent";#N/A,#N/A,FALSE,"fdos";#N/A,#N/A,FALSE,"resumo"}</definedName>
    <definedName name="Modelo2" localSheetId="1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MP" localSheetId="11">{#N/A,#N/A,FALSE,"CCTV"}</definedName>
    <definedName name="MSDRFSWER" localSheetId="11">{"Econ Consolidado",#N/A,FALSE,"Econ Consol";"Fluxo de Caixa",#N/A,FALSE,"Fluxo Caixa";"Investimentos",#N/A,FALSE,"Investimentos"}</definedName>
    <definedName name="mzshdjshjs" localSheetId="11">{#N/A,#N/A,FALSE,"Plan1";#N/A,#N/A,FALSE,"Plan2"}</definedName>
    <definedName name="na" localSheetId="11">{#N/A,#N/A,FALSE,"$170M Cash";#N/A,#N/A,FALSE,"$250M Cash";#N/A,#N/A,FALSE,"$325M Cash"}</definedName>
    <definedName name="ncdgrdhrtg" localSheetId="11">{#N/A,#N/A,FALSE,"Plan1";#N/A,#N/A,FALSE,"Plan2"}</definedName>
    <definedName name="nchngdfhgdh" localSheetId="11">{#N/A,#N/A,FALSE,"Plan1";#N/A,#N/A,FALSE,"Plan2"}</definedName>
    <definedName name="NCJFKNGJHF" localSheetId="11">{#N/A,#N/A,FALSE,"Plan1";#N/A,#N/A,FALSE,"Plan2"}</definedName>
    <definedName name="ndcxhgdhf" localSheetId="11">{#N/A,#N/A,FALSE,"Plan1";#N/A,#N/A,FALSE,"Plan2"}</definedName>
    <definedName name="ndfjnjkrhdgt" localSheetId="11">{#N/A,#N/A,FALSE,"Plan1";#N/A,#N/A,FALSE,"Plan2"}</definedName>
    <definedName name="ndfkghkjthfyst" localSheetId="11">{#N/A,#N/A,FALSE,"Plan1";#N/A,#N/A,FALSE,"Plan2"}</definedName>
    <definedName name="NDJGKFKGHUFG" localSheetId="11">{#N/A,#N/A,FALSE,"Plan1";#N/A,#N/A,FALSE,"Plan2"}</definedName>
    <definedName name="ndrjkt" localSheetId="11">{#N/A,#N/A,FALSE,"Plan1";#N/A,#N/A,FALSE,"Plan2"}</definedName>
    <definedName name="new" localSheetId="11">{#N/A,#N/A,FALSE,"Global by BU";#N/A,#N/A,FALSE,"U.S. by BU";#N/A,#N/A,FALSE,"Canada by BU";#N/A,#N/A,FALSE,"Europe by BU";#N/A,#N/A,FALSE,"Asia by BU";#N/A,#N/A,FALSE,"Cala by BU"}</definedName>
    <definedName name="NEWNAME" localSheetId="11">{#N/A,#N/A,FALSE,"CCTV"}</definedName>
    <definedName name="nfgjkhvhfghn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fkhdjkthde" localSheetId="11">{#N/A,#N/A,FALSE,"Plan1";#N/A,#N/A,FALSE,"Plan2"}</definedName>
    <definedName name="nh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HJHFDSHF" localSheetId="11">{#N/A,#N/A,FALSE,"Plan1";#N/A,#N/A,FALSE,"Plan2"}</definedName>
    <definedName name="NJSDFHERTG" localSheetId="11">{#N/A,#N/A,FALSE,"Plan1";#N/A,#N/A,FALSE,"Plan2"}</definedName>
    <definedName name="nkfnsskdn" localSheetId="11">{#N/A,#N/A,FALSE,"Plan1";#N/A,#N/A,FALSE,"Plan2"}</definedName>
    <definedName name="NKJL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nlaksjdwe" localSheetId="11">{#N/A,#N/A,FALSE,"Plan1";#N/A,#N/A,FALSE,"Plan2"}</definedName>
    <definedName name="nljsdfljfdsfr" localSheetId="11">{#N/A,#N/A,FALSE,"Plan1";#N/A,#N/A,FALSE,"Plan2"}</definedName>
    <definedName name="nmjdfhxj" localSheetId="11">{#N/A,#N/A,FALSE,"Plan1";#N/A,#N/A,FALSE,"Plan2"}</definedName>
    <definedName name="nnmn" localSheetId="11">{#N/A,#N/A,FALSE,"Plan1";#N/A,#N/A,FALSE,"Plan2"}</definedName>
    <definedName name="nnn" localSheetId="11">{#N/A,#N/A,FALSE,"$170M Cash";#N/A,#N/A,FALSE,"$250M Cash";#N/A,#N/A,FALSE,"$325M Cash"}</definedName>
    <definedName name="nnnnnnnnnnn" localSheetId="11">{"HW",#N/A,FALSE,"1998"}</definedName>
    <definedName name="NNNNNNNNNNNNNNN" localSheetId="11">{#N/A,#N/A,FALSE,"Plan1";#N/A,#N/A,FALSE,"Plan2"}</definedName>
    <definedName name="nnnnnnnnnnnnnnnnnnnn" localSheetId="11">{#N/A,#N/A,FALSE,"Plan1";#N/A,#N/A,FALSE,"Plan2"}</definedName>
    <definedName name="NNXFT" localSheetId="11">{#N/A,#N/A,FALSE,"Plan1";#N/A,#N/A,FALSE,"Plan2"}</definedName>
    <definedName name="nsdkfndgfdnatf" localSheetId="11">{#N/A,#N/A,FALSE,"Plan1";#N/A,#N/A,FALSE,"Plan2"}</definedName>
    <definedName name="nsfljdiljrf" localSheetId="11">{#N/A,#N/A,FALSE,"Plan1";#N/A,#N/A,FALSE,"Plan2"}</definedName>
    <definedName name="nzxcnnjkd" localSheetId="11">{#N/A,#N/A,FALSE,"Plan1";#N/A,#N/A,FALSE,"Plan2"}</definedName>
    <definedName name="odfuudor" localSheetId="11">{#N/A,#N/A,FALSE,"Plan1";#N/A,#N/A,FALSE,"Plan2"}</definedName>
    <definedName name="oiditrot" localSheetId="11">{#N/A,#N/A,FALSE,"Plan1";#N/A,#N/A,FALSE,"Plan2"}</definedName>
    <definedName name="oio" localSheetId="11">{#N/A,#N/A,FALSE,"Plan1";#N/A,#N/A,FALSE,"Plan2"}</definedName>
    <definedName name="OJÇLJ" localSheetId="11">{#N/A,#N/A,FALSE,"Plan1";#N/A,#N/A,FALSE,"Plan2"}</definedName>
    <definedName name="ojkdfit" localSheetId="11">{#N/A,#N/A,FALSE,"Plan1";#N/A,#N/A,FALSE,"Plan2"}</definedName>
    <definedName name="ooo" localSheetId="11">{#N/A,#N/A,FALSE,"Plan1";#N/A,#N/A,FALSE,"Plan2"}</definedName>
    <definedName name="OPASEDWED" localSheetId="11">{"Econ Consolidado",#N/A,FALSE,"Econ Consol";"Fluxo de Caixa",#N/A,FALSE,"Fluxo Caixa";"Investimentos",#N/A,FALSE,"Investimentos"}</definedName>
    <definedName name="opiwre" localSheetId="11">{#N/A,#N/A,FALSE,"Plan1";#N/A,#N/A,FALSE,"Plan2"}</definedName>
    <definedName name="os" localSheetId="11">{#N/A,#N/A,FALSE,"TABLE"}</definedName>
    <definedName name="otodgkrjglsrd" localSheetId="11">{#N/A,#N/A,FALSE,"Plan1";#N/A,#N/A,FALSE,"Plan2"}</definedName>
    <definedName name="OUERWRSR" localSheetId="11">{#N/A,#N/A,FALSE,"Plan1";#N/A,#N/A,FALSE,"Plan2"}</definedName>
    <definedName name="overhaul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agamento_Num" localSheetId="11">ROW()-Linha_Cabeçalho</definedName>
    <definedName name="ParamValues1" localSheetId="11">#REF!</definedName>
    <definedName name="Pendencias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2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endencias3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piaz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CAS" localSheetId="11">{#N/A,#N/A,TRUE,"Quinzena 01 à 15-04-98 "}</definedName>
    <definedName name="Placas_Areas" localSheetId="11">{#N/A,#N/A,TRUE,"Quinzena 01 à 15-04-98 "}</definedName>
    <definedName name="plan2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plasçdeaw" localSheetId="11">{#N/A,#N/A,FALSE,"Plan1";#N/A,#N/A,FALSE,"Plan2"}</definedName>
    <definedName name="plaslrswe" localSheetId="11">{#N/A,#N/A,FALSE,"Plan1";#N/A,#N/A,FALSE,"Plan2"}</definedName>
    <definedName name="plsearpef" localSheetId="11">{#N/A,#N/A,FALSE,"Plan1";#N/A,#N/A,FALSE,"Plan2"}</definedName>
    <definedName name="plss" localSheetId="11">{#N/A,#N/A,FALSE,"Plan1";#N/A,#N/A,FALSE,"Plan2"}</definedName>
    <definedName name="PN2건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rint" localSheetId="11">{#N/A,#N/A,FALSE,"$170M Cash";#N/A,#N/A,FALSE,"$250M Cash";#N/A,#N/A,FALSE,"$325M Cash"}</definedName>
    <definedName name="ptirigyiotut" localSheetId="11">{#N/A,#N/A,FALSE,"Plan1";#N/A,#N/A,FALSE,"Plan2"}</definedName>
    <definedName name="PWER3" localSheetId="11">{#N/A,#N/A,FALSE,"Plan1";#N/A,#N/A,FALSE,"Plan2"}</definedName>
    <definedName name="qkqh1" localSheetId="11">{#N/A,#N/A,FALSE,"명세표"}</definedName>
    <definedName name="QQ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QSQWSE" localSheetId="11">{#N/A,#N/A,FALSE,"Plan1";#N/A,#N/A,FALSE,"Plan2"}</definedName>
    <definedName name="qwdqw" localSheetId="11">{#N/A,#N/A,FALSE,"Plan1";#N/A,#N/A,FALSE,"Plan2"}</definedName>
    <definedName name="qweqwe" localSheetId="11">{#N/A,#N/A,FALSE,"Plan1";#N/A,#N/A,FALSE,"Plan2"}</definedName>
    <definedName name="qweqwe4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ADIO" localSheetId="11">{"HW",#N/A,FALSE,"1998"}</definedName>
    <definedName name="RE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resum" localSheetId="1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RESUMO2" localSheetId="11">{#N/A,#N/A,TRUE,"Quinzena 01 à 15-04-98 "}</definedName>
    <definedName name="RF" localSheetId="11">{#N/A,#N/A,FALSE,"CCTV"}</definedName>
    <definedName name="rgedrfrgfdg" localSheetId="11">{#N/A,#N/A,FALSE,"Plan1";#N/A,#N/A,FALSE,"Plan2"}</definedName>
    <definedName name="rhdrmq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rrrr" localSheetId="11">{"'장비'!$A$3:$M$12"}</definedName>
    <definedName name="rrrrrrrr" localSheetId="11">{"'장비'!$A$3:$M$12"}</definedName>
    <definedName name="rrrrrrrrrrr" localSheetId="11">{#N/A,#N/A,TRUE,"Quinzena 01 à 15-04-98 "}</definedName>
    <definedName name="RTYE" localSheetId="11">{"'장비'!$A$3:$M$12"}</definedName>
    <definedName name="sa" localSheetId="11">#REF!</definedName>
    <definedName name="saa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a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asd" localSheetId="11">{#N/A,#N/A,FALSE,"Plan1";#N/A,#N/A,FALSE,"Plan2"}</definedName>
    <definedName name="sadke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adkrjkedft" localSheetId="11">{#N/A,#N/A,FALSE,"Plan1";#N/A,#N/A,FALSE,"Plan2"}</definedName>
    <definedName name="SADSRTR" localSheetId="11">{#N/A,#N/A,FALSE,"Plan1";#N/A,#N/A,FALSE,"Plan2"}</definedName>
    <definedName name="sadwde" localSheetId="11">{#N/A,#N/A,FALSE,"Plan1";#N/A,#N/A,FALSE,"Plan2"}</definedName>
    <definedName name="sanjay" localSheetId="11">{#N/A,#N/A,FALSE,"TABLE"}</definedName>
    <definedName name="SAS" localSheetId="11">{#N/A,#N/A,FALSE,"Plan1";#N/A,#N/A,FALSE,"Plan2"}</definedName>
    <definedName name="sasads" localSheetId="11">{#N/A,#N/A,FALSE,"Plan1";#N/A,#N/A,FALSE,"Plan2"}</definedName>
    <definedName name="sda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AOTGFR" localSheetId="11">{#N/A,#N/A,FALSE,"Plan1";#N/A,#N/A,FALSE,"Plan2"}</definedName>
    <definedName name="sdckd" localSheetId="11">{#N/A,#N/A,FALSE,"Plan1";#N/A,#N/A,FALSE,"Plan2"}</definedName>
    <definedName name="SDDFKSEDE" localSheetId="11">{#N/A,#N/A,FALSE,"Plan1";#N/A,#N/A,FALSE,"Plan2"}</definedName>
    <definedName name="sddkslker" localSheetId="11">{#N/A,#N/A,FALSE,"Plan1";#N/A,#N/A,FALSE,"Plan2"}</definedName>
    <definedName name="sdefr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er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ds" localSheetId="11">{#N/A,#N/A,FALSE,"Plan1";#N/A,#N/A,FALSE,"Plan2"}</definedName>
    <definedName name="sdfdfc" localSheetId="11">{#N/A,#N/A,FALSE,"Plan1";#N/A,#N/A,FALSE,"Plan2"}</definedName>
    <definedName name="sdfdf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dgft" localSheetId="11">{#N/A,#N/A,FALSE,"Plan1";#N/A,#N/A,FALSE,"Plan2"}</definedName>
    <definedName name="sdfdsf" localSheetId="11">{#N/A,#N/A,FALSE,"Plan1";#N/A,#N/A,FALSE,"Plan2"}</definedName>
    <definedName name="SDFEDRT" localSheetId="11">{#N/A,#N/A,FALSE,"Plan1";#N/A,#N/A,FALSE,"Plan2"}</definedName>
    <definedName name="sdfer" localSheetId="11">{#N/A,#N/A,FALSE,"Plan1";#N/A,#N/A,FALSE,"Plan2"}</definedName>
    <definedName name="sdferr" localSheetId="11">{#N/A,#N/A,FALSE,"Plan1";#N/A,#N/A,FALSE,"Plan2"}</definedName>
    <definedName name="sdfe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GJFSRF" localSheetId="11">{#N/A,#N/A,FALSE,"Plan1";#N/A,#N/A,FALSE,"Plan2"}</definedName>
    <definedName name="sdfgtr" localSheetId="11">{#N/A,#N/A,FALSE,"Plan1";#N/A,#N/A,FALSE,"Plan2"}</definedName>
    <definedName name="sdfjdetrt" localSheetId="11">{#N/A,#N/A,FALSE,"Plan1";#N/A,#N/A,FALSE,"Plan2"}</definedName>
    <definedName name="SDFJDRTJEIDR" localSheetId="11">{#N/A,#N/A,FALSE,"Plan1";#N/A,#N/A,FALSE,"Plan2"}</definedName>
    <definedName name="sdfjergtij" localSheetId="11">{#N/A,#N/A,FALSE,"Plan1";#N/A,#N/A,FALSE,"Plan2"}</definedName>
    <definedName name="SDFOPJKWE" localSheetId="11">{#N/A,#N/A,FALSE,"Plan1";#N/A,#N/A,FALSE,"Plan2"}</definedName>
    <definedName name="sdfrdt5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frt" localSheetId="11">{#N/A,#N/A,FALSE,"Plan1";#N/A,#N/A,FALSE,"Plan2"}</definedName>
    <definedName name="SDFRTKK" localSheetId="11">{#N/A,#N/A,FALSE,"Plan1";#N/A,#N/A,FALSE,"Plan2"}</definedName>
    <definedName name="SDFRTR" localSheetId="11">{#N/A,#N/A,FALSE,"Plan1";#N/A,#N/A,FALSE,"Plan2"}</definedName>
    <definedName name="sdfry6" localSheetId="11">{#N/A,#N/A,FALSE,"Plan1";#N/A,#N/A,FALSE,"Plan2"}</definedName>
    <definedName name="sdfsaf" localSheetId="11">{#N/A,#N/A,FALSE,"Plan1";#N/A,#N/A,FALSE,"Plan2"}</definedName>
    <definedName name="sdfsd" localSheetId="11">{"'Estimativa de Lançamento-JAN'!$A$1:$AI$85"}</definedName>
    <definedName name="sdfsdfg" localSheetId="11">{#N/A,#N/A,FALSE,"Plan1";#N/A,#N/A,FALSE,"Plan2"}</definedName>
    <definedName name="SDFSDFK" localSheetId="11">{#N/A,#N/A,FALSE,"Plan1";#N/A,#N/A,FALSE,"Plan2"}</definedName>
    <definedName name="sdfsdgftret" localSheetId="11">{#N/A,#N/A,FALSE,"Plan1";#N/A,#N/A,FALSE,"Plan2"}</definedName>
    <definedName name="SDFSF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DFSFRT" localSheetId="11">{"Econ Consolidado",#N/A,FALSE,"Econ Consol";"Fluxo de Caixa",#N/A,FALSE,"Fluxo Caixa";"Investimentos",#N/A,FALSE,"Investimentos"}</definedName>
    <definedName name="sdfsr" localSheetId="11">{#N/A,#N/A,FALSE,"Plan1";#N/A,#N/A,FALSE,"Plan2"}</definedName>
    <definedName name="sdfty" localSheetId="11">{#N/A,#N/A,FALSE,"Plan1";#N/A,#N/A,FALSE,"Plan2"}</definedName>
    <definedName name="sdgdf" localSheetId="11">{#N/A,#N/A,FALSE,"Plan1";#N/A,#N/A,FALSE,"Plan2"}</definedName>
    <definedName name="sdgfrt" localSheetId="11">{#N/A,#N/A,FALSE,"Plan1";#N/A,#N/A,FALSE,"Plan2"}</definedName>
    <definedName name="sdgft" localSheetId="11">{#N/A,#N/A,FALSE,"Plan1";#N/A,#N/A,FALSE,"Plan2"}</definedName>
    <definedName name="sdgt" localSheetId="11">{#N/A,#N/A,FALSE,"Plan1";#N/A,#N/A,FALSE,"Plan2"}</definedName>
    <definedName name="sdhfghdsfg" localSheetId="11">{#N/A,#N/A,FALSE,"Plan1";#N/A,#N/A,FALSE,"Plan2"}</definedName>
    <definedName name="SDHFJKHDFJRE" localSheetId="11">{#N/A,#N/A,FALSE,"Plan1";#N/A,#N/A,FALSE,"Plan2"}</definedName>
    <definedName name="SDHKFDRKGTR" localSheetId="11">{#N/A,#N/A,FALSE,"Plan1";#N/A,#N/A,FALSE,"Plan2"}</definedName>
    <definedName name="sdjdswger" localSheetId="11">{#N/A,#N/A,FALSE,"Plan1";#N/A,#N/A,FALSE,"Plan2"}</definedName>
    <definedName name="sdjfdf" localSheetId="11">{#N/A,#N/A,FALSE,"Plan1";#N/A,#N/A,FALSE,"Plan2"}</definedName>
    <definedName name="sdjfhdjk" localSheetId="11">{#N/A,#N/A,FALSE,"Plan1";#N/A,#N/A,FALSE,"Plan2"}</definedName>
    <definedName name="SDJFJDER" localSheetId="11">{#N/A,#N/A,FALSE,"Plan1";#N/A,#N/A,FALSE,"Plan2"}</definedName>
    <definedName name="sdjflsdjfl" localSheetId="11">{#N/A,#N/A,FALSE,"Plan1";#N/A,#N/A,FALSE,"Plan2"}</definedName>
    <definedName name="SDJHF" localSheetId="11">{#N/A,#N/A,FALSE,"Plan1";#N/A,#N/A,FALSE,"Plan2"}</definedName>
    <definedName name="sdjrderertrr" localSheetId="11">{#N/A,#N/A,FALSE,"Plan1";#N/A,#N/A,FALSE,"Plan2"}</definedName>
    <definedName name="sdkdjk" localSheetId="11">{#N/A,#N/A,FALSE,"Plan1";#N/A,#N/A,FALSE,"Plan2"}</definedName>
    <definedName name="sdkfjhkdgfhk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kfnjd" localSheetId="11">{#N/A,#N/A,FALSE,"Plan1";#N/A,#N/A,FALSE,"Plan2"}</definedName>
    <definedName name="sdkk" localSheetId="11">{#N/A,#N/A,FALSE,"Plan1";#N/A,#N/A,FALSE,"Plan2"}</definedName>
    <definedName name="sdlfsdflj" localSheetId="11">{#N/A,#N/A,FALSE,"Plan1";#N/A,#N/A,FALSE,"Plan2"}</definedName>
    <definedName name="sdmfmdfsgfd" localSheetId="11">{#N/A,#N/A,FALSE,"Plan1";#N/A,#N/A,FALSE,"Plan2"}</definedName>
    <definedName name="sd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rfgt" localSheetId="11">{#N/A,#N/A,FALSE,"Plan1";#N/A,#N/A,FALSE,"Plan2"}</definedName>
    <definedName name="sdsd" localSheetId="11">{#N/A,#N/A,FALSE,"Plan1";#N/A,#N/A,FALSE,"Plan2"}</definedName>
    <definedName name="sdser" localSheetId="11">{#N/A,#N/A,FALSE,"Plan1";#N/A,#N/A,FALSE,"Plan2"}</definedName>
    <definedName name="sdsre" localSheetId="11">{#N/A,#N/A,FALSE,"Plan1";#N/A,#N/A,FALSE,"Plan2"}</definedName>
    <definedName name="sdss" localSheetId="11">{#N/A,#N/A,FALSE,"Plan1";#N/A,#N/A,FALSE,"Plan2"}</definedName>
    <definedName name="sdusi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DWER" localSheetId="11">{"Econ Consolidado",#N/A,FALSE,"Econ Consol";"Fluxo de Caixa",#N/A,FALSE,"Fluxo Caixa";"Investimentos",#N/A,FALSE,"Investimentos"}</definedName>
    <definedName name="sdxfrt" localSheetId="11">{#N/A,#N/A,FALSE,"Plan1";#N/A,#N/A,FALSE,"Plan2"}</definedName>
    <definedName name="SDZFERF" localSheetId="11">{#N/A,#N/A,FALSE,"Plan1";#N/A,#N/A,FALSE,"Plan2"}</definedName>
    <definedName name="sefret4r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egftru" localSheetId="11">{#N/A,#N/A,FALSE,"Plan1";#N/A,#N/A,FALSE,"Plan2"}</definedName>
    <definedName name="sencount" localSheetId="11">1</definedName>
    <definedName name="SEREWRSWE" localSheetId="11">{"tabela",#N/A,FALSE,"Tabela";"decoração",#N/A,FALSE,"Decor.";"Informações",#N/A,FALSE,"Inform."}</definedName>
    <definedName name="sf" localSheetId="11">{#N/A,#N/A,FALSE,"Plan1";#N/A,#N/A,FALSE,"Plan2"}</definedName>
    <definedName name="sfcrer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fddfd" localSheetId="11">{#N/A,#N/A,FALSE,"Plan1";#N/A,#N/A,FALSE,"Plan2"}</definedName>
    <definedName name="sfds" localSheetId="11">{#N/A,#N/A,FALSE,"Plan1";#N/A,#N/A,FALSE,"Plan2"}</definedName>
    <definedName name="sfdsd" localSheetId="11">{#N/A,#N/A,FALSE,"Plan1";#N/A,#N/A,FALSE,"Plan2"}</definedName>
    <definedName name="sfrsdrgt" localSheetId="11">{#N/A,#N/A,FALSE,"Plan1";#N/A,#N/A,FALSE,"Plan2"}</definedName>
    <definedName name="SFRT" localSheetId="11">{#N/A,#N/A,FALSE,"Plan1";#N/A,#N/A,FALSE,"Plan2"}</definedName>
    <definedName name="sfsdferf" localSheetId="11">{#N/A,#N/A,FALSE,"Plan1";#N/A,#N/A,FALSE,"Plan2"}</definedName>
    <definedName name="SFSDS" localSheetId="11">{#N/A,#N/A,FALSE,"Plan1";#N/A,#N/A,FALSE,"Plan2"}</definedName>
    <definedName name="sgtghty" localSheetId="11">{#N/A,#N/A,FALSE,"Plan1";#N/A,#N/A,FALSE,"Plan2"}</definedName>
    <definedName name="SH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jawe" localSheetId="11">{#N/A,#N/A,FALSE,"Plan1";#N/A,#N/A,FALSE,"Plan2"}</definedName>
    <definedName name="sjdffd" localSheetId="11">{#N/A,#N/A,FALSE,"Plan1";#N/A,#N/A,FALSE,"Plan2"}</definedName>
    <definedName name="SJDFHDJS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SJDHFHRE" localSheetId="11">{#N/A,#N/A,FALSE,"Plan1";#N/A,#N/A,FALSE,"Plan2"}</definedName>
    <definedName name="SJDKJDE" localSheetId="11">{"Econ Consolidado",#N/A,FALSE,"Econ Consol";"Fluxo de Caixa",#N/A,FALSE,"Fluxo Caixa";"Investimentos",#N/A,FALSE,"Investimentos"}</definedName>
    <definedName name="sjekwjri" localSheetId="11">{#N/A,#N/A,FALSE,"Plan1";#N/A,#N/A,FALSE,"Plan2"}</definedName>
    <definedName name="sjfkdhsfds" localSheetId="11">{#N/A,#N/A,FALSE,"Plan1";#N/A,#N/A,FALSE,"Plan2"}</definedName>
    <definedName name="sjkdljslkrje" localSheetId="11">{#N/A,#N/A,FALSE,"Plan1";#N/A,#N/A,FALSE,"Plan2"}</definedName>
    <definedName name="skadadaszs" localSheetId="11">{#N/A,#N/A,FALSE,"Plan1";#N/A,#N/A,FALSE,"Plan2"}</definedName>
    <definedName name="SKASH" localSheetId="11">{#N/A,#N/A,FALSE,"Plan1";#N/A,#N/A,FALSE,"Plan2"}</definedName>
    <definedName name="skldfrde" localSheetId="11">{#N/A,#N/A,FALSE,"Plan1";#N/A,#N/A,FALSE,"Plan2"}</definedName>
    <definedName name="skosroer" localSheetId="11">{#N/A,#N/A,FALSE,"Plan1";#N/A,#N/A,FALSE,"Plan2"}</definedName>
    <definedName name="sp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ARE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QEWWE" localSheetId="11">{#N/A,#N/A,FALSE,"Plan1";#N/A,#N/A,FALSE,"Plan2"}</definedName>
    <definedName name="SRH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RT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SRTST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ab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Test" localSheetId="11">{"'Edit'!$A$1:$V$2277"}</definedName>
    <definedName name="TESTANDO" localSheetId="11">{#N/A,#N/A,TRUE,"Quinzena 01 à 15-04-98 "}</definedName>
    <definedName name="teste1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thjgsergsr" localSheetId="11">{#N/A,#N/A,FALSE,"Plan1";#N/A,#N/A,FALSE,"Plan2"}</definedName>
    <definedName name="THYJ" localSheetId="11">{#N/A,#N/A,FALSE,"Plan1";#N/A,#N/A,FALSE,"Plan2"}</definedName>
    <definedName name="tihjgih" localSheetId="11">{#N/A,#N/A,FALSE,"Plan1";#N/A,#N/A,FALSE,"Plan2"}</definedName>
    <definedName name="trjyidih" localSheetId="11">{#N/A,#N/A,FALSE,"Plan1";#N/A,#N/A,FALSE,"Plan2"}</definedName>
    <definedName name="tuyedjsksj" localSheetId="11">{#N/A,#N/A,FALSE,"Plan1";#N/A,#N/A,FALSE,"Plan2"}</definedName>
    <definedName name="TYHGFHFHG" localSheetId="11">{#N/A,#N/A,FALSE,"Plan1";#N/A,#N/A,FALSE,"Plan2"}</definedName>
    <definedName name="u" localSheetId="11">{#N/A,#N/A,FALSE,"ET-CAPA";#N/A,#N/A,FALSE,"ET-PAG1";#N/A,#N/A,FALSE,"ET-PAG2";#N/A,#N/A,FALSE,"ET-PAG3";#N/A,#N/A,FALSE,"ET-PAG4";#N/A,#N/A,FALSE,"ET-PAG5"}</definedName>
    <definedName name="udhgfhfg" localSheetId="11">{#N/A,#N/A,FALSE,"Plan1";#N/A,#N/A,FALSE,"Plan2"}</definedName>
    <definedName name="ueiutriuef" localSheetId="11">{#N/A,#N/A,FALSE,"Plan1";#N/A,#N/A,FALSE,"Plan2"}</definedName>
    <definedName name="UHGSDUS" localSheetId="11">{#N/A,#N/A,FALSE,"Plan1";#N/A,#N/A,FALSE,"Plan2"}</definedName>
    <definedName name="UIHWER45R" localSheetId="11">{#N/A,#N/A,FALSE,"Plan1";#N/A,#N/A,FALSE,"Plan2"}</definedName>
    <definedName name="uiosderuiu" localSheetId="11">{#N/A,#N/A,FALSE,"Plan1";#N/A,#N/A,FALSE,"Plan2"}</definedName>
    <definedName name="UIOURET" localSheetId="11">{#N/A,#N/A,FALSE,"Plan1";#N/A,#N/A,FALSE,"Plan2"}</definedName>
    <definedName name="uiwuer" localSheetId="11">{#N/A,#N/A,FALSE,"Plan1";#N/A,#N/A,FALSE,"Plan2"}</definedName>
    <definedName name="UKHDFDSGUDFKD" localSheetId="11">{#N/A,#N/A,FALSE,"Plan1";#N/A,#N/A,FALSE,"Plan2"}</definedName>
    <definedName name="um" localSheetId="11">0</definedName>
    <definedName name="unit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UPS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uryrtyt" localSheetId="11">{#N/A,#N/A,FALSE,"Plan1";#N/A,#N/A,FALSE,"Plan2"}</definedName>
    <definedName name="valve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vdsgfrhgfr" localSheetId="11">{#N/A,#N/A,FALSE,"Plan1";#N/A,#N/A,FALSE,"Plan2"}</definedName>
    <definedName name="VERIFICAR" localSheetId="11">{#N/A,#N/A,TRUE,"Quinzena 01 à 15-04-98 "}</definedName>
    <definedName name="vfnijfd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VFV" localSheetId="11">{#N/A,#N/A,FALSE,"Plan1";#N/A,#N/A,FALSE,"Plan2"}</definedName>
    <definedName name="vld_classificacao" localSheetId="11">IF(#REF!="Ativa",OFFSET(INDEX(rng_list_classificacao,MATCH(#REF!,rng_list_classificacao,0)),1,0,COUNTA(rng_list_classificacao)-1),#REF!)</definedName>
    <definedName name="vld_regional" localSheetId="11">OFFSET(INDEX(rng_list_regional,MATCH(#REF!,rng_list_regional,0)),1,0,COUNTA(rng_list_regional)-1)</definedName>
    <definedName name="vld_segmento" localSheetId="11">IF(#REF!="Ativa",OFFSET(INDEX(rng_list_segmento,MATCH(#REF!,rng_list_segmento,0)),1,0,COUNTA(rng_list_segmento)-1),#REF!)</definedName>
    <definedName name="vld_sociedade" localSheetId="11">OFFSET(INDEX(rng_list_sociedade,MATCH(#REF!,rng_list_sociedade,0)),1,0,COUNTA(rng_list_sociedade)-1)</definedName>
    <definedName name="vld_status_empresa" localSheetId="11">OFFSET(INDEX(rng_list_status_empresa,MATCH(#REF!,rng_list_status_empresa,0)),1,0,COUNTA(rng_list_status_empresa)-1)</definedName>
    <definedName name="vld_status_lancamento" localSheetId="11">IF(#REF!="Ativa",OFFSET(INDEX(rng_list_status_lancamento,MATCH(#REF!,rng_list_status_lancamento,0)),1,0,COUNTA(rng_list_status_lancamento)-1),#REF!)</definedName>
    <definedName name="vld_status_projeto" localSheetId="11">IF(#REF!="Ativa",OFFSET(INDEX(rng_list_status_projeto,MATCH(#REF!,rng_list_status_projeto,0)),1,0,COUNTA(rng_list_status_projeto)-1),#REF!)</definedName>
    <definedName name="vld_status_viabilidade" localSheetId="11">OFFSET(INDEX(rng_list_status_viabilidade,MATCH(#REF!,rng_list_status_viabilidade,0)),1,0,COUNTA(rng_list_status_viabilidade)-1)</definedName>
    <definedName name="VSDHFGDFGR" localSheetId="11">{#N/A,#N/A,FALSE,"Plan1";#N/A,#N/A,FALSE,"Plan2"}</definedName>
    <definedName name="vvbb" localSheetId="11">{"tabela",#N/A,FALSE,"Tabela";"decoração",#N/A,FALSE,"Decor.";"Informações",#N/A,FALSE,"Inform."}</definedName>
    <definedName name="vvcbnb" localSheetId="11">{#N/A,#N/A,FALSE,"Plan1";#N/A,#N/A,FALSE,"Plan2"}</definedName>
    <definedName name="vvvvv" localSheetId="11">{"Econ Consolidado",#N/A,FALSE,"Econ Consol";"Fluxo de Caixa",#N/A,FALSE,"Fluxo Caixa";"Investimentos",#N/A,FALSE,"Investimentos"}</definedName>
    <definedName name="vvvvvv" localSheetId="11">{#N/A,#N/A,FALSE,"Plan1";#N/A,#N/A,FALSE,"Plan2"}</definedName>
    <definedName name="vvvvvvvvvvvvvvvvv" localSheetId="11">{"HW",#N/A,FALSE,"1998"}</definedName>
    <definedName name="w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dalrdjlaev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ater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rw4tr" localSheetId="11">{#N/A,#N/A,FALSE,"Plan1";#N/A,#N/A,FALSE,"Plan2"}</definedName>
    <definedName name="wetoedjtkdr" localSheetId="11">{#N/A,#N/A,FALSE,"Plan1";#N/A,#N/A,FALSE,"Plan2"}</definedName>
    <definedName name="WHATS" localSheetId="11">{"'Edit'!$A$1:$V$2277"}</definedName>
    <definedName name="win.VESSEL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in.VESSEL_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KJHIR" localSheetId="11">{#N/A,#N/A,FALSE,"Plan1";#N/A,#N/A,FALSE,"Plan2"}</definedName>
    <definedName name="WLQ" localSheetId="11">{#N/A,#N/A,FALSE,"명세표"}</definedName>
    <definedName name="WRITE" localSheetId="11">{#N/A,#N/A,FALSE,"CCTV"}</definedName>
    <definedName name="wrn.BM." localSheetId="11">{#N/A,#N/A,FALSE,"CCTV"}</definedName>
    <definedName name="wrn.Brita98.xls." localSheetId="11">{#N/A,#N/A,TRUE,"Quinzena 01 à 15-04-98 "}</definedName>
    <definedName name="wrn.Completo." localSheetId="11">{"EconCons (Econômico - Consolidado)",#N/A,FALSE,"Econômico - Consolidado";"CaixaCons",#N/A,FALSE,"Caixa - Consolidado";"Rio Branco",#N/A,FALSE,"Rio Branco";"Itajaí",#N/A,FALSE,"Itajaí";"Esteio",#N/A,FALSE,"Esteio";"P. Machado",#N/A,FALSE,"P. Machado";"InvestCons (Invest Consolidado)",#N/A,FALSE,"Invest Consolidado"}</definedName>
    <definedName name="wrn.Cons." localSheetId="11">{"EconCons",#N/A,TRUE,"Econômico - Consolidado";"CaixaCons",#N/A,TRUE,"Caixa - Consolidado";"InvestCons",#N/A,TRUE,"Invest Consolidado"}</definedName>
    <definedName name="wrn.Consolidado." localSheetId="11">{"Econ Consolidado",#N/A,FALSE,"Econ Consol";"Fluxo de Caixa",#N/A,FALSE,"Fluxo Caixa";"Investimentos",#N/A,FALSE,"Investimentos"}</definedName>
    <definedName name="wrn.GERAL." localSheetId="11">{#N/A,#N/A,FALSE,"ET-CAPA";#N/A,#N/A,FALSE,"ET-PAG1";#N/A,#N/A,FALSE,"ET-PAG2";#N/A,#N/A,FALSE,"ET-PAG3";#N/A,#N/A,FALSE,"ET-PAG4";#N/A,#N/A,FALSE,"ET-PAG5"}</definedName>
    <definedName name="wrn.HAGE." localSheetId="11">{#N/A,#N/A,FALSE,"cdi";#N/A,#N/A,FALSE,"debent";#N/A,#N/A,FALSE,"fdos";#N/A,#N/A,FALSE,"resumo"}</definedName>
    <definedName name="wrn.HAGE01" localSheetId="11">{#N/A,#N/A,FALSE,"cdi";#N/A,#N/A,FALSE,"debent";#N/A,#N/A,FALSE,"fdos";#N/A,#N/A,FALSE,"resumo"}</definedName>
    <definedName name="wrn.HW." localSheetId="11">{"HW",#N/A,FALSE,"1998"}</definedName>
    <definedName name="wrn.imp_flx." localSheetId="11">{#N/A,#N/A,FALSE,"CONSOLID";#N/A,#N/A,FALSE,"CIMENTO";#N/A,#N/A,FALSE,"METALURGIA";#N/A,#N/A,FALSE,"PAPEL";#N/A,#N/A,FALSE,"QUÍMICA";#N/A,#N/A,FALSE,"AGROINDL";#N/A,#N/A,FALSE,"OUTROS";#N/A,#N/A,FALSE,"REAL_ORCADO"}</definedName>
    <definedName name="wrn.IMPRESSO." localSheetId="11">{#N/A,#N/A,FALSE,"Plan1";#N/A,#N/A,FALSE,"Plan2"}</definedName>
    <definedName name="wrn.Imprimir." localSheetId="11">{"tabela",#N/A,FALSE,"Tabela";"decoração",#N/A,FALSE,"Decor.";"Informações",#N/A,FALSE,"Inform."}</definedName>
    <definedName name="wrn.LPU._.MG." localSheetId="11">{"MG-2002-F1",#N/A,FALSE,"PPU-Telemig";"MG-2002-F2",#N/A,FALSE,"PPU-Telemig";"MG-2002-F3",#N/A,FALSE,"PPU-Telemig";"MG-2002-F4",#N/A,FALSE,"PPU-Telemig";"MG-2003-F1",#N/A,FALSE,"PPU-Telemig";"MG-2004-F1",#N/A,FALSE,"PPU-Telemig"}</definedName>
    <definedName name="wrn.MGM機器リスト." localSheetId="11">{#N/A,#N/A,TRUE,"表紙";#N/A,#N/A,TRUE,"DMC合成";#N/A,#N/A,TRUE,"DMC回収･精製";#N/A,#N/A,TRUE,"MPC工程";#N/A,#N/A,TRUE,"DPC工程";#N/A,#N/A,TRUE,"ANI工程";#N/A,#N/A,TRUE,"PHOｰ触媒工程";#N/A,#N/A,TRUE,"用役"}</definedName>
    <definedName name="wrn.mode_lev.xls." localSheetId="11">{#N/A,#N/A,FALSE,"ALVENARIA";#N/A,#N/A,FALSE,"BLOCOS";#N/A,#N/A,FALSE,"CINTAS";#N/A,#N/A,FALSE,"CORTINA";#N/A,#N/A,FALSE,"LAJES";#N/A,#N/A,FALSE,"PILARES";#N/A,#N/A,FALSE,"VIGAS"}</definedName>
    <definedName name="wrn.Month._.Report._.Package." localSheetId="11">{#N/A,#N/A,FALSE,"Global Wls Trend";#N/A,#N/A,FALSE,"Region Trend";#N/A,#N/A,FALSE,"PBU Trend"}</definedName>
    <definedName name="wrn.Monthly._.Report._.Package." localSheetId="11">{#N/A,#N/A,FALSE,"Global by BU";#N/A,#N/A,FALSE,"U.S. by BU";#N/A,#N/A,FALSE,"Canada by BU";#N/A,#N/A,FALSE,"Europe by BU";#N/A,#N/A,FALSE,"Asia by BU";#N/A,#N/A,FALSE,"Cala by BU"}</definedName>
    <definedName name="wrn.PENDENCIAS.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wrn.Planiha._.de._.Medição._.F._.01." localSheetId="11">{#N/A,#N/A,FALSE,"F-01"}</definedName>
    <definedName name="wrn.Planiha._.de._.Medição._.F._.01._1" localSheetId="11">{#N/A,#N/A,FALSE,"F-01"}</definedName>
    <definedName name="wrn.Planilha_de_Medição_F_02" localSheetId="11">{#N/A,#N/A,FALSE,"F-01"}</definedName>
    <definedName name="wrn.print._.all." localSheetId="11">{#N/A,#N/A,FALSE,"$170M Cash";#N/A,#N/A,FALSE,"$250M Cash";#N/A,#N/A,FALSE,"$325M Cash"}</definedName>
    <definedName name="wrn.PrintAll." localSheetId="11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localSheetId="11">{#N/A,#N/A,FALSE,"Sheet1";#N/A,#N/A,FALSE,"Sheet2";#N/A,#N/A,FALSE,"Sheet3"}</definedName>
    <definedName name="wrn.PrintPrev1." localSheetId="11">{#N/A,#N/A,FALSE,"Sheet4";#N/A,#N/A,FALSE,"Sheet5";#N/A,#N/A,FALSE,"Sheet6"}</definedName>
    <definedName name="wrn.PrintPrev2." localSheetId="11">{#N/A,#N/A,FALSE,"Sheet7";#N/A,#N/A,FALSE,"Sheet8";#N/A,#N/A,FALSE,"Sheet9"}</definedName>
    <definedName name="wrn.Quadros._.relatório." localSheetId="1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wrn.REPORT." localSheetId="11">{#N/A,#N/A,FALSE,"표지";#N/A,#N/A,FALSE,"목차";#N/A,#N/A,FALSE,"내용1";#N/A,#N/A,FALSE,"내용2";#N/A,#N/A,FALSE,"결론";#N/A,#N/A,FALSE,"첨부";#N/A,#N/A,FALSE,"진공도달시간";#N/A,#N/A,FALSE,"배가스속도"}</definedName>
    <definedName name="wrn.STAFFS." localSheetId="11">{#N/A,#N/A,FALSE,"TABLE"}</definedName>
    <definedName name="wrn.TERCEIRO." localSheetId="1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RCEIRO01" localSheetId="11">{#N/A,#N/A,FALSE,"corret.gmotors";#N/A,#N/A,FALSE,"front.gv";#N/A,#N/A,FALSE,"correto.sandi";#N/A,#N/A,FALSE,"agrorio.rod.agric";#N/A,#N/A,FALSE,"promo.postop";#N/A,#N/A,FALSE,"rodocred.sandi";#N/A,#N/A,FALSE,"correto.front";#N/A,#N/A,FALSE,"correto.j.piratini";#N/A,#N/A,FALSE,"riocamp.dm";#N/A,#N/A,FALSE,"campos.daihatsu ";#N/A,#N/A,FALSE,"cuiabá.daihatsu ";#N/A,#N/A,FALSE,"cirasa.daihatsu ";#N/A,#N/A,FALSE,"front.daihatsu";#N/A,#N/A,FALSE,"g.motors.daihatsu ";#N/A,#N/A,FALSE,"belem.daihatsu ";#N/A,#N/A,FALSE,"rioverm.daihatsu";#N/A,#N/A,FALSE,"rodocred.g.motors";#N/A,#N/A,FALSE,"rondo.sandi";#N/A,#N/A,FALSE,"promo.rodoren.";#N/A,#N/A,FALSE,"link.promo";#N/A,#N/A,FALSE,"verd.com.verd.sa";#N/A,#N/A,FALSE,"frigo.ruy";#N/A,#N/A,FALSE,"correto.daihatsu";#N/A,#N/A,FALSE,"gv.belem";#N/A,#N/A,FALSE,"front.dm";#N/A,#N/A,FALSE,"rond.corret";#N/A,#N/A,FALSE,"rioverm.corret";#N/A,#N/A,FALSE,"corret.cuiabá";#N/A,#N/A,FALSE,"agro.fazbacuri";#N/A,#N/A,FALSE,"corret.dm";#N/A,#N/A,FALSE,"verdade.dm";#N/A,#N/A,FALSE,"rioverm.dm";#N/A,#N/A,FALSE,"rond.dm";#N/A,#N/A,FALSE,"cuiabá.dm";#N/A,#N/A,FALSE,"verdcom.dm";#N/A,#N/A,FALSE,"gv.gmotors";#N/A,#N/A,FALSE,"lavínia.dm";#N/A,#N/A,FALSE,"gv.sandíesel";#N/A,#N/A,FALSE,"corret.wvjr";#N/A,#N/A,FALSE,"daihatsu.factoring";#N/A,#N/A,FALSE,"sadive.dm";#N/A,#N/A,FALSE,"corret.cuiabá";#N/A,#N/A,FALSE,"corret.hsf";#N/A,#N/A,FALSE,"cirasa.gminas";#N/A,#N/A,FALSE,"fazbac.rodagric"}</definedName>
    <definedName name="wrn.test1." localSheetId="11">{#N/A,#N/A,FALSE,"명세표"}</definedName>
    <definedName name="wrn.Unidades." localSheetId="11">{"Rio Branco",#N/A,FALSE,"Rio Branco";"Itajaí",#N/A,FALSE,"Itajaí";"Pinheiro Machado",#N/A,FALSE,"PMachado";"Esteio",#N/A,FALSE,"Esteio"}</definedName>
    <definedName name="wrn.VESSEL및N2._.구입사양서.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견적." localSheetId="11">{#N/A,#N/A,FALSE,"Sheet1";#N/A,#N/A,FALSE,"Sheet2";#N/A,#N/A,FALSE,"TAB96-1"}</definedName>
    <definedName name="wrn.보호계전기." localSheetId="11">{#N/A,#N/A,FALSE,"ENG'G(보호계전기)"}</definedName>
    <definedName name="wrn.현장._.NCR._.분석." localSheetId="11">{#N/A,#N/A,FALSE,"현장 NCR 분석";#N/A,#N/A,FALSE,"현장품질감사";#N/A,#N/A,FALSE,"현장품질감사"}</definedName>
    <definedName name="wrn1.Cons." localSheetId="11">{"EconCons",#N/A,TRUE,"Econômico - Consolidado";"CaixaCons",#N/A,TRUE,"Caixa - Consolidado";"InvestCons",#N/A,TRUE,"Invest Consolidado"}</definedName>
    <definedName name="wrn1.print._.all." localSheetId="11">{#N/A,#N/A,FALSE,"$170M Cash";#N/A,#N/A,FALSE,"$250M Cash";#N/A,#N/A,FALSE,"$325M Cash"}</definedName>
    <definedName name="WRS" localSheetId="11">{"'장비'!$A$3:$M$12"}</definedName>
    <definedName name="wrt" localSheetId="11">{#N/A,#N/A,FALSE,"$170M Cash";#N/A,#N/A,FALSE,"$250M Cash";#N/A,#N/A,FALSE,"$325M Cash"}</definedName>
    <definedName name="wvu.PLANILHA2.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ww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wwwwwww" localSheetId="11">{"'Ethernet Hubs'!$A$1:$F$14","'Licences'!$A$1:$F$16","'Ports and Converters'!$A$1:$F$46","'Standard Routers'!$A$1:$F$28","'Ports and Converters'!$A$1:$G$46","'Router Chassis'!$A$1:$F$21","'Cables and Connectors'!$A$1:$F$41","'Support, Training and Docs'!$A$1:$F$6","'Management'!$A$1:$F$8"}</definedName>
    <definedName name="xcfrt" localSheetId="11">{#N/A,#N/A,FALSE,"Plan1";#N/A,#N/A,FALSE,"Plan2"}</definedName>
    <definedName name="xcgjkfghf" localSheetId="11">{#N/A,#N/A,FALSE,"Plan1";#N/A,#N/A,FALSE,"Plan2"}</definedName>
    <definedName name="XCGJKVHFDG" localSheetId="11">{#N/A,#N/A,FALSE,"Plan1";#N/A,#N/A,FALSE,"Plan2"}</definedName>
    <definedName name="xcgtrty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CGVR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çl" localSheetId="11">{#N/A,#N/A,FALSE,"Plan1";#N/A,#N/A,FALSE,"Plan2"}</definedName>
    <definedName name="xcndj" localSheetId="11">{#N/A,#N/A,FALSE,"Plan1";#N/A,#N/A,FALSE,"Plan2"}</definedName>
    <definedName name="XCVGGT" localSheetId="11">{#N/A,#N/A,FALSE,"Plan1";#N/A,#N/A,FALSE,"Plan2"}</definedName>
    <definedName name="xcvrg" localSheetId="11">{#N/A,#N/A,FALSE,"Plan1";#N/A,#N/A,FALSE,"Plan2"}</definedName>
    <definedName name="xdfef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dgtyhyt" localSheetId="11">{#N/A,#N/A,FALSE,"Plan1";#N/A,#N/A,FALSE,"Plan2"}</definedName>
    <definedName name="xfdlfj" localSheetId="11">{#N/A,#N/A,FALSE,"Plan1";#N/A,#N/A,FALSE,"Plan2"}</definedName>
    <definedName name="xfdxfdf" localSheetId="11">{#N/A,#N/A,FALSE,"Plan1";#N/A,#N/A,FALSE,"Plan2"}</definedName>
    <definedName name="XFJKLDJKLGJ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rty" localSheetId="11">{#N/A,#N/A,FALSE,"Plan1";#N/A,#N/A,FALSE,"Plan2"}</definedName>
    <definedName name="XFT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xfvchdhhd" localSheetId="11">{"Econ Consolidado",#N/A,FALSE,"Econ Consol";"Fluxo de Caixa",#N/A,FALSE,"Fluxo Caixa";"Investimentos",#N/A,FALSE,"Investimentos"}</definedName>
    <definedName name="xfvgcfgt" localSheetId="11">{#N/A,#N/A,FALSE,"Plan1";#N/A,#N/A,FALSE,"Plan2"}</definedName>
    <definedName name="xgrg" localSheetId="11">{#N/A,#N/A,FALSE,"Plan1";#N/A,#N/A,FALSE,"Plan2"}</definedName>
    <definedName name="xmght" localSheetId="11">{#N/A,#N/A,FALSE,"Plan1";#N/A,#N/A,FALSE,"Plan2"}</definedName>
    <definedName name="xo" localSheetId="11">{#N/A,#N/A,FALSE,"Global by BU";#N/A,#N/A,FALSE,"U.S. by BU";#N/A,#N/A,FALSE,"Canada by BU";#N/A,#N/A,FALSE,"Europe by BU";#N/A,#N/A,FALSE,"Asia by BU";#N/A,#N/A,FALSE,"Cala by BU"}</definedName>
    <definedName name="xxx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" localSheetId="11">#REF!</definedName>
    <definedName name="XXXXX" localSheetId="11">{#N/A,#N/A,FALSE,"GERAL";#N/A,#N/A,FALSE,"012-96";#N/A,#N/A,FALSE,"018-96";#N/A,#N/A,FALSE,"027-96";#N/A,#N/A,FALSE,"059-96";#N/A,#N/A,FALSE,"076-96";#N/A,#N/A,FALSE,"019-97";#N/A,#N/A,FALSE,"021-97";#N/A,#N/A,FALSE,"022-97";#N/A,#N/A,FALSE,"028-97"}</definedName>
    <definedName name="xxxxxxxxxxxx" localSheetId="11">{"'Edit'!$A$1:$V$2277"}</definedName>
    <definedName name="xxxxxxxxxxxxxx" localSheetId="11">{#N/A,#N/A,FALSE,"Plan1";#N/A,#N/A,FALSE,"Plan2"}</definedName>
    <definedName name="xzfrt" localSheetId="11">{#N/A,#N/A,FALSE,"Plan1";#N/A,#N/A,FALSE,"Plan2"}</definedName>
    <definedName name="yeitrtged" localSheetId="11">{#N/A,#N/A,FALSE,"Plan1";#N/A,#N/A,FALSE,"Plan2"}</definedName>
    <definedName name="yhdfiuygrui" localSheetId="11">{#N/A,#N/A,FALSE,"Plan1";#N/A,#N/A,FALSE,"Plan2"}</definedName>
    <definedName name="YRGUYDRIY" localSheetId="11">{"Econ Consolidado",#N/A,FALSE,"Econ Consol";"Fluxo de Caixa",#N/A,FALSE,"Fluxo Caixa";"Investimentos",#N/A,FALSE,"Investimentos"}</definedName>
    <definedName name="yuegursdmksf" localSheetId="11">{#N/A,#N/A,FALSE,"Plan1";#N/A,#N/A,FALSE,"Plan2"}</definedName>
    <definedName name="yuekl4fr" localSheetId="11">{#N/A,#N/A,FALSE,"Plan1";#N/A,#N/A,FALSE,"Plan2"}</definedName>
    <definedName name="yureytuyrea" localSheetId="11">{#N/A,#N/A,FALSE,"Plan1";#N/A,#N/A,FALSE,"Plan2"}</definedName>
    <definedName name="z" localSheetId="11">{"'Estimativa de Lançamento-JAN'!$A$1:$AI$85"}</definedName>
    <definedName name="zcdçskld" localSheetId="11">{#N/A,#N/A,FALSE,"Plan1";#N/A,#N/A,FALSE,"Plan2"}</definedName>
    <definedName name="zcsdrfrt" localSheetId="11">{#N/A,#N/A,FALSE,"Plan1";#N/A,#N/A,FALSE,"Plan2"}</definedName>
    <definedName name="ZDRE" localSheetId="11">{#N/A,#N/A,FALSE,"Plan1";#N/A,#N/A,FALSE,"Plan2"}</definedName>
    <definedName name="ZSADF" localSheetId="11">{#N/A,#N/A,FALSE,"Plan1";#N/A,#N/A,FALSE,"Plan2"}</definedName>
    <definedName name="zsads" localSheetId="11">{#N/A,#N/A,FALSE,"Plan1";#N/A,#N/A,FALSE,"Plan2"}</definedName>
    <definedName name="zsds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sdwer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ccdf" localSheetId="11">{#N/A,#N/A,FALSE,"Plan1";#N/A,#N/A,FALSE,"Plan2"}</definedName>
    <definedName name="zxcfdstrrt" localSheetId="11">{#N/A,#N/A,FALSE,"Plan1";#N/A,#N/A,FALSE,"Plan2"}</definedName>
    <definedName name="zxcx" localSheetId="11">{#N/A,#N/A,FALSE,"Plan1";#N/A,#N/A,FALSE,"Plan2"}</definedName>
    <definedName name="ZXFCRF" localSheetId="11">{TRUE,TRUE,-1.25,-15.5,604.5,366.75,FALSE,FALSE,TRUE,TRUE,0,1,#N/A,1,#N/A,9.0125,24.4117647058824,1,FALSE,FALSE,3,TRUE,1,FALSE,100,"Swvu.PLANILHA2.","ACwvu.PLANILHA2.",#N/A,FALSE,FALSE,0.787401575,0.34,0.46,0.5,1,"","",FALSE,FALSE,FALSE,FALSE,1,#N/A,1,1,FALSE,FALSE,#N/A,#N/A,FALSE,FALSE,FALSE,9,65532,65532,FALSE,FALSE,TRUE,TRUE,TRUE}</definedName>
    <definedName name="ZXFHDFRHDF" localSheetId="11">{#N/A,#N/A,FALSE,"Plan1";#N/A,#N/A,FALSE,"Plan2"}</definedName>
    <definedName name="zzdftr" localSheetId="11">{#N/A,#N/A,FALSE,"Plan1";#N/A,#N/A,FALSE,"Plan2"}</definedName>
    <definedName name="zzz" localSheetId="11">{#N/A,#N/A,FALSE,"QD_F1 Invest Detalhado";#N/A,#N/A,FALSE,"QD_F3 Invest_Comparado";#N/A,#N/A,FALSE,"QD_B Trafego";#N/A,#N/A,FALSE,"QD_D0 Custos Operacionais";#N/A,#N/A,FALSE,"QD_C Receita";#N/A,#N/A,FALSE,"QD_D Custos";#N/A,#N/A,FALSE,"QD_E Resultado";#N/A,#N/A,FALSE,"QD_G Fluxo Caixa"}</definedName>
    <definedName name="ㄱ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ㄷㄱㄷㄱㄱㅎㄺㄷ" localSheetId="11">{"'장비'!$A$3:$M$12"}</definedName>
    <definedName name="검증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견적가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고문" localSheetId="11">{#N/A,#N/A,FALSE,"현장 NCR 분석";#N/A,#N/A,FALSE,"현장품질감사";#N/A,#N/A,FALSE,"현장품질감사"}</definedName>
    <definedName name="고문2" localSheetId="11">{#N/A,#N/A,FALSE,"현장 NCR 분석";#N/A,#N/A,FALSE,"현장품질감사";#N/A,#N/A,FALSE,"현장품질감사"}</definedName>
    <definedName name="공공공표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구분표_수정" localSheetId="11">{#N/A,#N/A,FALSE,"ENG'G(보호계전기)"}</definedName>
    <definedName name="공급표표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진도율적용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광양1소결합리화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3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자재3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내역" localSheetId="11">{#N/A,#N/A,FALSE,"CCTV"}</definedName>
    <definedName name="ㄷㄳ" localSheetId="11">{"'장비'!$A$3:$M$12"}</definedName>
    <definedName name="ㄷㄷㄷㄷ" localSheetId="11">{"'장비'!$A$3:$M$12"}</definedName>
    <definedName name="ㄷㅈㅂㄷ" localSheetId="11">{"'장비'!$A$3:$M$12"}</definedName>
    <definedName name="ㄹㄹ" localSheetId="11">{"'장비'!$A$3:$M$12"}</definedName>
    <definedName name="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러러러" localSheetId="11">{#N/A,#N/A,FALSE,"현장 NCR 분석";#N/A,#N/A,FALSE,"현장품질감사";#N/A,#N/A,FALSE,"현장품질감사"}</definedName>
    <definedName name="ㅁ" localSheetId="11">{#N/A,#N/A,FALSE,"명세표"}</definedName>
    <definedName name="ㅁ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ㄹ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ㄴㅇㄻㄴㅇㄻㄴㅇ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ㄴㅇㄻㅁㅁ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ㅁ" localSheetId="11">{#N/A,#N/A,FALSE,"명세표"}</definedName>
    <definedName name="ㅁㅁㅁㅁㅁㅁㅁㅁㅁㅁㅁㅁ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ㅇㄻ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머" localSheetId="11">{#N/A,#N/A,FALSE,"명세표"}</definedName>
    <definedName name="ㅂㅂㅂㅂ" localSheetId="11">{#N/A,#N/A,FALSE,"명세표"}</definedName>
    <definedName name="ㅂㅂㅂㅂㅂㅂㅂ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ㅈㄱㅂㅈㄷㄱ" localSheetId="11">{"'장비'!$A$3:$M$12"}</definedName>
    <definedName name="ㅂㅈㄷ" localSheetId="11">{"'장비'!$A$3:$M$12"}</definedName>
    <definedName name="ㅂㅈㄷㄷㅂㅈㅈㅂ" localSheetId="11">{"'장비'!$A$3:$M$12"}</definedName>
    <definedName name="ㅂㅈㄷㅂㅈ" localSheetId="11">{"'장비'!$A$3:$M$12"}</definedName>
    <definedName name="ㅂㅈㄷㅂㅈㅈㅂㄷ" localSheetId="11">{"'장비'!$A$3:$M$12"}</definedName>
    <definedName name="ㅂㅈㄷㅈㅂㄷ" localSheetId="11">{"'장비'!$A$3:$M$12"}</definedName>
    <definedName name="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11">{#N/A,#N/A,FALSE,"ENG'G(보호계전기)"}</definedName>
    <definedName name="본공사공정표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손익" localSheetId="11">{#N/A,#N/A,FALSE,"현장 NCR 분석";#N/A,#N/A,FALSE,"현장품질감사";#N/A,#N/A,FALSE,"현장품질감사"}</definedName>
    <definedName name="분야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ㅅㄱㄱㄷ" localSheetId="11">{"'장비'!$A$3:$M$12"}</definedName>
    <definedName name="ㅅㅅㅅㅅㅅ" localSheetId="11">{"'장비'!$A$3:$M$12"}</definedName>
    <definedName name="사업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사업관리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새안" localSheetId="11">{#N/A,#N/A,FALSE,"TABLE"}</definedName>
    <definedName name="석항" localSheetId="11">{#N/A,#N/A,FALSE,"명세표"}</definedName>
    <definedName name="설계현황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과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쇼ㅗㅎ로" localSheetId="11">{"'장비'!$A$3:$M$12"}</definedName>
    <definedName name="신설" localSheetId="11">{#N/A,#N/A,FALSE,"명세표"}</definedName>
    <definedName name="ㅇㅇ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변경123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양식적용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구조건참조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.......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인력기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ㅈ" localSheetId="11">{#N/A,#N/A,FALSE,"명세표"}</definedName>
    <definedName name="ㅈㅈㅈㅈ" localSheetId="11">{#N/A,#N/A,FALSE,"명세표"}</definedName>
    <definedName name="자미" localSheetId="11">{#N/A,#N/A,FALSE,"명세표"}</definedName>
    <definedName name="자재3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종합설계현황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중량비교검토" localSheetId="11">{#N/A,#N/A,FALSE,"ENG'G(보호계전기)"}</definedName>
    <definedName name="집계" localSheetId="11">{#N/A,#N/A,FALSE,"명세표"}</definedName>
    <definedName name="철골공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2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추가E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ㅋㅁ" localSheetId="11">{#N/A,#N/A,FALSE,"명세표"}</definedName>
    <definedName name="ㅋㅋㅋ" localSheetId="11">{#N/A,#N/A,FALSE,"명세표"}</definedName>
    <definedName name="ㅌㅌ" localSheetId="11">{#N/A,#N/A,FALSE,"명세표"}</definedName>
    <definedName name="토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토목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ㅎㅎㅎㅎ" localSheetId="11">{"'장비'!$A$3:$M$12"}</definedName>
    <definedName name="하하하" localSheetId="11">{#N/A,#N/A,FALSE,"명세표"}</definedName>
    <definedName name="한국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현장계기류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협력1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호호" localSheetId="11">{#N/A,#N/A,FALSE,"명세표"}</definedName>
    <definedName name="ㅏㅏㅏ" localSheetId="11">{#N/A,#N/A,FALSE,"명세표"}</definedName>
    <definedName name="ㅔㅔ" localSheetId="11">{#N/A,#N/A,FALSE,"명세표"}</definedName>
    <definedName name="ㅔㅔㅔㅔㅔ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홓ㅎ로" localSheetId="11">{"'장비'!$A$3:$M$12"}</definedName>
    <definedName name="ㅗㅗ" localSheetId="11">{#N/A,#N/A,FALSE,"명세표"}</definedName>
    <definedName name="ㅗㅗㅗㅗㅗ" localSheetId="11">{"'장비'!$A$3:$M$12"}</definedName>
    <definedName name="ㅛ" localSheetId="11">{"'장비'!$A$3:$M$12"}</definedName>
    <definedName name="ㅛㅕㅛㅕㅛ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ㅛㅛㅛ" localSheetId="11">{"'장비'!$A$3:$M$12"}</definedName>
    <definedName name="ㅜ" localSheetId="11">{#N/A,#N/A,FALSE,"명세표"}</definedName>
    <definedName name="ㅠㅠ" localSheetId="1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ㅡㅡ" localSheetId="11">{#N/A,#N/A,FALSE,"명세표"}</definedName>
    <definedName name="_xlnm._FilterDatabase" localSheetId="11" hidden="1">'Insumos'!$A$1:$G$996</definedName>
  </definedNames>
  <calcPr calcId="191029" fullCalcOnLoad="1"/>
</workbook>
</file>

<file path=xl/styles.xml><?xml version="1.0" encoding="utf-8"?>
<styleSheet xmlns="http://schemas.openxmlformats.org/spreadsheetml/2006/main">
  <numFmts count="36">
    <numFmt numFmtId="164" formatCode="_-* #,##0.00_-;\-* #,##0.00_-;_-* &quot;-&quot;??_-;_-@"/>
    <numFmt numFmtId="165" formatCode="_-* #,##0.000_-;\-* #,##0.000_-;_-* &quot;-&quot;??_-;_-@"/>
    <numFmt numFmtId="166" formatCode="_-* #,##0.00000_-;\-* #,##0.00000_-;_-* &quot;-&quot;??_-;_-@"/>
    <numFmt numFmtId="167" formatCode="_0.000\-&quot;Correção&quot;"/>
    <numFmt numFmtId="168" formatCode="dd/mm/yy"/>
    <numFmt numFmtId="169" formatCode="0#"/>
    <numFmt numFmtId="170" formatCode="00#"/>
    <numFmt numFmtId="171" formatCode="_(&quot;R$&quot;* #,##0.00_);_(&quot;R$&quot;* \(#,##0.00\);_(&quot;R$&quot;* &quot;-&quot;??_);_(@_)"/>
    <numFmt numFmtId="172" formatCode="dd/mm/yy;@"/>
    <numFmt numFmtId="173" formatCode="_-* #,##0.00_-;\-* #,##0.00_-;_-* &quot;-&quot;??_-;_-@_-"/>
    <numFmt numFmtId="174" formatCode="_-* #,##0.00000_-;\-* #,##0.00000_-;_-* &quot;-&quot;??_-;_-@_-"/>
    <numFmt numFmtId="175" formatCode="_-&quot;R$&quot;\ * #,##0.00_-;\-&quot;R$&quot;\ * #,##0.00_-;_-&quot;R$&quot;\ * &quot;-&quot;??_-;_-@_-"/>
    <numFmt numFmtId="176" formatCode="00\ &quot;Meses&quot;"/>
    <numFmt numFmtId="177" formatCode="00\ &quot;un&quot;"/>
    <numFmt numFmtId="178" formatCode="#,##0.0"/>
    <numFmt numFmtId="179" formatCode="_-&quot;R$&quot;\ * #,##0.0000_-;\-&quot;R$&quot;\ * #,##0.0000_-;_-&quot;R$&quot;\ * &quot;-&quot;??_-;_-@_-"/>
    <numFmt numFmtId="180" formatCode="0.000%"/>
    <numFmt numFmtId="181" formatCode="0\ &quot;Mpa&quot;"/>
    <numFmt numFmtId="182" formatCode="_-&quot;R$&quot;\ * #,##0.00_-;\-&quot;R$&quot;\ * #,##0.00_-;_-&quot;R$&quot;\ * &quot;-&quot;??_-;_-@"/>
    <numFmt numFmtId="183" formatCode="_-* #,##0_-;\-* #,##0_-;_-* &quot;-&quot;??_-;_-@"/>
    <numFmt numFmtId="184" formatCode="_(* #,##0.0000_);_(* \(#,##0.0000\);_(* &quot;-&quot;??_);_(@_)"/>
    <numFmt numFmtId="185" formatCode="0.0000"/>
    <numFmt numFmtId="186" formatCode="&quot;R$&quot;\ #,##0.00;[Red]\-&quot;R$&quot;\ #,##0.00"/>
    <numFmt numFmtId="187" formatCode="mm/dd/yyyy;@"/>
    <numFmt numFmtId="188" formatCode="0.0"/>
    <numFmt numFmtId="189" formatCode="dd/mm/yyyy;@"/>
    <numFmt numFmtId="190" formatCode="00.00\ &quot;M²&quot;"/>
    <numFmt numFmtId="191" formatCode="#,##0.00&quot; m²&quot;"/>
    <numFmt numFmtId="192" formatCode="0.0000000000"/>
    <numFmt numFmtId="193" formatCode="_-* #,##0.0000_-;\-* #,##0.0000_-;_-* &quot;-&quot;??_-;_-@"/>
    <numFmt numFmtId="194" formatCode="\R&quot;R$&quot;&quot; &quot;#,##0.00"/>
    <numFmt numFmtId="195" formatCode="0%;0%;&quot;-&quot;"/>
    <numFmt numFmtId="196" formatCode="0.0%"/>
    <numFmt numFmtId="197" formatCode="_-[$R$-416]\ * #,##0.00_-;\-[$R$-416]\ * #,##0.00_-;_-[$R$-416]\ * &quot;-&quot;??_-;_-@_-"/>
    <numFmt numFmtId="198" formatCode="#,##0.0000"/>
    <numFmt numFmtId="199" formatCode="_-&quot;R$&quot;* #,##0.00_-;\-&quot;R$&quot;* #,##0.00_-;_-&quot;R$&quot;* &quot;-&quot;??_-;_-@_-"/>
  </numFmts>
  <fonts count="234">
    <font>
      <name val="Arial"/>
      <color rgb="FF000000"/>
      <sz val="10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sz val="10"/>
    </font>
    <font>
      <name val="Calibri"/>
      <family val="2"/>
      <color theme="1"/>
      <sz val="9"/>
    </font>
    <font>
      <name val="Calibri"/>
      <family val="2"/>
      <color theme="1"/>
      <sz val="11"/>
    </font>
    <font>
      <name val="Arial"/>
      <family val="2"/>
      <color theme="1"/>
      <sz val="10"/>
    </font>
    <font>
      <name val="Calibri"/>
      <family val="2"/>
      <b val="1"/>
      <color theme="0"/>
      <sz val="8"/>
    </font>
    <font>
      <name val="Calibri"/>
      <family val="2"/>
      <color theme="1"/>
      <sz val="8"/>
    </font>
    <font>
      <name val="Arial"/>
      <family val="2"/>
      <b val="1"/>
      <color theme="0"/>
      <sz val="7"/>
    </font>
    <font>
      <name val="Arial"/>
      <family val="2"/>
      <color theme="1"/>
      <sz val="7"/>
    </font>
    <font>
      <name val="Arial"/>
      <family val="2"/>
      <color rgb="FF0000FF"/>
      <sz val="7"/>
      <u val="single"/>
    </font>
    <font>
      <name val="Calibri"/>
      <family val="2"/>
      <color rgb="FF121212"/>
      <sz val="8"/>
    </font>
    <font>
      <name val="Arial"/>
      <family val="2"/>
      <b val="1"/>
      <color theme="1"/>
      <sz val="14"/>
    </font>
    <font>
      <name val="Arial"/>
      <family val="2"/>
      <color theme="1"/>
      <sz val="14"/>
    </font>
    <font>
      <name val="Calibri"/>
      <family val="2"/>
      <b val="1"/>
      <color theme="1"/>
      <sz val="9"/>
    </font>
    <font>
      <name val="Calibri"/>
      <family val="2"/>
      <color rgb="FF7F7F7F"/>
      <sz val="8"/>
    </font>
    <font>
      <name val="Calibri"/>
      <family val="2"/>
      <b val="1"/>
      <color theme="0"/>
      <sz val="10"/>
    </font>
    <font>
      <name val="Arial"/>
      <family val="2"/>
      <color rgb="FF7F7F7F"/>
      <sz val="8"/>
    </font>
    <font>
      <name val="Calibri"/>
      <family val="2"/>
      <b val="1"/>
      <color theme="0"/>
      <sz val="9"/>
    </font>
    <font>
      <name val="Calibri"/>
      <family val="2"/>
      <color rgb="FFFF0000"/>
      <sz val="8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Calibri"/>
      <family val="2"/>
      <color rgb="FF000000"/>
      <sz val="8"/>
    </font>
    <font>
      <name val="Arial"/>
      <family val="2"/>
      <b val="1"/>
      <color theme="0"/>
      <sz val="10"/>
    </font>
    <font>
      <name val="Poppins"/>
      <b val="1"/>
      <color theme="0"/>
      <sz val="18"/>
    </font>
    <font>
      <name val="Arial"/>
      <family val="2"/>
      <b val="1"/>
      <color theme="0"/>
      <sz val="14"/>
    </font>
    <font>
      <name val="Arial"/>
      <family val="2"/>
      <color theme="1"/>
      <sz val="12"/>
    </font>
    <font>
      <name val="Poppins"/>
      <b val="1"/>
      <color rgb="FF121212"/>
      <sz val="14"/>
    </font>
    <font>
      <name val="Poppins"/>
      <color rgb="FF121212"/>
      <sz val="14"/>
    </font>
    <font>
      <name val="Poppins"/>
      <color rgb="FF121212"/>
      <sz val="10"/>
    </font>
    <font>
      <name val="Poppins"/>
      <color rgb="FF121212"/>
      <sz val="8"/>
    </font>
    <font>
      <name val="Roboto"/>
      <color theme="1"/>
      <sz val="5"/>
    </font>
    <font>
      <name val="Roboto"/>
      <color theme="1"/>
      <sz val="10"/>
    </font>
    <font>
      <name val="Arial"/>
      <family val="2"/>
      <color rgb="FFFF0000"/>
      <sz val="7"/>
    </font>
    <font>
      <name val="Arial"/>
      <family val="2"/>
      <color rgb="FF000000"/>
      <sz val="10"/>
      <scheme val="minor"/>
    </font>
    <font>
      <name val="Arial"/>
      <family val="2"/>
      <sz val="11"/>
      <scheme val="minor"/>
    </font>
    <font>
      <name val="Arial"/>
      <family val="2"/>
      <sz val="10"/>
    </font>
    <font>
      <name val="Arial"/>
      <family val="2"/>
      <color theme="0" tint="-0.499984740745262"/>
      <sz val="8"/>
    </font>
    <font>
      <name val="Arial"/>
      <family val="2"/>
      <color rgb="FF000000"/>
      <sz val="10"/>
      <scheme val="minor"/>
    </font>
    <font>
      <name val="Arial"/>
      <family val="2"/>
      <sz val="8"/>
    </font>
    <font>
      <name val="Arial"/>
      <family val="2"/>
      <sz val="10"/>
      <scheme val="minor"/>
    </font>
    <font>
      <name val="Trebuchet MS"/>
      <family val="2"/>
      <sz val="8"/>
    </font>
    <font>
      <name val="Arial"/>
      <family val="2"/>
      <sz val="9"/>
      <scheme val="minor"/>
    </font>
    <font>
      <name val="Arial"/>
      <family val="2"/>
      <sz val="9.5"/>
      <scheme val="minor"/>
    </font>
    <font>
      <name val="Arial"/>
      <family val="2"/>
      <sz val="8"/>
      <scheme val="minor"/>
    </font>
    <font>
      <name val="Arial"/>
      <family val="2"/>
      <b val="1"/>
      <color theme="0"/>
      <sz val="8"/>
      <scheme val="minor"/>
    </font>
    <font>
      <name val="Arial"/>
      <family val="2"/>
      <b val="1"/>
      <color theme="0"/>
      <sz val="14"/>
      <scheme val="minor"/>
    </font>
    <font>
      <name val="Arial"/>
      <family val="2"/>
      <color rgb="FF121212"/>
      <sz val="8"/>
      <scheme val="minor"/>
    </font>
    <font>
      <name val="Arial"/>
      <family val="2"/>
      <color theme="1"/>
      <sz val="8"/>
      <scheme val="minor"/>
    </font>
    <font>
      <name val="Arial"/>
      <family val="2"/>
      <sz val="10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8" tint="-0.499984740745262"/>
      <sz val="10"/>
      <scheme val="minor"/>
    </font>
    <font>
      <name val="Arial"/>
      <family val="2"/>
      <b val="1"/>
      <sz val="8"/>
    </font>
    <font>
      <name val="Arial"/>
      <family val="2"/>
      <sz val="1"/>
      <scheme val="minor"/>
    </font>
    <font>
      <name val="Arial"/>
      <family val="2"/>
      <b val="1"/>
      <color theme="0"/>
      <sz val="9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sz val="9"/>
      <scheme val="minor"/>
    </font>
    <font>
      <name val="Poppins"/>
      <color theme="1"/>
      <sz val="11"/>
    </font>
    <font>
      <name val="Poppins"/>
      <b val="1"/>
      <color theme="1"/>
      <sz val="11"/>
    </font>
    <font>
      <name val="Poppins"/>
      <b val="1"/>
      <color theme="0"/>
      <sz val="11"/>
    </font>
    <font>
      <name val="Arial"/>
      <family val="2"/>
      <sz val="7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9.5"/>
      <scheme val="minor"/>
    </font>
    <font>
      <name val="Arial"/>
      <family val="2"/>
      <color theme="0" tint="-0.499984740745262"/>
      <sz val="8"/>
      <scheme val="minor"/>
    </font>
    <font>
      <name val="Arial"/>
      <family val="2"/>
      <color theme="10"/>
      <sz val="10"/>
      <u val="single"/>
    </font>
    <font>
      <name val="Arial"/>
      <family val="2"/>
      <color theme="10"/>
      <sz val="8"/>
      <u val="single"/>
    </font>
    <font>
      <name val="Arial"/>
      <family val="2"/>
      <color rgb="FFFF0000"/>
      <sz val="8"/>
      <scheme val="minor"/>
    </font>
    <font>
      <name val="Arial"/>
      <family val="2"/>
      <b val="1"/>
      <sz val="8"/>
      <scheme val="minor"/>
    </font>
    <font>
      <name val="Calibri"/>
      <family val="2"/>
      <sz val="11"/>
    </font>
    <font>
      <name val="Calibri"/>
      <family val="2"/>
      <b val="1"/>
      <color theme="1"/>
      <sz val="11"/>
    </font>
    <font>
      <name val="Poppins"/>
      <b val="1"/>
      <color rgb="FF121212"/>
      <sz val="10"/>
    </font>
    <font>
      <name val="Poppins"/>
      <b val="1"/>
      <color theme="0"/>
      <sz val="15"/>
    </font>
    <font>
      <name val="Poppins"/>
      <color rgb="FF121212"/>
      <sz val="11"/>
    </font>
    <font>
      <name val="Poppins"/>
      <b val="1"/>
      <color theme="0"/>
      <sz val="8"/>
    </font>
    <font>
      <name val="Poppins"/>
      <color rgb="FFFF0000"/>
      <sz val="8"/>
    </font>
    <font>
      <name val="Poppins"/>
      <color theme="1"/>
      <sz val="8"/>
    </font>
    <font>
      <name val="Poppins"/>
      <b val="1"/>
      <color rgb="FF121212"/>
      <sz val="8"/>
    </font>
    <font>
      <name val="Poppins"/>
      <b val="1"/>
      <color rgb="FFFF0000"/>
      <sz val="8"/>
    </font>
    <font>
      <name val="Poppins"/>
      <color theme="1"/>
      <sz val="9"/>
    </font>
    <font>
      <name val="Poppins"/>
      <b val="1"/>
      <color theme="1"/>
      <sz val="9"/>
    </font>
    <font>
      <name val="Poppins"/>
      <b val="1"/>
      <color theme="0"/>
      <sz val="9"/>
    </font>
    <font>
      <name val="Poppins"/>
      <color rgb="FFA5A5A5"/>
      <sz val="9"/>
    </font>
    <font>
      <name val="Poppins"/>
      <b val="1"/>
      <color rgb="FF7F7F7F"/>
      <sz val="9"/>
    </font>
    <font>
      <name val="Poppins"/>
      <color rgb="FF7F7F7F"/>
      <sz val="9"/>
    </font>
    <font>
      <name val="Poppins"/>
      <b val="1"/>
      <color theme="1"/>
      <sz val="9"/>
      <u val="single"/>
    </font>
    <font>
      <name val="Poppins"/>
      <color theme="0"/>
      <sz val="9"/>
    </font>
    <font>
      <name val="Arial"/>
      <family val="2"/>
      <b val="1"/>
      <color theme="0"/>
      <sz val="20"/>
      <scheme val="minor"/>
    </font>
    <font>
      <name val="Arial"/>
      <family val="2"/>
      <i val="1"/>
      <sz val="10"/>
      <scheme val="minor"/>
    </font>
    <font>
      <name val="Arial"/>
      <family val="2"/>
      <b val="1"/>
      <i val="1"/>
      <color theme="0"/>
      <sz val="9"/>
      <scheme val="minor"/>
    </font>
    <font>
      <name val="Arial"/>
      <family val="2"/>
      <i val="1"/>
      <color rgb="FF121212"/>
      <sz val="10"/>
      <scheme val="minor"/>
    </font>
    <font>
      <name val="Arial"/>
      <family val="2"/>
      <i val="1"/>
      <sz val="9"/>
      <scheme val="minor"/>
    </font>
    <font>
      <name val="Arial"/>
      <family val="2"/>
      <sz val="10"/>
    </font>
    <font>
      <name val="Poppins"/>
      <b val="1"/>
      <sz val="9"/>
    </font>
    <font>
      <name val="Poppins"/>
      <sz val="9"/>
    </font>
    <font>
      <name val="Arial"/>
      <family val="2"/>
      <b val="1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theme="0"/>
      <sz val="10"/>
      <scheme val="minor"/>
    </font>
    <font>
      <name val="Arial"/>
      <family val="2"/>
      <b val="1"/>
      <sz val="14"/>
      <scheme val="minor"/>
    </font>
    <font>
      <name val="Arial"/>
      <family val="2"/>
      <color rgb="FF1851D6"/>
      <sz val="11"/>
      <scheme val="minor"/>
    </font>
    <font>
      <name val="Arial"/>
      <family val="2"/>
      <color theme="0"/>
      <sz val="10"/>
    </font>
    <font>
      <name val="Arial"/>
      <family val="2"/>
      <b val="1"/>
      <sz val="10"/>
    </font>
    <font>
      <name val="Arial"/>
      <family val="2"/>
      <color theme="8" tint="-0.499984740745262"/>
      <sz val="10"/>
      <scheme val="minor"/>
    </font>
    <font>
      <name val="MS Sans Serif"/>
      <family val="2"/>
      <sz val="10"/>
    </font>
    <font>
      <name val="Arial"/>
      <family val="2"/>
      <b val="1"/>
      <color theme="0"/>
      <sz val="8"/>
    </font>
    <font>
      <name val="Arial"/>
      <family val="2"/>
      <color rgb="FF0000FF"/>
      <sz val="9"/>
      <scheme val="minor"/>
    </font>
    <font>
      <name val="Arial"/>
      <family val="2"/>
      <color theme="1"/>
      <sz val="12"/>
      <scheme val="minor"/>
    </font>
    <font>
      <name val="Arial"/>
      <family val="2"/>
      <color theme="1"/>
      <sz val="1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0"/>
      <sz val="12"/>
      <scheme val="minor"/>
    </font>
    <font>
      <name val="Arial"/>
      <family val="2"/>
      <b val="1"/>
      <color theme="0"/>
      <sz val="18"/>
      <scheme val="minor"/>
    </font>
    <font>
      <name val="Arial"/>
      <family val="2"/>
      <b val="1"/>
      <i val="1"/>
      <color theme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i val="1"/>
      <sz val="10"/>
      <scheme val="minor"/>
    </font>
    <font>
      <name val="Arial"/>
      <family val="2"/>
      <b val="1"/>
      <color rgb="FF121212"/>
      <sz val="14"/>
      <scheme val="minor"/>
    </font>
    <font>
      <name val="Arial"/>
      <family val="2"/>
      <color rgb="FF121212"/>
      <sz val="10"/>
      <scheme val="minor"/>
    </font>
    <font>
      <name val="Arial"/>
      <family val="2"/>
      <sz val="12"/>
      <scheme val="minor"/>
    </font>
    <font>
      <name val="Arial"/>
      <family val="2"/>
      <color theme="1"/>
      <sz val="14"/>
      <scheme val="minor"/>
    </font>
    <font>
      <name val="Arial Narrow"/>
      <family val="2"/>
      <color theme="1"/>
      <sz val="12"/>
    </font>
    <font>
      <name val="Roboto"/>
      <color theme="1"/>
      <sz val="14"/>
    </font>
    <font>
      <name val="Arial"/>
      <family val="2"/>
      <b val="1"/>
      <color theme="1"/>
      <sz val="12"/>
    </font>
    <font>
      <name val="Arial"/>
      <family val="2"/>
      <b val="1"/>
      <sz val="12"/>
    </font>
    <font>
      <name val="Arial"/>
      <family val="2"/>
      <b val="1"/>
      <color theme="0"/>
      <sz val="12"/>
    </font>
    <font>
      <name val="Arial"/>
      <family val="2"/>
      <sz val="12"/>
    </font>
    <font>
      <name val="Arial"/>
      <family val="2"/>
      <color rgb="FF1851D6"/>
      <sz val="9"/>
      <scheme val="minor"/>
    </font>
    <font>
      <name val="Calibri"/>
      <family val="2"/>
      <b val="1"/>
      <color theme="0"/>
      <sz val="11"/>
    </font>
    <font>
      <name val="Arial"/>
      <family val="2"/>
      <color rgb="FFFF0000"/>
      <sz val="12"/>
    </font>
    <font>
      <name val="Calibri"/>
      <family val="2"/>
      <sz val="8"/>
    </font>
    <font>
      <name val="Arial"/>
      <family val="2"/>
      <b val="1"/>
      <color theme="0"/>
      <sz val="11"/>
      <scheme val="minor"/>
    </font>
    <font>
      <name val="Times New Roman"/>
      <family val="1"/>
      <color rgb="FF000000"/>
      <sz val="10"/>
    </font>
    <font>
      <name val="Calibri"/>
      <family val="2"/>
      <color rgb="FF000000"/>
      <sz val="11"/>
    </font>
    <font>
      <name val="Calibri"/>
      <family val="2"/>
      <color rgb="FF205867"/>
      <sz val="11"/>
    </font>
    <font>
      <name val="Calibri"/>
      <family val="2"/>
      <i val="1"/>
      <color theme="1"/>
      <sz val="11"/>
    </font>
    <font>
      <name val="Arial"/>
      <color rgb="FF000000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1851D6"/>
      <sz val="11"/>
      <scheme val="minor"/>
    </font>
    <font>
      <name val="Segoe UI"/>
      <family val="2"/>
      <b val="1"/>
      <color indexed="81"/>
      <sz val="9"/>
    </font>
    <font>
      <name val="Segoe UI"/>
      <family val="2"/>
      <color indexed="81"/>
      <sz val="9"/>
    </font>
    <font>
      <name val="Arial"/>
      <family val="2"/>
      <b val="1"/>
      <color theme="1"/>
      <sz val="14"/>
      <scheme val="minor"/>
    </font>
    <font>
      <name val="Arial"/>
      <family val="2"/>
      <color rgb="FF0000FF"/>
      <sz val="7"/>
    </font>
    <font>
      <name val="Arial"/>
      <family val="2"/>
      <color rgb="FFFF0000"/>
      <sz val="11"/>
      <scheme val="minor"/>
    </font>
    <font>
      <name val="Poppins"/>
      <b val="1"/>
      <color theme="0"/>
      <sz val="10"/>
    </font>
    <font>
      <name val="Roboto"/>
      <b val="1"/>
      <sz val="8"/>
    </font>
    <font>
      <name val="Roboto"/>
      <sz val="8"/>
    </font>
    <font>
      <name val="Roboto"/>
      <b val="1"/>
      <sz val="7.5"/>
    </font>
    <font>
      <name val="Roboto"/>
      <sz val="7.5"/>
    </font>
    <font>
      <name val="Roboto"/>
      <family val="2"/>
      <color rgb="FF000000"/>
      <sz val="7.5"/>
    </font>
    <font>
      <name val="Arial"/>
      <color theme="1"/>
      <sz val="11"/>
      <scheme val="minor"/>
    </font>
    <font>
      <name val="Arial"/>
      <family val="2"/>
      <color theme="0" tint="-0.499984740745262"/>
      <sz val="11"/>
      <scheme val="minor"/>
    </font>
    <font>
      <name val="Poppins"/>
      <b val="1"/>
      <color rgb="FFFE3400"/>
      <sz val="18"/>
    </font>
    <font>
      <name val="Poppins"/>
      <b val="1"/>
      <color rgb="FF0000FF"/>
      <sz val="12"/>
    </font>
    <font>
      <name val="Poppins"/>
      <b val="1"/>
      <color rgb="FF002060"/>
      <sz val="11"/>
    </font>
    <font>
      <name val="Poppins"/>
      <sz val="10"/>
    </font>
    <font>
      <name val="Poppins"/>
      <b val="1"/>
      <color rgb="FFF5F5F5"/>
      <sz val="10"/>
    </font>
    <font>
      <name val="Poppins"/>
      <color theme="1"/>
      <sz val="10"/>
    </font>
    <font>
      <name val="Poppins"/>
      <b val="1"/>
      <color rgb="FF010000"/>
      <sz val="10"/>
    </font>
    <font>
      <name val="Poppins"/>
      <color rgb="FF010000"/>
      <sz val="10"/>
    </font>
    <font>
      <name val="Poppins"/>
      <b val="1"/>
      <color theme="1"/>
      <sz val="10"/>
    </font>
    <font>
      <name val="Arial"/>
      <family val="2"/>
      <color theme="0" tint="-0.499984740745262"/>
      <sz val="10"/>
    </font>
    <font>
      <name val="Calibri"/>
      <i val="1"/>
      <color rgb="FF666666"/>
      <sz val="8"/>
    </font>
    <font>
      <name val="Calibri"/>
      <b val="1"/>
      <color rgb="FF1F3864"/>
      <sz val="11"/>
    </font>
    <font>
      <name val="Calibri"/>
      <b val="1"/>
      <color rgb="FF1F3864"/>
      <sz val="9"/>
    </font>
    <font>
      <name val="Calibri"/>
      <b val="1"/>
      <color rgb="FFED7D31"/>
      <sz val="9"/>
    </font>
    <font>
      <name val="Calibri"/>
      <b val="1"/>
      <color rgb="FF4472C4"/>
      <sz val="9"/>
    </font>
    <font>
      <name val="Calibri"/>
      <color rgb="FF333333"/>
      <sz val="9"/>
    </font>
    <font>
      <name val="Calibri"/>
      <b val="1"/>
      <color rgb="FF333333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color rgb="FF666666"/>
      <sz val="8"/>
    </font>
    <font>
      <name val="Calibri"/>
      <b val="1"/>
      <color rgb="FFFFFFFF"/>
      <sz val="11"/>
    </font>
    <font>
      <name val="Calibri"/>
      <b val="1"/>
      <color rgb="FFFFFFFF"/>
      <sz val="14"/>
    </font>
    <font>
      <name val="Calibri"/>
      <b val="1"/>
      <sz val="10"/>
    </font>
    <font>
      <name val="Calibri"/>
      <b val="1"/>
      <sz val="11"/>
    </font>
    <font>
      <name val="Calibri"/>
      <b val="1"/>
      <color rgb="FF1A3A6E"/>
      <sz val="10"/>
    </font>
    <font>
      <name val="Calibri"/>
      <b val="1"/>
      <color rgb="FF2F5496"/>
      <sz val="10"/>
    </font>
    <font>
      <name val="Calibri"/>
      <b val="1"/>
      <i val="1"/>
      <color rgb="FF7F6000"/>
      <sz val="10"/>
    </font>
    <font>
      <name val="Calibri"/>
      <sz val="10"/>
    </font>
    <font>
      <name val="Calibri"/>
      <color rgb="FF333333"/>
      <sz val="10"/>
    </font>
    <font>
      <name val="Calibri"/>
      <color theme="8" tint="-0.499984740745262"/>
      <sz val="10"/>
    </font>
    <font>
      <name val="Calibri"/>
      <b val="1"/>
      <color rgb="FFFFFFFF"/>
      <sz val="11.5"/>
    </font>
    <font>
      <name val="Calibri"/>
      <b val="1"/>
      <color rgb="FF000000"/>
      <sz val="10"/>
    </font>
    <font>
      <name val="Poppins"/>
      <b val="1"/>
      <color rgb="FFFFFFFF"/>
      <sz val="10"/>
    </font>
    <font>
      <name val="Arial"/>
      <color rgb="FF333333"/>
      <sz val="11"/>
    </font>
    <font>
      <name val="Arial"/>
      <i val="1"/>
      <color rgb="FF666666"/>
      <sz val="9"/>
    </font>
    <font>
      <name val="Arial"/>
      <b val="1"/>
      <color rgb="FF666666"/>
      <sz val="9"/>
    </font>
    <font>
      <name val="Arial"/>
      <b val="1"/>
      <color rgb="FFFFFFFF"/>
      <sz val="12"/>
    </font>
    <font>
      <name val="Arial"/>
      <b val="1"/>
      <color rgb="FF000000"/>
      <sz val="11"/>
    </font>
    <font>
      <name val="Arial"/>
      <b val="1"/>
      <color rgb="FF333333"/>
      <sz val="11"/>
    </font>
    <font>
      <name val="Arial"/>
      <sz val="10"/>
    </font>
    <font>
      <name val="Arial"/>
      <b val="1"/>
      <sz val="10"/>
    </font>
    <font>
      <name val="Arial"/>
      <sz val="9.5"/>
    </font>
    <font>
      <name val="Calibri"/>
      <sz val="9"/>
    </font>
    <font>
      <name val="Calibri"/>
      <b val="1"/>
      <color rgb="FF2F5496"/>
      <sz val="11"/>
    </font>
    <font>
      <name val="Calibri"/>
      <b val="1"/>
      <color rgb="FF2F5496"/>
      <sz val="12"/>
    </font>
    <font>
      <name val="Arial"/>
      <family val="2"/>
      <i val="1"/>
      <color rgb="FF999999"/>
      <sz val="10"/>
      <scheme val="minor"/>
    </font>
    <font>
      <name val="Calibri"/>
      <family val="2"/>
      <color rgb="FFFFFFFF"/>
      <sz val="8"/>
    </font>
    <font>
      <name val="Calibri"/>
      <family val="2"/>
      <b val="1"/>
      <color rgb="FFFFFFFF"/>
      <sz val="8"/>
    </font>
    <font>
      <name val="Calibri"/>
      <family val="2"/>
      <b val="1"/>
      <color rgb="FF000000"/>
      <sz val="8"/>
    </font>
    <font>
      <name val="Arial"/>
      <family val="2"/>
      <b val="1"/>
      <color rgb="FFFFFFFF"/>
      <sz val="8"/>
      <scheme val="minor"/>
    </font>
    <font>
      <name val="Arial"/>
      <family val="2"/>
      <color rgb="FF000000"/>
      <sz val="8"/>
      <scheme val="minor"/>
    </font>
    <font>
      <name val="Arial"/>
      <family val="2"/>
      <b val="1"/>
      <color rgb="FF000000"/>
      <sz val="8"/>
      <scheme val="minor"/>
    </font>
    <font>
      <name val="Calibri"/>
      <family val="2"/>
      <b val="1"/>
      <color rgb="FF000000"/>
      <sz val="8"/>
      <u val="single"/>
    </font>
    <font>
      <name val="Calibri"/>
      <b val="1"/>
      <color rgb="FFFFFFFF"/>
      <sz val="12"/>
    </font>
    <font>
      <name val="Calibri"/>
      <i val="1"/>
      <sz val="10"/>
    </font>
    <font>
      <name val="Calibri"/>
      <b val="1"/>
      <sz val="12"/>
    </font>
  </fonts>
  <fills count="98">
    <fill>
      <patternFill/>
    </fill>
    <fill>
      <patternFill patternType="gray125"/>
    </fill>
    <fill>
      <patternFill patternType="solid">
        <fgColor rgb="FF1851D6"/>
        <bgColor rgb="FF1851D6"/>
      </patternFill>
    </fill>
    <fill>
      <patternFill patternType="solid">
        <fgColor rgb="FF255AE5"/>
        <bgColor rgb="FF255AE5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71A0DB"/>
        <bgColor rgb="FF71A0DB"/>
      </patternFill>
    </fill>
    <fill>
      <patternFill patternType="solid">
        <fgColor rgb="FFFFFF00"/>
        <bgColor rgb="FFFFFF00"/>
      </patternFill>
    </fill>
    <fill>
      <patternFill patternType="solid">
        <fgColor rgb="FF29292F"/>
        <bgColor rgb="FF29292F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121212"/>
        <bgColor rgb="FF121212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851D6"/>
        <bgColor indexed="64"/>
      </patternFill>
    </fill>
    <fill>
      <patternFill patternType="solid">
        <fgColor rgb="FF255A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9292F"/>
        <bgColor indexed="64"/>
      </patternFill>
    </fill>
    <fill>
      <patternFill patternType="solid">
        <fgColor theme="0"/>
        <bgColor rgb="FFDCDCDC"/>
      </patternFill>
    </fill>
    <fill>
      <patternFill patternType="solid">
        <fgColor theme="0" tint="-0.09997863704336681"/>
        <bgColor theme="0"/>
      </patternFill>
    </fill>
    <fill>
      <patternFill patternType="solid">
        <fgColor rgb="FF3F3F3F"/>
        <bgColor rgb="FF3F3F3F"/>
      </patternFill>
    </fill>
    <fill>
      <patternFill patternType="solid">
        <fgColor rgb="FF7F7F7F"/>
        <bgColor rgb="FF7F7F7F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theme="0" tint="-0.1499984740745262"/>
        <bgColor rgb="FF000000"/>
      </patternFill>
    </fill>
    <fill>
      <patternFill patternType="solid">
        <fgColor theme="0" tint="-0.1499984740745262"/>
        <bgColor rgb="FFF2F2F2"/>
      </patternFill>
    </fill>
    <fill>
      <patternFill patternType="solid">
        <fgColor rgb="FF255AE5"/>
        <bgColor rgb="FFFC3400"/>
      </patternFill>
    </fill>
    <fill>
      <patternFill patternType="solid">
        <fgColor theme="0" tint="-0.1499984740745262"/>
        <bgColor rgb="FFFC34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4F6"/>
        <bgColor indexed="64"/>
      </patternFill>
    </fill>
    <fill>
      <patternFill patternType="solid">
        <fgColor rgb="FF989DD0"/>
        <bgColor indexed="64"/>
      </patternFill>
    </fill>
    <fill>
      <patternFill patternType="solid">
        <fgColor rgb="FF571078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rgb="FFFC340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21212"/>
        <bgColor indexed="64"/>
      </patternFill>
    </fill>
    <fill>
      <patternFill patternType="solid">
        <fgColor rgb="FFA077B5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BBCEF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BFBFBF"/>
      </patternFill>
    </fill>
    <fill>
      <patternFill patternType="solid">
        <fgColor theme="0" tint="-0.1499984740745262"/>
        <bgColor rgb="FFFFFF00"/>
      </patternFill>
    </fill>
    <fill>
      <patternFill patternType="solid">
        <fgColor theme="0" tint="-0.249977111117893"/>
        <bgColor rgb="FF71A0DB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CCCCCC"/>
      </patternFill>
    </fill>
    <fill>
      <patternFill patternType="solid">
        <fgColor rgb="FFDDDDDD"/>
      </patternFill>
    </fill>
    <fill>
      <patternFill patternType="solid">
        <fgColor rgb="FFEDEDED"/>
      </patternFill>
    </fill>
    <fill>
      <patternFill patternType="solid">
        <fgColor theme="2" tint="-0.1499984740745262"/>
        <bgColor indexed="64"/>
      </patternFill>
    </fill>
    <fill>
      <patternFill patternType="solid">
        <fgColor rgb="FFD6E4F0"/>
        <bgColor rgb="FFD6E4F0"/>
      </patternFill>
    </fill>
    <fill>
      <patternFill patternType="solid">
        <fgColor rgb="FFFCE4D6"/>
        <bgColor rgb="FFFCE4D6"/>
      </patternFill>
    </fill>
    <fill>
      <patternFill patternType="solid">
        <fgColor rgb="FFDAE3F3"/>
        <bgColor rgb="FFDAE3F3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BF8F00"/>
        <bgColor rgb="FFBF8F00"/>
      </patternFill>
    </fill>
    <fill>
      <patternFill patternType="solid">
        <fgColor rgb="FF548235"/>
        <bgColor rgb="FF548235"/>
      </patternFill>
    </fill>
    <fill>
      <patternFill patternType="solid">
        <fgColor rgb="FF2E75B6"/>
        <bgColor rgb="FF2E75B6"/>
      </patternFill>
    </fill>
    <fill>
      <patternFill patternType="solid">
        <fgColor rgb="FFED7D31"/>
        <bgColor rgb="FFED7D31"/>
      </patternFill>
    </fill>
    <fill>
      <patternFill patternType="solid">
        <fgColor rgb="FF4472C4"/>
        <bgColor rgb="FF4472C4"/>
      </patternFill>
    </fill>
    <fill>
      <patternFill patternType="solid">
        <fgColor rgb="FF1F3864"/>
        <bgColor rgb="FF1F3864"/>
      </patternFill>
    </fill>
    <fill>
      <patternFill patternType="solid">
        <fgColor rgb="FF2F5496"/>
        <bgColor rgb="FF2F5496"/>
      </patternFill>
    </fill>
    <fill>
      <patternFill patternType="solid">
        <fgColor rgb="FF1A1A2E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8EEF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EBF0F7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8DB4E2"/>
        <bgColor rgb="FF8DB4E2"/>
      </patternFill>
    </fill>
    <fill>
      <patternFill patternType="solid">
        <fgColor rgb="FF333333"/>
        <bgColor rgb="FF333333"/>
      </patternFill>
    </fill>
    <fill>
      <patternFill patternType="solid">
        <fgColor rgb="FF3F3F3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808080"/>
        <bgColor rgb="FF808080"/>
      </patternFill>
    </fill>
  </fills>
  <borders count="478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29292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29292F"/>
      </left>
      <right/>
      <top style="thin">
        <color rgb="FF29292F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29292F"/>
      </top>
      <bottom style="thin">
        <color rgb="FF29292F"/>
      </bottom>
      <diagonal/>
    </border>
    <border>
      <left/>
      <right style="thin">
        <color rgb="FF000000"/>
      </right>
      <top style="thin">
        <color rgb="FF29292F"/>
      </top>
      <bottom style="thin">
        <color rgb="FF29292F"/>
      </bottom>
      <diagonal/>
    </border>
    <border>
      <left/>
      <right/>
      <top style="thin">
        <color rgb="FF29292F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29292F"/>
      </left>
      <right/>
      <top style="thin">
        <color rgb="FF29292F"/>
      </top>
      <bottom style="thin">
        <color rgb="FF29292F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646464"/>
      </right>
      <top style="hair">
        <color rgb="FF000000"/>
      </top>
      <bottom style="hair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hair">
        <color rgb="FF29292F"/>
      </top>
      <bottom style="medium">
        <color auto="1"/>
      </bottom>
      <diagonal/>
    </border>
    <border>
      <left/>
      <right/>
      <top style="hair">
        <color rgb="FF29292F"/>
      </top>
      <bottom style="hair">
        <color rgb="FF29292F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/>
      <top style="thin">
        <color rgb="FF29292F"/>
      </top>
      <bottom style="hair">
        <color rgb="FF29292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hair">
        <color rgb="FF7F7F7F"/>
      </bottom>
      <diagonal/>
    </border>
    <border>
      <left/>
      <right style="hair">
        <color rgb="FF7F7F7F"/>
      </right>
      <top style="hair">
        <color rgb="FF7F7F7F"/>
      </top>
      <bottom style="hair">
        <color rgb="FF7F7F7F"/>
      </bottom>
      <diagonal/>
    </border>
    <border>
      <left style="hair">
        <color rgb="FF7F7F7F"/>
      </left>
      <right style="hair">
        <color rgb="FF7F7F7F"/>
      </right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hair">
        <color rgb="FF7F7F7F"/>
      </right>
      <top style="hair">
        <color rgb="FF7F7F7F"/>
      </top>
      <bottom/>
      <diagonal/>
    </border>
    <border>
      <left/>
      <right/>
      <top style="hair">
        <color rgb="FF7F7F7F"/>
      </top>
      <bottom style="hair">
        <color rgb="FF7F7F7F"/>
      </bottom>
      <diagonal/>
    </border>
    <border>
      <left style="hair">
        <color rgb="FF7F7F7F"/>
      </left>
      <right style="hair">
        <color rgb="FF7F7F7F"/>
      </right>
      <top/>
      <bottom style="hair">
        <color rgb="FF7F7F7F"/>
      </bottom>
      <diagonal/>
    </border>
    <border>
      <left/>
      <right style="hair">
        <color rgb="FF7F7F7F"/>
      </right>
      <top/>
      <bottom style="hair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rgb="FF29292F"/>
      </bottom>
      <diagonal/>
    </border>
    <border>
      <left/>
      <right style="medium">
        <color indexed="64"/>
      </right>
      <top style="medium">
        <color indexed="64"/>
      </top>
      <bottom style="thin">
        <color rgb="FF29292F"/>
      </bottom>
      <diagonal/>
    </border>
    <border>
      <left style="medium">
        <color indexed="64"/>
      </left>
      <right/>
      <top style="thin">
        <color rgb="FF29292F"/>
      </top>
      <bottom style="hair">
        <color rgb="FF29292F"/>
      </bottom>
      <diagonal/>
    </border>
    <border>
      <left style="medium">
        <color indexed="64"/>
      </left>
      <right/>
      <top style="hair">
        <color rgb="FF29292F"/>
      </top>
      <bottom style="hair">
        <color rgb="FF29292F"/>
      </bottom>
      <diagonal/>
    </border>
    <border>
      <left/>
      <right style="medium">
        <color indexed="64"/>
      </right>
      <top style="hair">
        <color rgb="FF29292F"/>
      </top>
      <bottom style="hair">
        <color rgb="FF29292F"/>
      </bottom>
      <diagonal/>
    </border>
    <border>
      <left style="medium">
        <color indexed="64"/>
      </left>
      <right/>
      <top style="hair">
        <color rgb="FF29292F"/>
      </top>
      <bottom style="medium">
        <color indexed="64"/>
      </bottom>
      <diagonal/>
    </border>
    <border>
      <left/>
      <right style="medium">
        <color indexed="64"/>
      </right>
      <top style="hair">
        <color rgb="FF29292F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hair">
        <color rgb="FF000000"/>
      </bottom>
      <diagonal/>
    </border>
    <border>
      <left style="medium">
        <color indexed="64"/>
      </left>
      <right style="thin">
        <color rgb="FF000000"/>
      </right>
      <top style="hair">
        <color rgb="FF000000"/>
      </top>
      <bottom style="hair">
        <color indexed="64"/>
      </bottom>
      <diagonal/>
    </border>
    <border>
      <left style="thin">
        <color rgb="FF000000"/>
      </left>
      <right style="medium">
        <color indexed="64"/>
      </right>
      <top style="hair">
        <color rgb="FF000000"/>
      </top>
      <bottom style="hair">
        <color indexed="64"/>
      </bottom>
      <diagonal/>
    </border>
    <border>
      <left style="medium">
        <color indexed="64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indexed="64"/>
      </right>
      <top/>
      <bottom style="hair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hair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9292F"/>
      </left>
      <right/>
      <top style="medium">
        <color indexed="64"/>
      </top>
      <bottom style="hair">
        <color rgb="FF29292F"/>
      </bottom>
      <diagonal/>
    </border>
    <border>
      <left/>
      <right/>
      <top style="medium">
        <color indexed="64"/>
      </top>
      <bottom style="hair">
        <color rgb="FF29292F"/>
      </bottom>
      <diagonal/>
    </border>
    <border>
      <left/>
      <right style="medium">
        <color indexed="64"/>
      </right>
      <top style="medium">
        <color indexed="64"/>
      </top>
      <bottom style="hair">
        <color rgb="FF29292F"/>
      </bottom>
      <diagonal/>
    </border>
    <border>
      <left style="thin">
        <color rgb="FF29292F"/>
      </left>
      <right/>
      <top style="hair">
        <color rgb="FF29292F"/>
      </top>
      <bottom style="hair">
        <color rgb="FF29292F"/>
      </bottom>
      <diagonal/>
    </border>
    <border>
      <left style="thin">
        <color rgb="FF29292F"/>
      </left>
      <right/>
      <top style="hair">
        <color rgb="FF29292F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09997863704336681"/>
      </right>
      <top/>
      <bottom/>
      <diagonal/>
    </border>
    <border>
      <left style="thin">
        <color theme="2" tint="-0.09997863704336681"/>
      </left>
      <right/>
      <top/>
      <bottom/>
      <diagonal/>
    </border>
    <border>
      <left/>
      <right style="thin">
        <color theme="0" tint="-0.0499893185216834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/>
      <top/>
      <bottom style="thin">
        <color theme="0" tint="-0.0499893185216834"/>
      </bottom>
      <diagonal/>
    </border>
    <border>
      <left style="thin">
        <color theme="2" tint="-0.09997863704336681"/>
      </left>
      <right/>
      <top style="thin">
        <color theme="2" tint="-0.09997863704336681"/>
      </top>
      <bottom style="thin">
        <color theme="2" tint="-0.09997863704336681"/>
      </bottom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0" tint="-0.0499893185216834"/>
      </right>
      <top/>
      <bottom/>
      <diagonal/>
    </border>
    <border>
      <left style="thin">
        <color theme="0" tint="-0.0499893185216834"/>
      </left>
      <right/>
      <top/>
      <bottom/>
      <diagonal/>
    </border>
    <border>
      <left/>
      <right style="thin">
        <color theme="0" tint="-0.0499893185216834"/>
      </right>
      <top style="thin">
        <color theme="0" tint="-0.0499893185216834"/>
      </top>
      <bottom/>
      <diagonal/>
    </border>
    <border>
      <left style="thin">
        <color theme="0" tint="-0.0499893185216834"/>
      </left>
      <right/>
      <top style="thin">
        <color theme="0" tint="-0.0499893185216834"/>
      </top>
      <bottom/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/>
      <top style="thin">
        <color theme="0" tint="-0.0499893185216834"/>
      </top>
      <bottom style="thin">
        <color theme="0" tint="-0.0499893185216834"/>
      </bottom>
      <diagonal/>
    </border>
    <border>
      <left style="thin">
        <color rgb="FF29292F"/>
      </left>
      <right/>
      <top style="thin">
        <color rgb="FF29292F"/>
      </top>
      <bottom style="hair">
        <color rgb="FF29292F"/>
      </bottom>
      <diagonal/>
    </border>
    <border>
      <left style="thin">
        <color rgb="FF29292F"/>
      </left>
      <right/>
      <top style="medium">
        <color rgb="FF1851D6"/>
      </top>
      <bottom/>
      <diagonal/>
    </border>
    <border>
      <left/>
      <right/>
      <top style="medium">
        <color rgb="FF1851D6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0" tint="-0.499984740745262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thin">
        <color rgb="FF29292F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hair">
        <color indexed="64"/>
      </right>
      <top/>
      <bottom style="double">
        <color auto="1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double">
        <color auto="1"/>
      </bottom>
      <diagonal/>
    </border>
    <border>
      <left style="thin">
        <color rgb="FF29292F"/>
      </left>
      <right style="thin">
        <color rgb="FF29292F"/>
      </right>
      <top style="thin">
        <color rgb="FF29292F"/>
      </top>
      <bottom/>
      <diagonal/>
    </border>
    <border>
      <left/>
      <right style="thin">
        <color indexed="64"/>
      </right>
      <top style="thin">
        <color rgb="FF29292F"/>
      </top>
      <bottom style="hair">
        <color rgb="FF29292F"/>
      </bottom>
      <diagonal/>
    </border>
    <border>
      <left style="thin">
        <color rgb="FF29292F"/>
      </left>
      <right style="thin">
        <color rgb="FF29292F"/>
      </right>
      <top/>
      <bottom/>
      <diagonal/>
    </border>
    <border>
      <left/>
      <right style="thin">
        <color indexed="64"/>
      </right>
      <top style="hair">
        <color rgb="FF29292F"/>
      </top>
      <bottom style="hair">
        <color rgb="FF29292F"/>
      </bottom>
      <diagonal/>
    </border>
    <border>
      <left style="thin">
        <color rgb="FF29292F"/>
      </left>
      <right style="thin">
        <color rgb="FF29292F"/>
      </right>
      <top/>
      <bottom style="medium">
        <color rgb="FF29292F"/>
      </bottom>
      <diagonal/>
    </border>
    <border>
      <left style="thin">
        <color rgb="FF29292F"/>
      </left>
      <right/>
      <top style="hair">
        <color rgb="FF29292F"/>
      </top>
      <bottom style="medium">
        <color rgb="FF29292F"/>
      </bottom>
      <diagonal/>
    </border>
    <border>
      <left/>
      <right/>
      <top style="hair">
        <color rgb="FF29292F"/>
      </top>
      <bottom style="medium">
        <color rgb="FF29292F"/>
      </bottom>
      <diagonal/>
    </border>
    <border>
      <left/>
      <right style="thin">
        <color indexed="64"/>
      </right>
      <top style="hair">
        <color rgb="FF29292F"/>
      </top>
      <bottom style="medium">
        <color rgb="FF29292F"/>
      </bottom>
      <diagonal/>
    </border>
    <border>
      <left/>
      <right style="thin">
        <color rgb="FF29292F"/>
      </right>
      <top style="medium">
        <color rgb="FF29292F"/>
      </top>
      <bottom style="thin">
        <color rgb="FF29292F"/>
      </bottom>
      <diagonal/>
    </border>
    <border>
      <left style="thin">
        <color rgb="FF29292F"/>
      </left>
      <right style="thin">
        <color rgb="FF29292F"/>
      </right>
      <top style="medium">
        <color rgb="FF29292F"/>
      </top>
      <bottom style="thin">
        <color rgb="FF29292F"/>
      </bottom>
      <diagonal/>
    </border>
    <border>
      <left style="thin">
        <color rgb="FF29292F"/>
      </left>
      <right/>
      <top style="medium">
        <color rgb="FF29292F"/>
      </top>
      <bottom style="thin">
        <color rgb="FF29292F"/>
      </bottom>
      <diagonal/>
    </border>
    <border>
      <left/>
      <right style="thin">
        <color rgb="FF29292F"/>
      </right>
      <top style="thin">
        <color rgb="FF29292F"/>
      </top>
      <bottom style="medium">
        <color rgb="FF1851D6"/>
      </bottom>
      <diagonal/>
    </border>
    <border>
      <left style="thin">
        <color rgb="FF29292F"/>
      </left>
      <right style="thin">
        <color rgb="FF29292F"/>
      </right>
      <top style="thin">
        <color rgb="FF29292F"/>
      </top>
      <bottom style="medium">
        <color rgb="FF1851D6"/>
      </bottom>
      <diagonal/>
    </border>
    <border>
      <left style="thin">
        <color rgb="FF29292F"/>
      </left>
      <right/>
      <top style="thin">
        <color rgb="FF29292F"/>
      </top>
      <bottom style="medium">
        <color rgb="FF1851D6"/>
      </bottom>
      <diagonal/>
    </border>
    <border>
      <left style="thin">
        <color rgb="FF29292F"/>
      </left>
      <right/>
      <top style="medium">
        <color rgb="FF1851D6"/>
      </top>
      <bottom style="hair">
        <color indexed="64"/>
      </bottom>
      <diagonal/>
    </border>
    <border>
      <left/>
      <right/>
      <top style="medium">
        <color rgb="FF1851D6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29292F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medium">
        <color rgb="FF1851D6"/>
      </top>
      <bottom style="medium">
        <color rgb="FF1851D6"/>
      </bottom>
      <diagonal/>
    </border>
    <border>
      <left style="thin">
        <color auto="1"/>
      </left>
      <right/>
      <top style="medium">
        <color rgb="FF1851D6"/>
      </top>
      <bottom style="medium">
        <color rgb="FF1851D6"/>
      </bottom>
      <diagonal/>
    </border>
    <border>
      <left/>
      <right/>
      <top style="medium">
        <color rgb="FF1851D6"/>
      </top>
      <bottom style="medium">
        <color rgb="FF1851D6"/>
      </bottom>
      <diagonal/>
    </border>
    <border>
      <left/>
      <right style="thin">
        <color auto="1"/>
      </right>
      <top style="medium">
        <color rgb="FF1851D6"/>
      </top>
      <bottom style="medium">
        <color rgb="FF1851D6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indexed="64"/>
      </right>
      <top/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indexed="64"/>
      </right>
      <top style="hair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double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double">
        <color indexed="64"/>
      </bottom>
      <diagonal/>
    </border>
    <border>
      <left style="hair">
        <color rgb="FF000000"/>
      </left>
      <right style="medium">
        <color indexed="64"/>
      </right>
      <top style="hair">
        <color rgb="FF000000"/>
      </top>
      <bottom style="double">
        <color indexed="64"/>
      </bottom>
      <diagonal/>
    </border>
    <border>
      <left style="medium">
        <color indexed="64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indexed="64"/>
      </right>
      <top style="hair">
        <color rgb="FF000000"/>
      </top>
      <bottom/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 style="hair">
        <color rgb="FF000000"/>
      </top>
      <bottom style="medium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indexed="64"/>
      </bottom>
      <diagonal/>
    </border>
    <border>
      <left style="hair">
        <color rgb="FF000000"/>
      </left>
      <right style="medium">
        <color indexed="64"/>
      </right>
      <top style="hair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29292F"/>
      </top>
      <bottom style="thin">
        <color rgb="FF29292F"/>
      </bottom>
      <diagonal/>
    </border>
    <border>
      <left style="thin">
        <color rgb="FF000000"/>
      </left>
      <right/>
      <top style="thin">
        <color rgb="FF29292F"/>
      </top>
      <bottom style="thin">
        <color rgb="FF000000"/>
      </bottom>
      <diagonal/>
    </border>
    <border>
      <left/>
      <right/>
      <top style="thin">
        <color rgb="FF29292F"/>
      </top>
      <bottom style="thin">
        <color rgb="FF000000"/>
      </bottom>
      <diagonal/>
    </border>
    <border>
      <left/>
      <right style="thin">
        <color rgb="FF000000"/>
      </right>
      <top style="thin">
        <color rgb="FF29292F"/>
      </top>
      <bottom style="thin">
        <color rgb="FF000000"/>
      </bottom>
      <diagonal/>
    </border>
    <border>
      <left/>
      <right/>
      <top style="thin">
        <color rgb="FF7F7F7F"/>
      </top>
      <bottom style="thin">
        <color rgb="FF262626"/>
      </bottom>
      <diagonal/>
    </border>
    <border>
      <left/>
      <right style="thin">
        <color rgb="FF262626"/>
      </right>
      <top style="thin">
        <color rgb="FF7F7F7F"/>
      </top>
      <bottom style="thin">
        <color rgb="FF26262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indexed="64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rgb="FF29292F"/>
      </top>
      <bottom style="thin">
        <color rgb="FF29292F"/>
      </bottom>
      <diagonal/>
    </border>
    <border>
      <left style="thin">
        <color indexed="64"/>
      </left>
      <right/>
      <top style="thin">
        <color rgb="FF29292F"/>
      </top>
      <bottom style="thin">
        <color indexed="64"/>
      </bottom>
      <diagonal/>
    </border>
    <border>
      <left/>
      <right/>
      <top style="thin">
        <color rgb="FF29292F"/>
      </top>
      <bottom style="thin">
        <color indexed="64"/>
      </bottom>
      <diagonal/>
    </border>
    <border>
      <left style="thin">
        <color rgb="FF29292F"/>
      </left>
      <right/>
      <top/>
      <bottom style="thin">
        <color rgb="FF29292F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auto="1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auto="1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double">
        <color indexed="64"/>
      </bottom>
      <diagonal/>
    </border>
    <border>
      <left style="hair">
        <color indexed="64"/>
      </left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auto="1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29292F"/>
      </top>
      <bottom style="thin">
        <color rgb="FF29292F"/>
      </bottom>
      <diagonal/>
    </border>
    <border>
      <left/>
      <right/>
      <top/>
      <bottom style="thin">
        <color rgb="FF29292F"/>
      </bottom>
      <diagonal/>
    </border>
    <border>
      <left/>
      <right style="thin">
        <color indexed="64"/>
      </right>
      <top style="thin">
        <color rgb="FF29292F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thin">
        <color theme="1" tint="0.499984740745262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medium">
        <color indexed="64"/>
      </right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hair">
        <color theme="2" tint="-0.499984740745262"/>
      </right>
      <top style="hair">
        <color theme="2" tint="-0.499984740745262"/>
      </top>
      <bottom style="hair">
        <color theme="2" tint="-0.499984740745262"/>
      </bottom>
      <diagonal/>
    </border>
    <border>
      <left style="hair">
        <color theme="2" tint="-0.499984740745262"/>
      </left>
      <right style="hair">
        <color theme="2" tint="-0.499984740745262"/>
      </right>
      <top style="hair">
        <color theme="2" tint="-0.499984740745262"/>
      </top>
      <bottom style="hair">
        <color theme="2" tint="-0.499984740745262"/>
      </bottom>
      <diagonal/>
    </border>
    <border>
      <left style="hair">
        <color theme="2" tint="-0.499984740745262"/>
      </left>
      <right style="medium">
        <color indexed="64"/>
      </right>
      <top style="hair">
        <color theme="2" tint="-0.499984740745262"/>
      </top>
      <bottom style="hair">
        <color theme="2" tint="-0.499984740745262"/>
      </bottom>
      <diagonal/>
    </border>
    <border>
      <left style="medium">
        <color indexed="64"/>
      </left>
      <right style="hair">
        <color theme="2" tint="-0.499984740745262"/>
      </right>
      <top style="hair">
        <color theme="2" tint="-0.499984740745262"/>
      </top>
      <bottom style="medium">
        <color indexed="64"/>
      </bottom>
      <diagonal/>
    </border>
    <border>
      <left style="hair">
        <color theme="2" tint="-0.499984740745262"/>
      </left>
      <right style="hair">
        <color theme="2" tint="-0.499984740745262"/>
      </right>
      <top style="hair">
        <color theme="2" tint="-0.499984740745262"/>
      </top>
      <bottom style="medium">
        <color indexed="64"/>
      </bottom>
      <diagonal/>
    </border>
    <border>
      <left style="hair">
        <color theme="2" tint="-0.499984740745262"/>
      </left>
      <right style="medium">
        <color indexed="64"/>
      </right>
      <top style="hair">
        <color theme="2" tint="-0.499984740745262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262626"/>
      </right>
      <top style="thin">
        <color rgb="FF7F7F7F"/>
      </top>
      <bottom style="thin">
        <color rgb="FF262626"/>
      </bottom>
      <diagonal/>
    </border>
    <border>
      <left/>
      <right/>
      <top style="medium">
        <color rgb="FF2F5496"/>
      </top>
      <bottom/>
      <diagonal/>
    </border>
    <border>
      <left style="thin">
        <color rgb="FFB0C4DE"/>
      </left>
      <right style="medium">
        <color rgb="FF2F5496"/>
      </right>
      <top style="medium">
        <color rgb="FF2F5496"/>
      </top>
      <bottom/>
      <diagonal/>
    </border>
    <border>
      <left style="thin">
        <color rgb="FFB0C4DE"/>
      </left>
      <right style="medium">
        <color rgb="FF2F5496"/>
      </right>
      <top/>
      <bottom/>
      <diagonal/>
    </border>
    <border>
      <left style="medium">
        <color rgb="FF2F5496"/>
      </left>
      <right/>
      <top style="medium">
        <color rgb="FF2F5496"/>
      </top>
      <bottom/>
      <diagonal/>
    </border>
    <border>
      <left style="medium">
        <color rgb="FF2F5496"/>
      </left>
      <right/>
      <top/>
      <bottom/>
      <diagonal/>
    </border>
    <border>
      <left/>
      <right/>
      <top/>
      <bottom style="medium">
        <color rgb="FF2F5496"/>
      </bottom>
      <diagonal/>
    </border>
    <border>
      <left style="medium">
        <color rgb="FF2F5496"/>
      </left>
      <right/>
      <top style="hair">
        <color rgb="FFDCE6F1"/>
      </top>
      <bottom style="hair">
        <color rgb="FFDCE6F1"/>
      </bottom>
      <diagonal/>
    </border>
    <border>
      <left/>
      <right/>
      <top style="hair">
        <color rgb="FFDCE6F1"/>
      </top>
      <bottom style="hair">
        <color rgb="FFDCE6F1"/>
      </bottom>
      <diagonal/>
    </border>
    <border>
      <left style="thin">
        <color rgb="FFB0C4DE"/>
      </left>
      <right style="medium">
        <color rgb="FF2F5496"/>
      </right>
      <top style="hair">
        <color rgb="FFDCE6F1"/>
      </top>
      <bottom style="hair">
        <color rgb="FFDCE6F1"/>
      </bottom>
      <diagonal/>
    </border>
    <border>
      <left style="medium">
        <color rgb="FF2F5496"/>
      </left>
      <right/>
      <top style="hair">
        <color rgb="FFDCE6F1"/>
      </top>
      <bottom/>
      <diagonal/>
    </border>
    <border>
      <left/>
      <right/>
      <top style="hair">
        <color rgb="FFDCE6F1"/>
      </top>
      <bottom/>
      <diagonal/>
    </border>
    <border>
      <left style="thin">
        <color rgb="FFB0C4DE"/>
      </left>
      <right style="medium">
        <color rgb="FF2F5496"/>
      </right>
      <top style="hair">
        <color rgb="FFDCE6F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indexed="64"/>
      </top>
      <bottom style="thin">
        <color theme="2" tint="-0.499984740745262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/>
      <top/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2" tint="-0.499984740745262"/>
      </bottom>
      <diagonal/>
    </border>
    <border>
      <left style="thin">
        <color theme="0" tint="-0.499984740745262"/>
      </left>
      <right style="thin">
        <color theme="2" tint="-0.499984740745262"/>
      </right>
      <top style="thin">
        <color theme="0" tint="-0.499984740745262"/>
      </top>
      <bottom style="thin">
        <color theme="2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0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2" tint="-0.249977111117893"/>
      </left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/>
      <top style="thin">
        <color theme="2" tint="-0.09997863704336681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7F7F7F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double">
        <color auto="1"/>
      </bottom>
      <diagonal/>
    </border>
    <border>
      <left/>
      <right style="thin">
        <color rgb="FF29292F"/>
      </right>
      <top/>
      <bottom/>
      <diagonal/>
    </border>
    <border>
      <left/>
      <right style="thin">
        <color rgb="FF29292F"/>
      </right>
      <top/>
      <bottom style="thin">
        <color rgb="FF29292F"/>
      </bottom>
      <diagonal/>
    </border>
    <border>
      <left style="thin">
        <color rgb="FF29292F"/>
      </left>
      <right style="thin">
        <color rgb="FF29292F"/>
      </right>
      <top/>
      <bottom style="thin">
        <color rgb="FF29292F"/>
      </bottom>
      <diagonal/>
    </border>
    <border>
      <left/>
      <right/>
      <top style="medium">
        <color rgb="FF29292F"/>
      </top>
      <bottom/>
      <diagonal/>
    </border>
    <border>
      <left/>
      <right style="thin">
        <color rgb="FF29292F"/>
      </right>
      <top style="medium">
        <color rgb="FF29292F"/>
      </top>
      <bottom/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2" tint="-0.09997863704336681"/>
      </left>
      <right style="thin">
        <color theme="2" tint="-0.09997863704336681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35">
    <xf numFmtId="0" fontId="162" fillId="0" borderId="72"/>
    <xf numFmtId="43" fontId="28" fillId="0" borderId="72"/>
    <xf numFmtId="171" fontId="121" fillId="0" borderId="72"/>
    <xf numFmtId="0" fontId="121" fillId="0" borderId="72"/>
    <xf numFmtId="44" fontId="84" fillId="0" borderId="72"/>
    <xf numFmtId="0" fontId="121" fillId="0" borderId="72"/>
    <xf numFmtId="9" fontId="121" fillId="0" borderId="72"/>
    <xf numFmtId="0" fontId="84" fillId="0" borderId="72"/>
    <xf numFmtId="0" fontId="28" fillId="0" borderId="72"/>
    <xf numFmtId="0" fontId="121" fillId="0" borderId="72"/>
    <xf numFmtId="44" fontId="121" fillId="0" borderId="72"/>
    <xf numFmtId="44" fontId="28" fillId="0" borderId="72"/>
    <xf numFmtId="43" fontId="28" fillId="0" borderId="72"/>
    <xf numFmtId="0" fontId="68" fillId="0" borderId="72"/>
    <xf numFmtId="0" fontId="70" fillId="0" borderId="72"/>
    <xf numFmtId="43" fontId="121" fillId="0" borderId="72"/>
    <xf numFmtId="0" fontId="121" fillId="0" borderId="72"/>
    <xf numFmtId="0" fontId="28" fillId="0" borderId="72"/>
    <xf numFmtId="43" fontId="68" fillId="0" borderId="72"/>
    <xf numFmtId="43" fontId="28" fillId="0" borderId="72"/>
    <xf numFmtId="43" fontId="28" fillId="0" borderId="72"/>
    <xf numFmtId="171" fontId="121" fillId="0" borderId="72"/>
    <xf numFmtId="0" fontId="121" fillId="0" borderId="72"/>
    <xf numFmtId="43" fontId="84" fillId="0" borderId="72"/>
    <xf numFmtId="0" fontId="28" fillId="0" borderId="72"/>
    <xf numFmtId="43" fontId="28" fillId="0" borderId="72"/>
    <xf numFmtId="43" fontId="70" fillId="0" borderId="72"/>
    <xf numFmtId="43" fontId="70" fillId="0" borderId="72"/>
    <xf numFmtId="0" fontId="121" fillId="0" borderId="72"/>
    <xf numFmtId="0" fontId="121" fillId="0" borderId="72"/>
    <xf numFmtId="0" fontId="84" fillId="0" borderId="72"/>
    <xf numFmtId="43" fontId="28" fillId="0" borderId="72"/>
    <xf numFmtId="0" fontId="28" fillId="0" borderId="72"/>
    <xf numFmtId="43" fontId="121" fillId="0" borderId="72"/>
    <xf numFmtId="0" fontId="121" fillId="0" borderId="72"/>
    <xf numFmtId="0" fontId="94" fillId="0" borderId="72"/>
    <xf numFmtId="0" fontId="28" fillId="0" borderId="72"/>
    <xf numFmtId="0" fontId="28" fillId="0" borderId="72"/>
    <xf numFmtId="43" fontId="28" fillId="0" borderId="72"/>
    <xf numFmtId="0" fontId="28" fillId="0" borderId="72"/>
    <xf numFmtId="0" fontId="121" fillId="0" borderId="72"/>
    <xf numFmtId="171" fontId="121" fillId="0" borderId="72"/>
    <xf numFmtId="0" fontId="28" fillId="0" borderId="72"/>
    <xf numFmtId="43" fontId="28" fillId="0" borderId="72"/>
    <xf numFmtId="43" fontId="121" fillId="0" borderId="72"/>
    <xf numFmtId="0" fontId="28" fillId="0" borderId="72"/>
    <xf numFmtId="43" fontId="28" fillId="0" borderId="72"/>
    <xf numFmtId="0" fontId="121" fillId="0" borderId="72"/>
    <xf numFmtId="0" fontId="132" fillId="0" borderId="72"/>
    <xf numFmtId="0" fontId="28" fillId="0" borderId="72"/>
    <xf numFmtId="43" fontId="28" fillId="0" borderId="72"/>
    <xf numFmtId="43" fontId="28" fillId="0" borderId="72"/>
    <xf numFmtId="43" fontId="28" fillId="0" borderId="72"/>
    <xf numFmtId="43" fontId="28" fillId="0" borderId="72"/>
    <xf numFmtId="44" fontId="28" fillId="0" borderId="72"/>
    <xf numFmtId="0" fontId="28" fillId="0" borderId="72"/>
    <xf numFmtId="43" fontId="28" fillId="0" borderId="72"/>
    <xf numFmtId="0" fontId="28" fillId="0" borderId="72"/>
    <xf numFmtId="0" fontId="121" fillId="0" borderId="72"/>
    <xf numFmtId="0" fontId="84" fillId="0" borderId="72"/>
    <xf numFmtId="0" fontId="28" fillId="0" borderId="72"/>
    <xf numFmtId="44" fontId="28" fillId="0" borderId="72"/>
    <xf numFmtId="43" fontId="28" fillId="0" borderId="72"/>
    <xf numFmtId="0" fontId="28" fillId="0" borderId="72"/>
    <xf numFmtId="43" fontId="28" fillId="0" borderId="72"/>
    <xf numFmtId="9" fontId="121" fillId="0" borderId="72"/>
    <xf numFmtId="0" fontId="28" fillId="0" borderId="72"/>
    <xf numFmtId="0" fontId="28" fillId="0" borderId="72"/>
    <xf numFmtId="43" fontId="28" fillId="0" borderId="72"/>
    <xf numFmtId="0" fontId="28" fillId="0" borderId="72"/>
    <xf numFmtId="0" fontId="28" fillId="0" borderId="72"/>
    <xf numFmtId="43" fontId="28" fillId="0" borderId="72"/>
    <xf numFmtId="0" fontId="28" fillId="0" borderId="72"/>
    <xf numFmtId="0" fontId="84" fillId="0" borderId="72"/>
    <xf numFmtId="43" fontId="28" fillId="0" borderId="72"/>
    <xf numFmtId="0" fontId="28" fillId="0" borderId="72"/>
    <xf numFmtId="0" fontId="28" fillId="0" borderId="72"/>
    <xf numFmtId="43" fontId="28" fillId="0" borderId="72"/>
    <xf numFmtId="44" fontId="28" fillId="0" borderId="72"/>
    <xf numFmtId="0" fontId="158" fillId="0" borderId="72"/>
    <xf numFmtId="0" fontId="84" fillId="0" borderId="72"/>
    <xf numFmtId="0" fontId="28" fillId="0" borderId="72"/>
    <xf numFmtId="43" fontId="28" fillId="0" borderId="72"/>
    <xf numFmtId="44" fontId="28" fillId="0" borderId="72"/>
    <xf numFmtId="44" fontId="121" fillId="0" borderId="72"/>
    <xf numFmtId="0" fontId="28" fillId="0" borderId="72"/>
    <xf numFmtId="43" fontId="28" fillId="0" borderId="72"/>
    <xf numFmtId="44" fontId="28" fillId="0" borderId="72"/>
    <xf numFmtId="0" fontId="28" fillId="0" borderId="72"/>
    <xf numFmtId="43" fontId="28" fillId="0" borderId="72"/>
    <xf numFmtId="43" fontId="28" fillId="0" borderId="72"/>
    <xf numFmtId="0" fontId="28" fillId="0" borderId="72"/>
    <xf numFmtId="0" fontId="162" fillId="0" borderId="72"/>
    <xf numFmtId="0" fontId="28" fillId="0" borderId="72"/>
    <xf numFmtId="0" fontId="28" fillId="0" borderId="72"/>
    <xf numFmtId="0" fontId="162" fillId="0" borderId="72"/>
    <xf numFmtId="43" fontId="84" fillId="0" borderId="72"/>
    <xf numFmtId="0" fontId="28" fillId="0" borderId="72"/>
    <xf numFmtId="0" fontId="28" fillId="0" borderId="72"/>
    <xf numFmtId="43" fontId="28" fillId="0" borderId="72"/>
    <xf numFmtId="0" fontId="28" fillId="0" borderId="72"/>
    <xf numFmtId="43" fontId="28" fillId="0" borderId="72"/>
    <xf numFmtId="44" fontId="28" fillId="0" borderId="72"/>
    <xf numFmtId="0" fontId="28" fillId="0" borderId="72"/>
    <xf numFmtId="43" fontId="28" fillId="0" borderId="72"/>
    <xf numFmtId="44" fontId="28" fillId="0" borderId="72"/>
    <xf numFmtId="44" fontId="84" fillId="0" borderId="72"/>
    <xf numFmtId="0" fontId="28" fillId="0" borderId="72"/>
    <xf numFmtId="43" fontId="28" fillId="0" borderId="72"/>
    <xf numFmtId="44" fontId="28" fillId="0" borderId="72"/>
    <xf numFmtId="9" fontId="162" fillId="0" borderId="72"/>
    <xf numFmtId="0" fontId="162" fillId="0" borderId="72"/>
    <xf numFmtId="0" fontId="28" fillId="0" borderId="72"/>
    <xf numFmtId="43" fontId="28" fillId="0" borderId="72"/>
    <xf numFmtId="44" fontId="28" fillId="0" borderId="72"/>
    <xf numFmtId="0" fontId="176" fillId="0" borderId="72"/>
    <xf numFmtId="0" fontId="162" fillId="0" borderId="72"/>
    <xf numFmtId="0" fontId="28" fillId="0" borderId="72"/>
    <xf numFmtId="0" fontId="28" fillId="0" borderId="72"/>
    <xf numFmtId="0" fontId="28" fillId="0" borderId="72"/>
    <xf numFmtId="0" fontId="121" fillId="0" borderId="72"/>
    <xf numFmtId="44" fontId="121" fillId="0" borderId="72"/>
    <xf numFmtId="43" fontId="28" fillId="0" borderId="72"/>
    <xf numFmtId="44" fontId="28" fillId="0" borderId="72"/>
    <xf numFmtId="43" fontId="121" fillId="0" borderId="72"/>
    <xf numFmtId="43" fontId="121" fillId="0" borderId="72"/>
    <xf numFmtId="0" fontId="28" fillId="0" borderId="72"/>
    <xf numFmtId="0" fontId="28" fillId="0" borderId="72"/>
    <xf numFmtId="43" fontId="28" fillId="0" borderId="72"/>
    <xf numFmtId="44" fontId="28" fillId="0" borderId="72"/>
    <xf numFmtId="0" fontId="28" fillId="0" borderId="72"/>
    <xf numFmtId="0" fontId="28" fillId="0" borderId="72"/>
    <xf numFmtId="0" fontId="28" fillId="0" borderId="72"/>
    <xf numFmtId="199" fontId="121" fillId="0" borderId="72"/>
    <xf numFmtId="0" fontId="28" fillId="0" borderId="72"/>
  </cellStyleXfs>
  <cellXfs count="2179">
    <xf numFmtId="0" fontId="0" fillId="0" borderId="0" pivotButton="0" quotePrefix="0" xfId="0"/>
    <xf numFmtId="0" fontId="30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2" fillId="0" borderId="0" pivotButton="0" quotePrefix="0" xfId="0"/>
    <xf numFmtId="0" fontId="33" fillId="0" borderId="0" pivotButton="0" quotePrefix="0" xfId="0"/>
    <xf numFmtId="0" fontId="33" fillId="0" borderId="0" applyAlignment="1" pivotButton="0" quotePrefix="0" xfId="0">
      <alignment horizontal="center"/>
    </xf>
    <xf numFmtId="164" fontId="34" fillId="0" borderId="0" applyAlignment="1" pivotButton="0" quotePrefix="0" xfId="0">
      <alignment horizontal="center"/>
    </xf>
    <xf numFmtId="3" fontId="37" fillId="7" borderId="16" applyAlignment="1" pivotButton="0" quotePrefix="0" xfId="0">
      <alignment horizontal="left" vertical="center"/>
    </xf>
    <xf numFmtId="3" fontId="37" fillId="7" borderId="16" applyAlignment="1" pivotButton="0" quotePrefix="0" xfId="0">
      <alignment horizontal="center" vertical="center"/>
    </xf>
    <xf numFmtId="164" fontId="37" fillId="7" borderId="16" applyAlignment="1" pivotButton="0" quotePrefix="0" xfId="0">
      <alignment horizontal="left" vertical="center"/>
    </xf>
    <xf numFmtId="3" fontId="38" fillId="0" borderId="16" applyAlignment="1" pivotButton="0" quotePrefix="0" xfId="0">
      <alignment horizontal="left" vertical="center"/>
    </xf>
    <xf numFmtId="3" fontId="38" fillId="0" borderId="16" applyAlignment="1" pivotButton="0" quotePrefix="0" xfId="0">
      <alignment horizontal="center" vertical="center"/>
    </xf>
    <xf numFmtId="165" fontId="38" fillId="0" borderId="16" applyAlignment="1" pivotButton="0" quotePrefix="0" xfId="0">
      <alignment horizontal="left" vertical="center"/>
    </xf>
    <xf numFmtId="164" fontId="38" fillId="0" borderId="16" applyAlignment="1" pivotButton="0" quotePrefix="0" xfId="0">
      <alignment horizontal="left" vertical="center"/>
    </xf>
    <xf numFmtId="166" fontId="38" fillId="0" borderId="16" applyAlignment="1" pivotButton="0" quotePrefix="0" xfId="0">
      <alignment horizontal="left" vertical="center"/>
    </xf>
    <xf numFmtId="3" fontId="38" fillId="0" borderId="16" applyAlignment="1" pivotButton="0" quotePrefix="0" xfId="0">
      <alignment horizontal="left" vertical="center" wrapText="1"/>
    </xf>
    <xf numFmtId="3" fontId="39" fillId="0" borderId="16" applyAlignment="1" pivotButton="0" quotePrefix="0" xfId="0">
      <alignment horizontal="left" vertical="center"/>
    </xf>
    <xf numFmtId="0" fontId="36" fillId="0" borderId="17" applyAlignment="1" pivotButton="0" quotePrefix="0" xfId="0">
      <alignment vertical="center"/>
    </xf>
    <xf numFmtId="167" fontId="32" fillId="0" borderId="0" applyAlignment="1" pivotButton="0" quotePrefix="0" xfId="0">
      <alignment horizontal="center"/>
    </xf>
    <xf numFmtId="0" fontId="34" fillId="0" borderId="0" pivotButton="0" quotePrefix="0" xfId="0"/>
    <xf numFmtId="49" fontId="34" fillId="0" borderId="29" pivotButton="0" quotePrefix="0" xfId="0"/>
    <xf numFmtId="0" fontId="34" fillId="0" borderId="29" applyAlignment="1" pivotButton="0" quotePrefix="0" xfId="0">
      <alignment horizontal="center" vertical="center"/>
    </xf>
    <xf numFmtId="0" fontId="34" fillId="0" borderId="29" pivotButton="0" quotePrefix="0" xfId="0"/>
    <xf numFmtId="0" fontId="34" fillId="0" borderId="29" applyAlignment="1" pivotButton="0" quotePrefix="0" xfId="0">
      <alignment horizontal="right"/>
    </xf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vertical="center"/>
    </xf>
    <xf numFmtId="0" fontId="34" fillId="0" borderId="30" applyAlignment="1" pivotButton="0" quotePrefix="0" xfId="0">
      <alignment vertical="center"/>
    </xf>
    <xf numFmtId="0" fontId="34" fillId="0" borderId="6" applyAlignment="1" pivotButton="0" quotePrefix="0" xfId="0">
      <alignment vertical="center"/>
    </xf>
    <xf numFmtId="0" fontId="41" fillId="0" borderId="6" applyAlignment="1" pivotButton="0" quotePrefix="0" xfId="0">
      <alignment vertical="center"/>
    </xf>
    <xf numFmtId="0" fontId="41" fillId="0" borderId="6" applyAlignment="1" pivotButton="0" quotePrefix="0" xfId="0">
      <alignment horizontal="right" vertical="center"/>
    </xf>
    <xf numFmtId="0" fontId="42" fillId="0" borderId="6" applyAlignment="1" pivotButton="0" quotePrefix="0" xfId="0">
      <alignment horizontal="center" vertical="center"/>
    </xf>
    <xf numFmtId="0" fontId="34" fillId="0" borderId="1" applyAlignment="1" pivotButton="0" quotePrefix="0" xfId="0">
      <alignment vertical="center"/>
    </xf>
    <xf numFmtId="0" fontId="34" fillId="0" borderId="31" applyAlignment="1" pivotButton="0" quotePrefix="0" xfId="0">
      <alignment vertical="center"/>
    </xf>
    <xf numFmtId="0" fontId="34" fillId="0" borderId="7" applyAlignment="1" pivotButton="0" quotePrefix="0" xfId="0">
      <alignment vertical="center"/>
    </xf>
    <xf numFmtId="0" fontId="41" fillId="0" borderId="7" applyAlignment="1" pivotButton="0" quotePrefix="0" xfId="0">
      <alignment vertical="center"/>
    </xf>
    <xf numFmtId="0" fontId="41" fillId="0" borderId="7" applyAlignment="1" pivotButton="0" quotePrefix="0" xfId="0">
      <alignment horizontal="right" vertical="center"/>
    </xf>
    <xf numFmtId="0" fontId="42" fillId="0" borderId="7" applyAlignment="1" pivotButton="0" quotePrefix="0" xfId="0">
      <alignment horizontal="center" vertical="center"/>
    </xf>
    <xf numFmtId="0" fontId="34" fillId="0" borderId="32" applyAlignment="1" pivotButton="0" quotePrefix="0" xfId="0">
      <alignment vertical="center"/>
    </xf>
    <xf numFmtId="0" fontId="43" fillId="0" borderId="33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right"/>
    </xf>
    <xf numFmtId="168" fontId="43" fillId="0" borderId="3" applyAlignment="1" pivotButton="0" quotePrefix="1" xfId="0">
      <alignment horizontal="left" vertical="center"/>
    </xf>
    <xf numFmtId="168" fontId="43" fillId="0" borderId="33" applyAlignment="1" pivotButton="0" quotePrefix="1" xfId="0">
      <alignment horizontal="left" vertical="center"/>
    </xf>
    <xf numFmtId="168" fontId="43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right" vertical="center"/>
    </xf>
    <xf numFmtId="17" fontId="32" fillId="0" borderId="0" applyAlignment="1" pivotButton="0" quotePrefix="0" xfId="0">
      <alignment vertical="center"/>
    </xf>
    <xf numFmtId="168" fontId="32" fillId="0" borderId="3" applyAlignment="1" pivotButton="0" quotePrefix="0" xfId="0">
      <alignment horizontal="left" vertical="center"/>
    </xf>
    <xf numFmtId="0" fontId="44" fillId="0" borderId="0" pivotButton="0" quotePrefix="0" xfId="0"/>
    <xf numFmtId="169" fontId="46" fillId="0" borderId="0" applyAlignment="1" pivotButton="0" quotePrefix="0" xfId="0">
      <alignment horizontal="left" vertical="center"/>
    </xf>
    <xf numFmtId="170" fontId="46" fillId="0" borderId="0" applyAlignment="1" pivotButton="0" quotePrefix="0" xfId="0">
      <alignment horizontal="left" vertical="center"/>
    </xf>
    <xf numFmtId="49" fontId="35" fillId="9" borderId="37" applyAlignment="1" pivotButton="0" quotePrefix="0" xfId="0">
      <alignment horizontal="center" vertical="center" wrapText="1"/>
    </xf>
    <xf numFmtId="49" fontId="35" fillId="9" borderId="37" applyAlignment="1" pivotButton="0" quotePrefix="0" xfId="0">
      <alignment horizontal="center" vertical="center"/>
    </xf>
    <xf numFmtId="49" fontId="47" fillId="9" borderId="37" applyAlignment="1" pivotButton="0" quotePrefix="0" xfId="0">
      <alignment horizontal="center" vertical="center" wrapText="1"/>
    </xf>
    <xf numFmtId="2" fontId="47" fillId="9" borderId="38" applyAlignment="1" pivotButton="0" quotePrefix="0" xfId="0">
      <alignment horizontal="center" vertical="center" wrapText="1"/>
    </xf>
    <xf numFmtId="0" fontId="47" fillId="9" borderId="4" applyAlignment="1" pivotButton="0" quotePrefix="0" xfId="0">
      <alignment horizontal="center" vertical="center" wrapText="1"/>
    </xf>
    <xf numFmtId="0" fontId="47" fillId="9" borderId="39" applyAlignment="1" pivotButton="0" quotePrefix="0" xfId="0">
      <alignment horizontal="center" vertical="center" wrapText="1"/>
    </xf>
    <xf numFmtId="0" fontId="47" fillId="9" borderId="40" applyAlignment="1" pivotButton="0" quotePrefix="0" xfId="0">
      <alignment horizontal="center" vertical="center" wrapText="1"/>
    </xf>
    <xf numFmtId="0" fontId="47" fillId="9" borderId="41" applyAlignment="1" pivotButton="0" quotePrefix="0" xfId="0">
      <alignment horizontal="center" vertical="center" wrapText="1"/>
    </xf>
    <xf numFmtId="4" fontId="36" fillId="0" borderId="17" applyAlignment="1" pivotButton="0" quotePrefix="0" xfId="0">
      <alignment horizontal="left" vertical="center"/>
    </xf>
    <xf numFmtId="49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left" vertical="center"/>
    </xf>
    <xf numFmtId="0" fontId="49" fillId="0" borderId="0" applyAlignment="1" pivotButton="0" quotePrefix="0" xfId="0">
      <alignment vertical="center"/>
    </xf>
    <xf numFmtId="0" fontId="50" fillId="0" borderId="0" applyAlignment="1" pivotButton="0" quotePrefix="0" xfId="0">
      <alignment horizontal="center" vertical="center"/>
    </xf>
    <xf numFmtId="164" fontId="50" fillId="0" borderId="0" applyAlignment="1" pivotButton="0" quotePrefix="0" xfId="0">
      <alignment vertical="center"/>
    </xf>
    <xf numFmtId="164" fontId="38" fillId="14" borderId="16" applyAlignment="1" pivotButton="0" quotePrefix="0" xfId="0">
      <alignment horizontal="left" vertical="center"/>
    </xf>
    <xf numFmtId="0" fontId="69" fillId="0" borderId="72" applyAlignment="1" pivotButton="0" quotePrefix="0" xfId="13">
      <alignment vertical="center"/>
    </xf>
    <xf numFmtId="0" fontId="71" fillId="0" borderId="72" applyAlignment="1" pivotButton="0" quotePrefix="0" xfId="13">
      <alignment vertical="center"/>
    </xf>
    <xf numFmtId="0" fontId="73" fillId="0" borderId="86" applyAlignment="1" pivotButton="0" quotePrefix="0" xfId="16">
      <alignment horizontal="center" vertical="center" wrapText="1"/>
    </xf>
    <xf numFmtId="171" fontId="76" fillId="4" borderId="65" applyAlignment="1" pivotButton="0" quotePrefix="0" xfId="21">
      <alignment horizontal="center" vertical="center" wrapText="1"/>
    </xf>
    <xf numFmtId="171" fontId="76" fillId="4" borderId="102" applyAlignment="1" pivotButton="0" quotePrefix="0" xfId="21">
      <alignment horizontal="center" vertical="center" wrapText="1"/>
    </xf>
    <xf numFmtId="171" fontId="76" fillId="4" borderId="68" applyAlignment="1" pivotButton="0" quotePrefix="0" xfId="21">
      <alignment horizontal="center" vertical="center" wrapText="1"/>
    </xf>
    <xf numFmtId="171" fontId="76" fillId="4" borderId="51" applyAlignment="1" pivotButton="0" quotePrefix="0" xfId="21">
      <alignment horizontal="center" vertical="center" wrapText="1"/>
    </xf>
    <xf numFmtId="164" fontId="38" fillId="18" borderId="16" applyAlignment="1" pivotButton="0" quotePrefix="0" xfId="0">
      <alignment horizontal="left" vertical="center"/>
    </xf>
    <xf numFmtId="0" fontId="69" fillId="0" borderId="110" applyAlignment="1" pivotButton="0" quotePrefix="0" xfId="13">
      <alignment vertical="center"/>
    </xf>
    <xf numFmtId="0" fontId="69" fillId="0" borderId="110" applyAlignment="1" pivotButton="0" quotePrefix="0" xfId="13">
      <alignment horizontal="right" vertical="center"/>
    </xf>
    <xf numFmtId="0" fontId="69" fillId="0" borderId="111" applyAlignment="1" pivotButton="0" quotePrefix="0" xfId="13">
      <alignment vertical="center"/>
    </xf>
    <xf numFmtId="172" fontId="72" fillId="0" borderId="111" applyAlignment="1" pivotButton="0" quotePrefix="1" xfId="15">
      <alignment horizontal="left" vertical="center"/>
    </xf>
    <xf numFmtId="0" fontId="69" fillId="0" borderId="115" applyAlignment="1" pivotButton="0" quotePrefix="0" xfId="13">
      <alignment vertical="center"/>
    </xf>
    <xf numFmtId="0" fontId="74" fillId="3" borderId="80" applyAlignment="1" pivotButton="0" quotePrefix="0" xfId="29">
      <alignment horizontal="center" vertical="center"/>
    </xf>
    <xf numFmtId="0" fontId="74" fillId="3" borderId="73" applyAlignment="1" pivotButton="0" quotePrefix="0" xfId="29">
      <alignment horizontal="center" vertical="center"/>
    </xf>
    <xf numFmtId="0" fontId="74" fillId="3" borderId="81" applyAlignment="1" pivotButton="0" quotePrefix="0" xfId="29">
      <alignment horizontal="center" vertical="center"/>
    </xf>
    <xf numFmtId="3" fontId="89" fillId="0" borderId="118" applyAlignment="1" pivotButton="0" quotePrefix="0" xfId="3">
      <alignment horizontal="left" vertical="center"/>
    </xf>
    <xf numFmtId="3" fontId="89" fillId="0" borderId="118" applyAlignment="1" pivotButton="0" quotePrefix="0" xfId="3">
      <alignment horizontal="center" vertical="center"/>
    </xf>
    <xf numFmtId="173" fontId="89" fillId="0" borderId="118" applyAlignment="1" pivotButton="0" quotePrefix="0" xfId="31">
      <alignment horizontal="left" vertical="center"/>
    </xf>
    <xf numFmtId="0" fontId="24" fillId="0" borderId="72" pivotButton="0" quotePrefix="0" xfId="32"/>
    <xf numFmtId="174" fontId="89" fillId="0" borderId="118" applyAlignment="1" pivotButton="0" quotePrefix="0" xfId="31">
      <alignment horizontal="left" vertical="center"/>
    </xf>
    <xf numFmtId="3" fontId="89" fillId="0" borderId="118" applyAlignment="1" pivotButton="0" quotePrefix="0" xfId="3">
      <alignment horizontal="left" vertical="center" wrapText="1"/>
    </xf>
    <xf numFmtId="174" fontId="89" fillId="0" borderId="118" applyAlignment="1" pivotButton="0" quotePrefix="0" xfId="23">
      <alignment horizontal="left" vertical="center"/>
    </xf>
    <xf numFmtId="3" fontId="89" fillId="0" borderId="118" applyAlignment="1" pivotButton="0" quotePrefix="0" xfId="0">
      <alignment horizontal="left" vertical="center"/>
    </xf>
    <xf numFmtId="174" fontId="89" fillId="0" borderId="118" applyAlignment="1" pivotButton="0" quotePrefix="0" xfId="33">
      <alignment horizontal="left" vertical="center"/>
    </xf>
    <xf numFmtId="2" fontId="37" fillId="7" borderId="16" applyAlignment="1" pivotButton="0" quotePrefix="0" xfId="4">
      <alignment horizontal="left" vertical="center"/>
    </xf>
    <xf numFmtId="2" fontId="38" fillId="0" borderId="16" applyAlignment="1" pivotButton="0" quotePrefix="0" xfId="4">
      <alignment horizontal="left" vertical="center"/>
    </xf>
    <xf numFmtId="2" fontId="89" fillId="0" borderId="118" applyAlignment="1" pivotButton="0" quotePrefix="0" xfId="4">
      <alignment horizontal="left" vertical="center"/>
    </xf>
    <xf numFmtId="0" fontId="31" fillId="0" borderId="72" pivotButton="0" quotePrefix="0" xfId="16"/>
    <xf numFmtId="49" fontId="31" fillId="0" borderId="109" pivotButton="0" quotePrefix="0" xfId="16"/>
    <xf numFmtId="0" fontId="31" fillId="0" borderId="109" applyAlignment="1" pivotButton="0" quotePrefix="0" xfId="16">
      <alignment horizontal="left"/>
    </xf>
    <xf numFmtId="0" fontId="31" fillId="0" borderId="109" applyAlignment="1" pivotButton="0" quotePrefix="0" xfId="16">
      <alignment horizontal="center" vertical="center"/>
    </xf>
    <xf numFmtId="0" fontId="31" fillId="0" borderId="109" pivotButton="0" quotePrefix="0" xfId="16"/>
    <xf numFmtId="0" fontId="31" fillId="0" borderId="109" applyAlignment="1" pivotButton="0" quotePrefix="0" xfId="16">
      <alignment horizontal="right"/>
    </xf>
    <xf numFmtId="0" fontId="31" fillId="0" borderId="72" applyAlignment="1" pivotButton="0" quotePrefix="0" xfId="16">
      <alignment horizontal="center"/>
    </xf>
    <xf numFmtId="0" fontId="31" fillId="0" borderId="72" applyAlignment="1" pivotButton="0" quotePrefix="0" xfId="16">
      <alignment vertical="center"/>
    </xf>
    <xf numFmtId="0" fontId="31" fillId="0" borderId="75" applyAlignment="1" pivotButton="0" quotePrefix="0" xfId="16">
      <alignment vertical="center"/>
    </xf>
    <xf numFmtId="0" fontId="31" fillId="0" borderId="119" applyAlignment="1" pivotButton="0" quotePrefix="0" xfId="16">
      <alignment vertical="center"/>
    </xf>
    <xf numFmtId="0" fontId="31" fillId="0" borderId="119" applyAlignment="1" pivotButton="0" quotePrefix="0" xfId="16">
      <alignment horizontal="left" vertical="center"/>
    </xf>
    <xf numFmtId="0" fontId="90" fillId="0" borderId="119" applyAlignment="1" pivotButton="0" quotePrefix="0" xfId="16">
      <alignment vertical="center"/>
    </xf>
    <xf numFmtId="0" fontId="90" fillId="0" borderId="119" applyAlignment="1" pivotButton="0" quotePrefix="0" xfId="16">
      <alignment horizontal="right" vertical="center"/>
    </xf>
    <xf numFmtId="0" fontId="91" fillId="0" borderId="119" applyAlignment="1" pivotButton="0" quotePrefix="0" xfId="16">
      <alignment horizontal="center" vertical="center"/>
    </xf>
    <xf numFmtId="0" fontId="31" fillId="0" borderId="120" applyAlignment="1" pivotButton="0" quotePrefix="0" xfId="16">
      <alignment vertical="center"/>
    </xf>
    <xf numFmtId="0" fontId="31" fillId="0" borderId="77" applyAlignment="1" pivotButton="0" quotePrefix="0" xfId="16">
      <alignment vertical="center"/>
    </xf>
    <xf numFmtId="0" fontId="31" fillId="0" borderId="78" applyAlignment="1" pivotButton="0" quotePrefix="0" xfId="16">
      <alignment vertical="center"/>
    </xf>
    <xf numFmtId="0" fontId="31" fillId="0" borderId="78" applyAlignment="1" pivotButton="0" quotePrefix="0" xfId="16">
      <alignment horizontal="left" vertical="center"/>
    </xf>
    <xf numFmtId="0" fontId="90" fillId="0" borderId="78" applyAlignment="1" pivotButton="0" quotePrefix="0" xfId="16">
      <alignment vertical="center"/>
    </xf>
    <xf numFmtId="0" fontId="90" fillId="0" borderId="78" applyAlignment="1" pivotButton="0" quotePrefix="0" xfId="16">
      <alignment horizontal="right" vertical="center"/>
    </xf>
    <xf numFmtId="0" fontId="91" fillId="0" borderId="78" applyAlignment="1" pivotButton="0" quotePrefix="0" xfId="16">
      <alignment horizontal="center" vertical="center"/>
    </xf>
    <xf numFmtId="0" fontId="31" fillId="0" borderId="79" applyAlignment="1" pivotButton="0" quotePrefix="0" xfId="16">
      <alignment vertical="center"/>
    </xf>
    <xf numFmtId="0" fontId="72" fillId="0" borderId="72" pivotButton="0" quotePrefix="0" xfId="13"/>
    <xf numFmtId="0" fontId="85" fillId="0" borderId="76" applyAlignment="1" pivotButton="0" quotePrefix="0" xfId="13">
      <alignment vertical="center"/>
    </xf>
    <xf numFmtId="0" fontId="85" fillId="0" borderId="72" applyAlignment="1" pivotButton="0" quotePrefix="0" xfId="13">
      <alignment vertical="center"/>
    </xf>
    <xf numFmtId="0" fontId="92" fillId="0" borderId="72" applyAlignment="1" pivotButton="0" quotePrefix="0" xfId="13">
      <alignment horizontal="left"/>
    </xf>
    <xf numFmtId="0" fontId="72" fillId="0" borderId="72" applyAlignment="1" pivotButton="0" quotePrefix="0" xfId="13">
      <alignment horizontal="right"/>
    </xf>
    <xf numFmtId="172" fontId="85" fillId="0" borderId="93" applyAlignment="1" pivotButton="0" quotePrefix="1" xfId="15">
      <alignment horizontal="left" vertical="center"/>
    </xf>
    <xf numFmtId="0" fontId="72" fillId="0" borderId="72" applyAlignment="1" pivotButton="0" quotePrefix="0" xfId="13">
      <alignment vertical="center"/>
    </xf>
    <xf numFmtId="172" fontId="85" fillId="0" borderId="76" applyAlignment="1" pivotButton="0" quotePrefix="1" xfId="15">
      <alignment horizontal="left" vertical="center"/>
    </xf>
    <xf numFmtId="172" fontId="85" fillId="0" borderId="72" applyAlignment="1" pivotButton="0" quotePrefix="1" xfId="15">
      <alignment horizontal="left" vertical="center"/>
    </xf>
    <xf numFmtId="17" fontId="71" fillId="0" borderId="72" applyAlignment="1" pivotButton="0" quotePrefix="0" xfId="13">
      <alignment horizontal="left" vertical="center"/>
    </xf>
    <xf numFmtId="17" fontId="72" fillId="0" borderId="72" applyAlignment="1" pivotButton="0" quotePrefix="0" xfId="13">
      <alignment horizontal="left" vertical="center"/>
    </xf>
    <xf numFmtId="0" fontId="72" fillId="0" borderId="72" applyAlignment="1" pivotButton="0" quotePrefix="0" xfId="13">
      <alignment horizontal="right" vertical="center"/>
    </xf>
    <xf numFmtId="17" fontId="71" fillId="0" borderId="72" applyAlignment="1" pivotButton="0" quotePrefix="0" xfId="13">
      <alignment vertical="center"/>
    </xf>
    <xf numFmtId="172" fontId="71" fillId="0" borderId="93" applyAlignment="1" pivotButton="0" quotePrefix="1" xfId="15">
      <alignment horizontal="left" vertical="center"/>
    </xf>
    <xf numFmtId="0" fontId="73" fillId="0" borderId="72" applyAlignment="1" pivotButton="0" quotePrefix="0" xfId="16">
      <alignment vertical="center"/>
    </xf>
    <xf numFmtId="0" fontId="69" fillId="0" borderId="72" applyAlignment="1" pivotButton="0" quotePrefix="0" xfId="16">
      <alignment vertical="center"/>
    </xf>
    <xf numFmtId="49" fontId="74" fillId="19" borderId="87" applyAlignment="1" pivotButton="0" quotePrefix="0" xfId="16">
      <alignment horizontal="center" vertical="center" wrapText="1"/>
    </xf>
    <xf numFmtId="49" fontId="74" fillId="19" borderId="87" applyAlignment="1" pivotButton="0" quotePrefix="0" xfId="16">
      <alignment horizontal="center" vertical="center"/>
    </xf>
    <xf numFmtId="49" fontId="83" fillId="19" borderId="87" applyAlignment="1" pivotButton="0" quotePrefix="0" xfId="16">
      <alignment horizontal="center" vertical="center" wrapText="1"/>
    </xf>
    <xf numFmtId="2" fontId="83" fillId="19" borderId="75" applyAlignment="1" pivotButton="0" quotePrefix="0" xfId="16">
      <alignment horizontal="center" vertical="center" wrapText="1"/>
    </xf>
    <xf numFmtId="0" fontId="83" fillId="19" borderId="74" applyAlignment="1" pivotButton="0" quotePrefix="0" xfId="16">
      <alignment horizontal="center" vertical="center" wrapText="1"/>
    </xf>
    <xf numFmtId="0" fontId="83" fillId="19" borderId="116" applyAlignment="1" pivotButton="0" quotePrefix="0" xfId="33">
      <alignment horizontal="center" vertical="center" wrapText="1"/>
    </xf>
    <xf numFmtId="0" fontId="83" fillId="19" borderId="119" applyAlignment="1" pivotButton="0" quotePrefix="0" xfId="33">
      <alignment horizontal="center" vertical="center" wrapText="1"/>
    </xf>
    <xf numFmtId="0" fontId="83" fillId="19" borderId="120" applyAlignment="1" pivotButton="0" quotePrefix="0" xfId="33">
      <alignment horizontal="center" vertical="center" wrapText="1"/>
    </xf>
    <xf numFmtId="49" fontId="73" fillId="0" borderId="121" applyAlignment="1" pivotButton="0" quotePrefix="0" xfId="16">
      <alignment horizontal="left" vertical="center" wrapText="1"/>
    </xf>
    <xf numFmtId="49" fontId="73" fillId="0" borderId="86" applyAlignment="1" pivotButton="0" quotePrefix="0" xfId="16">
      <alignment horizontal="left" vertical="center"/>
    </xf>
    <xf numFmtId="49" fontId="73" fillId="0" borderId="86" applyAlignment="1" pivotButton="0" quotePrefix="1" xfId="16">
      <alignment horizontal="left" vertical="center" wrapText="1"/>
    </xf>
    <xf numFmtId="0" fontId="73" fillId="0" borderId="86" applyAlignment="1" pivotButton="0" quotePrefix="0" xfId="16">
      <alignment horizontal="left" vertical="center"/>
    </xf>
    <xf numFmtId="4" fontId="73" fillId="0" borderId="86" applyAlignment="1" pivotButton="0" quotePrefix="0" xfId="33">
      <alignment horizontal="center" vertical="center" wrapText="1"/>
    </xf>
    <xf numFmtId="4" fontId="73" fillId="0" borderId="86" applyAlignment="1" pivotButton="0" quotePrefix="0" xfId="33">
      <alignment horizontal="right" vertical="center" wrapText="1"/>
    </xf>
    <xf numFmtId="4" fontId="73" fillId="0" borderId="86" applyAlignment="1" pivotButton="0" quotePrefix="0" xfId="33">
      <alignment horizontal="left" vertical="center"/>
    </xf>
    <xf numFmtId="4" fontId="73" fillId="0" borderId="122" applyAlignment="1" pivotButton="0" quotePrefix="0" xfId="16">
      <alignment horizontal="center" vertical="center" wrapText="1"/>
    </xf>
    <xf numFmtId="0" fontId="73" fillId="0" borderId="86" applyAlignment="1" pivotButton="0" quotePrefix="0" xfId="16">
      <alignment vertical="center"/>
    </xf>
    <xf numFmtId="0" fontId="73" fillId="0" borderId="72" applyAlignment="1" pivotButton="0" quotePrefix="0" xfId="16">
      <alignment horizontal="center" vertical="center"/>
    </xf>
    <xf numFmtId="0" fontId="73" fillId="0" borderId="86" applyAlignment="1" pivotButton="0" quotePrefix="1" xfId="16">
      <alignment horizontal="left" vertical="center" wrapText="1"/>
    </xf>
    <xf numFmtId="4" fontId="96" fillId="0" borderId="86" applyAlignment="1" pivotButton="0" quotePrefix="0" xfId="33">
      <alignment horizontal="center" vertical="center" wrapText="1"/>
    </xf>
    <xf numFmtId="49" fontId="74" fillId="24" borderId="72" applyAlignment="1" pivotButton="0" quotePrefix="0" xfId="16">
      <alignment vertical="center"/>
    </xf>
    <xf numFmtId="0" fontId="74" fillId="24" borderId="72" applyAlignment="1" pivotButton="0" quotePrefix="0" xfId="16">
      <alignment horizontal="left" vertical="center"/>
    </xf>
    <xf numFmtId="0" fontId="74" fillId="24" borderId="72" applyAlignment="1" pivotButton="0" quotePrefix="0" xfId="16">
      <alignment horizontal="center" vertical="center"/>
    </xf>
    <xf numFmtId="0" fontId="74" fillId="24" borderId="72" applyAlignment="1" pivotButton="0" quotePrefix="0" xfId="33">
      <alignment vertical="center"/>
    </xf>
    <xf numFmtId="175" fontId="74" fillId="24" borderId="72" applyAlignment="1" pivotButton="0" quotePrefix="0" xfId="10">
      <alignment vertical="center"/>
    </xf>
    <xf numFmtId="49" fontId="97" fillId="0" borderId="72" applyAlignment="1" pivotButton="0" quotePrefix="0" xfId="16">
      <alignment vertical="center"/>
    </xf>
    <xf numFmtId="49" fontId="68" fillId="0" borderId="72" applyAlignment="1" pivotButton="0" quotePrefix="0" xfId="16">
      <alignment vertical="center"/>
    </xf>
    <xf numFmtId="0" fontId="68" fillId="0" borderId="72" applyAlignment="1" pivotButton="0" quotePrefix="0" xfId="16">
      <alignment horizontal="left" vertical="center"/>
    </xf>
    <xf numFmtId="0" fontId="68" fillId="0" borderId="72" applyAlignment="1" pivotButton="0" quotePrefix="0" xfId="16">
      <alignment horizontal="center" vertical="center"/>
    </xf>
    <xf numFmtId="0" fontId="81" fillId="0" borderId="72" applyAlignment="1" pivotButton="0" quotePrefix="0" xfId="33">
      <alignment vertical="center"/>
    </xf>
    <xf numFmtId="43" fontId="81" fillId="0" borderId="72" applyAlignment="1" pivotButton="0" quotePrefix="0" xfId="33">
      <alignment vertical="center"/>
    </xf>
    <xf numFmtId="0" fontId="81" fillId="0" borderId="72" applyAlignment="1" pivotButton="0" quotePrefix="0" xfId="33">
      <alignment horizontal="left" vertical="center"/>
    </xf>
    <xf numFmtId="0" fontId="68" fillId="0" borderId="72" applyAlignment="1" pivotButton="0" quotePrefix="0" xfId="33">
      <alignment vertical="center"/>
    </xf>
    <xf numFmtId="0" fontId="81" fillId="0" borderId="72" applyAlignment="1" pivotButton="0" quotePrefix="0" xfId="16">
      <alignment horizontal="center" vertical="center"/>
    </xf>
    <xf numFmtId="0" fontId="68" fillId="0" borderId="72" applyAlignment="1" pivotButton="0" quotePrefix="0" xfId="16">
      <alignment vertical="center"/>
    </xf>
    <xf numFmtId="173" fontId="68" fillId="0" borderId="72" applyAlignment="1" pivotButton="0" quotePrefix="0" xfId="16">
      <alignment horizontal="left" vertical="center"/>
    </xf>
    <xf numFmtId="2" fontId="68" fillId="0" borderId="72" applyAlignment="1" pivotButton="0" quotePrefix="0" xfId="10">
      <alignment horizontal="left" vertical="center"/>
    </xf>
    <xf numFmtId="175" fontId="81" fillId="0" borderId="72" applyAlignment="1" pivotButton="0" quotePrefix="0" xfId="33">
      <alignment vertical="center"/>
    </xf>
    <xf numFmtId="0" fontId="81" fillId="0" borderId="72" applyAlignment="1" pivotButton="0" quotePrefix="0" xfId="33">
      <alignment horizontal="right" vertical="center"/>
    </xf>
    <xf numFmtId="0" fontId="71" fillId="0" borderId="72" pivotButton="0" quotePrefix="0" xfId="13"/>
    <xf numFmtId="0" fontId="69" fillId="0" borderId="145" applyAlignment="1" pivotButton="0" quotePrefix="0" xfId="13">
      <alignment vertical="center"/>
    </xf>
    <xf numFmtId="0" fontId="117" fillId="0" borderId="115" applyAlignment="1" pivotButton="0" quotePrefix="0" xfId="13">
      <alignment horizontal="right" vertical="center"/>
    </xf>
    <xf numFmtId="0" fontId="69" fillId="0" borderId="115" applyAlignment="1" pivotButton="0" quotePrefix="0" xfId="13">
      <alignment horizontal="right" vertical="center"/>
    </xf>
    <xf numFmtId="0" fontId="69" fillId="0" borderId="115" applyAlignment="1" pivotButton="0" quotePrefix="0" xfId="13">
      <alignment horizontal="left" vertical="center"/>
    </xf>
    <xf numFmtId="0" fontId="69" fillId="0" borderId="146" applyAlignment="1" pivotButton="0" quotePrefix="0" xfId="13">
      <alignment vertical="center"/>
    </xf>
    <xf numFmtId="0" fontId="117" fillId="0" borderId="111" applyAlignment="1" pivotButton="0" quotePrefix="0" xfId="13">
      <alignment horizontal="right" vertical="center"/>
    </xf>
    <xf numFmtId="0" fontId="69" fillId="0" borderId="111" applyAlignment="1" pivotButton="0" quotePrefix="0" xfId="13">
      <alignment horizontal="right" vertical="center"/>
    </xf>
    <xf numFmtId="0" fontId="69" fillId="0" borderId="111" applyAlignment="1" pivotButton="0" quotePrefix="0" xfId="13">
      <alignment horizontal="left" vertical="center"/>
    </xf>
    <xf numFmtId="0" fontId="69" fillId="0" borderId="148" applyAlignment="1" pivotButton="0" quotePrefix="0" xfId="13">
      <alignment vertical="center"/>
    </xf>
    <xf numFmtId="0" fontId="117" fillId="0" borderId="110" applyAlignment="1" pivotButton="0" quotePrefix="0" xfId="13">
      <alignment horizontal="right" vertical="center"/>
    </xf>
    <xf numFmtId="0" fontId="69" fillId="0" borderId="110" applyAlignment="1" pivotButton="0" quotePrefix="0" xfId="13">
      <alignment horizontal="left" vertical="center"/>
    </xf>
    <xf numFmtId="0" fontId="69" fillId="0" borderId="149" applyAlignment="1" pivotButton="0" quotePrefix="0" xfId="13">
      <alignment vertical="center"/>
    </xf>
    <xf numFmtId="0" fontId="82" fillId="0" borderId="72" pivotButton="0" quotePrefix="0" xfId="29"/>
    <xf numFmtId="0" fontId="69" fillId="0" borderId="72" pivotButton="0" quotePrefix="0" xfId="29"/>
    <xf numFmtId="0" fontId="118" fillId="3" borderId="117" applyAlignment="1" pivotButton="0" quotePrefix="0" xfId="29">
      <alignment vertical="center"/>
    </xf>
    <xf numFmtId="176" fontId="119" fillId="4" borderId="150" applyAlignment="1" pivotButton="0" quotePrefix="0" xfId="29">
      <alignment vertical="center" wrapText="1"/>
    </xf>
    <xf numFmtId="0" fontId="118" fillId="3" borderId="117" applyAlignment="1" pivotButton="0" quotePrefix="0" xfId="29">
      <alignment horizontal="right" vertical="center"/>
    </xf>
    <xf numFmtId="177" fontId="119" fillId="4" borderId="150" applyAlignment="1" pivotButton="0" quotePrefix="0" xfId="29">
      <alignment vertical="center" wrapText="1"/>
    </xf>
    <xf numFmtId="0" fontId="120" fillId="0" borderId="72" pivotButton="0" quotePrefix="0" xfId="29"/>
    <xf numFmtId="0" fontId="69" fillId="0" borderId="89" pivotButton="0" quotePrefix="0" xfId="29"/>
    <xf numFmtId="0" fontId="69" fillId="0" borderId="152" applyAlignment="1" pivotButton="0" quotePrefix="0" xfId="29">
      <alignment horizontal="center"/>
    </xf>
    <xf numFmtId="0" fontId="69" fillId="0" borderId="106" applyAlignment="1" pivotButton="0" quotePrefix="0" xfId="29">
      <alignment horizontal="center"/>
    </xf>
    <xf numFmtId="0" fontId="69" fillId="0" borderId="153" applyAlignment="1" pivotButton="0" quotePrefix="0" xfId="29">
      <alignment horizontal="center"/>
    </xf>
    <xf numFmtId="0" fontId="69" fillId="0" borderId="156" pivotButton="0" quotePrefix="0" xfId="29"/>
    <xf numFmtId="0" fontId="74" fillId="3" borderId="159" applyAlignment="1" pivotButton="0" quotePrefix="0" xfId="29">
      <alignment horizontal="center" vertical="center"/>
    </xf>
    <xf numFmtId="0" fontId="77" fillId="20" borderId="84" applyAlignment="1" pivotButton="0" quotePrefix="0" xfId="29">
      <alignment horizontal="left" vertical="center" indent="1"/>
    </xf>
    <xf numFmtId="0" fontId="77" fillId="21" borderId="84" applyAlignment="1" pivotButton="0" quotePrefix="0" xfId="29">
      <alignment horizontal="left" vertical="center" indent="1"/>
    </xf>
    <xf numFmtId="0" fontId="74" fillId="3" borderId="82" applyAlignment="1" pivotButton="0" quotePrefix="0" xfId="29">
      <alignment horizontal="left" vertical="center" indent="2"/>
    </xf>
    <xf numFmtId="0" fontId="69" fillId="0" borderId="160" applyAlignment="1" pivotButton="0" quotePrefix="0" xfId="29">
      <alignment horizontal="center"/>
    </xf>
    <xf numFmtId="0" fontId="69" fillId="0" borderId="161" applyAlignment="1" pivotButton="0" quotePrefix="0" xfId="29">
      <alignment horizontal="left"/>
    </xf>
    <xf numFmtId="0" fontId="69" fillId="0" borderId="161" applyAlignment="1" pivotButton="0" quotePrefix="0" xfId="29">
      <alignment horizontal="center"/>
    </xf>
    <xf numFmtId="0" fontId="69" fillId="0" borderId="162" applyAlignment="1" pivotButton="0" quotePrefix="0" xfId="29">
      <alignment horizontal="center"/>
    </xf>
    <xf numFmtId="0" fontId="74" fillId="3" borderId="90" applyAlignment="1" pivotButton="0" quotePrefix="0" xfId="29">
      <alignment horizontal="left" vertical="center" indent="2"/>
    </xf>
    <xf numFmtId="4" fontId="95" fillId="0" borderId="86" applyAlignment="1" pivotButton="0" quotePrefix="0" xfId="35">
      <alignment horizontal="center" vertical="center"/>
    </xf>
    <xf numFmtId="0" fontId="124" fillId="0" borderId="194" applyAlignment="1" pivotButton="0" quotePrefix="0" xfId="13">
      <alignment vertical="center"/>
    </xf>
    <xf numFmtId="0" fontId="69" fillId="0" borderId="195" applyAlignment="1" pivotButton="0" quotePrefix="0" xfId="13">
      <alignment vertical="center"/>
    </xf>
    <xf numFmtId="0" fontId="69" fillId="0" borderId="196" applyAlignment="1" pivotButton="0" quotePrefix="0" xfId="13">
      <alignment vertical="center"/>
    </xf>
    <xf numFmtId="0" fontId="124" fillId="0" borderId="197" applyAlignment="1" pivotButton="0" quotePrefix="0" xfId="13">
      <alignment vertical="center"/>
    </xf>
    <xf numFmtId="172" fontId="69" fillId="0" borderId="111" applyAlignment="1" pivotButton="0" quotePrefix="1" xfId="15">
      <alignment horizontal="left" vertical="center"/>
    </xf>
    <xf numFmtId="172" fontId="69" fillId="0" borderId="147" applyAlignment="1" pivotButton="0" quotePrefix="1" xfId="15">
      <alignment horizontal="left" vertical="center"/>
    </xf>
    <xf numFmtId="0" fontId="124" fillId="0" borderId="198" applyAlignment="1" pivotButton="0" quotePrefix="0" xfId="13">
      <alignment vertical="center"/>
    </xf>
    <xf numFmtId="0" fontId="126" fillId="16" borderId="199" applyAlignment="1" pivotButton="0" quotePrefix="0" xfId="14">
      <alignment horizontal="center" vertical="center"/>
    </xf>
    <xf numFmtId="0" fontId="126" fillId="16" borderId="200" applyAlignment="1" pivotButton="0" quotePrefix="0" xfId="14">
      <alignment horizontal="center" vertical="center"/>
    </xf>
    <xf numFmtId="0" fontId="126" fillId="16" borderId="200" applyAlignment="1" pivotButton="0" quotePrefix="0" xfId="14">
      <alignment horizontal="center" vertical="center" wrapText="1"/>
    </xf>
    <xf numFmtId="0" fontId="126" fillId="16" borderId="151" applyAlignment="1" pivotButton="0" quotePrefix="0" xfId="14">
      <alignment horizontal="center" vertical="center" wrapText="1"/>
    </xf>
    <xf numFmtId="0" fontId="127" fillId="31" borderId="89" applyAlignment="1" pivotButton="0" quotePrefix="0" xfId="14">
      <alignment horizontal="left" vertical="center"/>
    </xf>
    <xf numFmtId="0" fontId="31" fillId="0" borderId="72" pivotButton="0" quotePrefix="0" xfId="28"/>
    <xf numFmtId="0" fontId="31" fillId="0" borderId="72" applyAlignment="1" pivotButton="0" quotePrefix="0" xfId="28">
      <alignment horizontal="center" vertical="center"/>
    </xf>
    <xf numFmtId="0" fontId="31" fillId="0" borderId="72" applyAlignment="1" pivotButton="0" quotePrefix="0" xfId="28">
      <alignment horizontal="center"/>
    </xf>
    <xf numFmtId="0" fontId="31" fillId="33" borderId="207" applyAlignment="1" pivotButton="0" quotePrefix="0" xfId="28">
      <alignment horizontal="left" vertical="center" wrapText="1"/>
    </xf>
    <xf numFmtId="0" fontId="31" fillId="34" borderId="207" applyAlignment="1" pivotButton="0" quotePrefix="0" xfId="28">
      <alignment horizontal="left" vertical="center"/>
    </xf>
    <xf numFmtId="0" fontId="129" fillId="35" borderId="207" applyAlignment="1" pivotButton="0" quotePrefix="0" xfId="28">
      <alignment horizontal="left" vertical="center" wrapText="1"/>
    </xf>
    <xf numFmtId="2" fontId="129" fillId="35" borderId="207" applyAlignment="1" pivotButton="0" quotePrefix="0" xfId="28">
      <alignment horizontal="center" vertical="center"/>
    </xf>
    <xf numFmtId="0" fontId="52" fillId="36" borderId="72" applyAlignment="1" pivotButton="0" quotePrefix="0" xfId="28">
      <alignment horizontal="center" vertical="center"/>
    </xf>
    <xf numFmtId="0" fontId="130" fillId="32" borderId="211" applyAlignment="1" pivotButton="0" quotePrefix="0" xfId="28">
      <alignment horizontal="center" vertical="center"/>
    </xf>
    <xf numFmtId="0" fontId="130" fillId="32" borderId="212" applyAlignment="1" pivotButton="0" quotePrefix="0" xfId="28">
      <alignment horizontal="center"/>
    </xf>
    <xf numFmtId="0" fontId="31" fillId="32" borderId="213" pivotButton="0" quotePrefix="0" xfId="28"/>
    <xf numFmtId="0" fontId="130" fillId="32" borderId="214" pivotButton="0" quotePrefix="0" xfId="28"/>
    <xf numFmtId="0" fontId="130" fillId="32" borderId="215" applyAlignment="1" pivotButton="0" quotePrefix="0" xfId="28">
      <alignment horizontal="center" vertical="center"/>
    </xf>
    <xf numFmtId="0" fontId="130" fillId="32" borderId="216" applyAlignment="1" pivotButton="0" quotePrefix="0" xfId="28">
      <alignment horizontal="center"/>
    </xf>
    <xf numFmtId="0" fontId="31" fillId="32" borderId="215" applyAlignment="1" pivotButton="0" quotePrefix="0" xfId="28">
      <alignment horizontal="center" vertical="center"/>
    </xf>
    <xf numFmtId="0" fontId="31" fillId="32" borderId="216" applyAlignment="1" pivotButton="0" quotePrefix="0" xfId="28">
      <alignment horizontal="center"/>
    </xf>
    <xf numFmtId="0" fontId="31" fillId="32" borderId="217" applyAlignment="1" pivotButton="0" quotePrefix="0" xfId="28">
      <alignment horizontal="center" vertical="center"/>
    </xf>
    <xf numFmtId="0" fontId="130" fillId="32" borderId="218" applyAlignment="1" pivotButton="0" quotePrefix="0" xfId="28">
      <alignment horizontal="center"/>
    </xf>
    <xf numFmtId="9" fontId="0" fillId="32" borderId="219" applyAlignment="1" pivotButton="0" quotePrefix="0" xfId="6">
      <alignment horizontal="center" vertical="center"/>
    </xf>
    <xf numFmtId="0" fontId="130" fillId="32" borderId="220" applyAlignment="1" pivotButton="0" quotePrefix="0" xfId="28">
      <alignment horizontal="center"/>
    </xf>
    <xf numFmtId="0" fontId="131" fillId="0" borderId="18" applyAlignment="1" pivotButton="0" quotePrefix="0" xfId="13">
      <alignment vertical="center"/>
    </xf>
    <xf numFmtId="0" fontId="124" fillId="0" borderId="221" applyAlignment="1" pivotButton="0" quotePrefix="0" xfId="13">
      <alignment vertical="center"/>
    </xf>
    <xf numFmtId="0" fontId="131" fillId="0" borderId="115" applyAlignment="1" pivotButton="0" quotePrefix="0" xfId="13">
      <alignment vertical="center"/>
    </xf>
    <xf numFmtId="0" fontId="69" fillId="0" borderId="2" applyAlignment="1" pivotButton="0" quotePrefix="0" xfId="13">
      <alignment vertical="center"/>
    </xf>
    <xf numFmtId="0" fontId="68" fillId="0" borderId="72" applyAlignment="1" pivotButton="0" quotePrefix="0" xfId="14">
      <alignment horizontal="center" vertical="center"/>
    </xf>
    <xf numFmtId="17" fontId="124" fillId="15" borderId="222" applyAlignment="1" pivotButton="0" quotePrefix="0" xfId="13">
      <alignment vertical="center"/>
    </xf>
    <xf numFmtId="17" fontId="124" fillId="15" borderId="223" applyAlignment="1" pivotButton="0" quotePrefix="0" xfId="13">
      <alignment horizontal="left" vertical="center"/>
    </xf>
    <xf numFmtId="17" fontId="124" fillId="15" borderId="223" applyAlignment="1" pivotButton="0" quotePrefix="0" xfId="13">
      <alignment vertical="center"/>
    </xf>
    <xf numFmtId="0" fontId="124" fillId="15" borderId="223" applyAlignment="1" pivotButton="0" quotePrefix="0" xfId="14">
      <alignment vertical="center"/>
    </xf>
    <xf numFmtId="0" fontId="68" fillId="0" borderId="72" applyAlignment="1" pivotButton="0" quotePrefix="0" xfId="14">
      <alignment vertical="center"/>
    </xf>
    <xf numFmtId="0" fontId="69" fillId="0" borderId="72" pivotButton="0" quotePrefix="0" xfId="13"/>
    <xf numFmtId="17" fontId="69" fillId="0" borderId="224" applyAlignment="1" pivotButton="0" quotePrefix="0" xfId="14">
      <alignment horizontal="left" vertical="center"/>
    </xf>
    <xf numFmtId="3" fontId="69" fillId="0" borderId="225" applyAlignment="1" pivotButton="0" quotePrefix="0" xfId="26">
      <alignment horizontal="left" vertical="center"/>
    </xf>
    <xf numFmtId="4" fontId="69" fillId="37" borderId="226" applyAlignment="1" pivotButton="0" quotePrefix="0" xfId="26">
      <alignment vertical="center" wrapText="1"/>
    </xf>
    <xf numFmtId="4" fontId="69" fillId="38" borderId="107" applyAlignment="1" pivotButton="0" quotePrefix="0" xfId="26">
      <alignment vertical="center"/>
    </xf>
    <xf numFmtId="4" fontId="69" fillId="38" borderId="225" applyAlignment="1" pivotButton="0" quotePrefix="0" xfId="26">
      <alignment vertical="center"/>
    </xf>
    <xf numFmtId="4" fontId="69" fillId="39" borderId="107" applyAlignment="1" pivotButton="0" quotePrefix="0" xfId="27">
      <alignment horizontal="center" vertical="center"/>
    </xf>
    <xf numFmtId="4" fontId="69" fillId="38" borderId="107" applyAlignment="1" pivotButton="0" quotePrefix="0" xfId="26">
      <alignment vertical="center" wrapText="1"/>
    </xf>
    <xf numFmtId="0" fontId="69" fillId="0" borderId="72" applyAlignment="1" pivotButton="0" quotePrefix="0" xfId="14">
      <alignment vertical="center"/>
    </xf>
    <xf numFmtId="3" fontId="69" fillId="0" borderId="106" applyAlignment="1" pivotButton="0" quotePrefix="0" xfId="26">
      <alignment horizontal="left" vertical="center"/>
    </xf>
    <xf numFmtId="4" fontId="69" fillId="38" borderId="106" applyAlignment="1" pivotButton="0" quotePrefix="0" xfId="26">
      <alignment vertical="center"/>
    </xf>
    <xf numFmtId="4" fontId="69" fillId="39" borderId="106" applyAlignment="1" pivotButton="0" quotePrefix="0" xfId="27">
      <alignment horizontal="center" vertical="center"/>
    </xf>
    <xf numFmtId="4" fontId="69" fillId="38" borderId="108" applyAlignment="1" pivotButton="0" quotePrefix="0" xfId="26">
      <alignment vertical="center"/>
    </xf>
    <xf numFmtId="0" fontId="31" fillId="39" borderId="233" applyAlignment="1" pivotButton="0" quotePrefix="0" xfId="14">
      <alignment vertical="center"/>
    </xf>
    <xf numFmtId="0" fontId="31" fillId="39" borderId="233" applyAlignment="1" pivotButton="0" quotePrefix="0" xfId="14">
      <alignment horizontal="left" vertical="center"/>
    </xf>
    <xf numFmtId="0" fontId="31" fillId="0" borderId="233" applyAlignment="1" pivotButton="0" quotePrefix="0" xfId="14">
      <alignment vertical="center"/>
    </xf>
    <xf numFmtId="17" fontId="124" fillId="15" borderId="234" applyAlignment="1" pivotButton="0" quotePrefix="0" xfId="13">
      <alignment vertical="center"/>
    </xf>
    <xf numFmtId="17" fontId="124" fillId="15" borderId="235" applyAlignment="1" pivotButton="0" quotePrefix="0" xfId="13">
      <alignment horizontal="left" vertical="center"/>
    </xf>
    <xf numFmtId="17" fontId="124" fillId="15" borderId="235" applyAlignment="1" pivotButton="0" quotePrefix="0" xfId="13">
      <alignment vertical="center"/>
    </xf>
    <xf numFmtId="0" fontId="124" fillId="15" borderId="235" applyAlignment="1" pivotButton="0" quotePrefix="0" xfId="14">
      <alignment vertical="center"/>
    </xf>
    <xf numFmtId="0" fontId="69" fillId="0" borderId="230" applyAlignment="1" pivotButton="0" quotePrefix="0" xfId="14">
      <alignment horizontal="left" vertical="center"/>
    </xf>
    <xf numFmtId="0" fontId="31" fillId="37" borderId="72" applyAlignment="1" pivotButton="0" quotePrefix="0" xfId="14">
      <alignment vertical="center"/>
    </xf>
    <xf numFmtId="0" fontId="31" fillId="0" borderId="72" applyAlignment="1" pivotButton="0" quotePrefix="0" xfId="14">
      <alignment vertical="center"/>
    </xf>
    <xf numFmtId="3" fontId="69" fillId="40" borderId="107" applyAlignment="1" pivotButton="0" quotePrefix="0" xfId="26">
      <alignment horizontal="left" vertical="center"/>
    </xf>
    <xf numFmtId="4" fontId="69" fillId="38" borderId="229" applyAlignment="1" pivotButton="0" quotePrefix="0" xfId="26">
      <alignment vertical="center"/>
    </xf>
    <xf numFmtId="0" fontId="69" fillId="39" borderId="237" applyAlignment="1" pivotButton="0" quotePrefix="1" xfId="14">
      <alignment vertical="center"/>
    </xf>
    <xf numFmtId="17" fontId="69" fillId="39" borderId="237" applyAlignment="1" pivotButton="0" quotePrefix="1" xfId="14">
      <alignment vertical="center"/>
    </xf>
    <xf numFmtId="17" fontId="69" fillId="39" borderId="224" applyAlignment="1" pivotButton="0" quotePrefix="1" xfId="14">
      <alignment horizontal="left" vertical="center"/>
    </xf>
    <xf numFmtId="17" fontId="69" fillId="39" borderId="107" applyAlignment="1" pivotButton="0" quotePrefix="1" xfId="14">
      <alignment horizontal="left" vertical="center"/>
    </xf>
    <xf numFmtId="17" fontId="69" fillId="39" borderId="238" applyAlignment="1" pivotButton="0" quotePrefix="1" xfId="14">
      <alignment horizontal="left" vertical="center"/>
    </xf>
    <xf numFmtId="0" fontId="68" fillId="39" borderId="233" applyAlignment="1" pivotButton="0" quotePrefix="0" xfId="14">
      <alignment vertical="center"/>
    </xf>
    <xf numFmtId="0" fontId="68" fillId="0" borderId="233" applyAlignment="1" pivotButton="0" quotePrefix="0" xfId="14">
      <alignment vertical="center"/>
    </xf>
    <xf numFmtId="0" fontId="131" fillId="0" borderId="239" applyAlignment="1" pivotButton="0" quotePrefix="0" xfId="13">
      <alignment vertical="center"/>
    </xf>
    <xf numFmtId="0" fontId="131" fillId="0" borderId="240" applyAlignment="1" pivotButton="0" quotePrefix="0" xfId="13">
      <alignment vertical="center"/>
    </xf>
    <xf numFmtId="0" fontId="69" fillId="0" borderId="241" applyAlignment="1" pivotButton="0" quotePrefix="0" xfId="13">
      <alignment vertical="center"/>
    </xf>
    <xf numFmtId="0" fontId="69" fillId="0" borderId="242" applyAlignment="1" pivotButton="0" quotePrefix="0" xfId="13">
      <alignment vertical="center"/>
    </xf>
    <xf numFmtId="17" fontId="69" fillId="0" borderId="243" applyAlignment="1" pivotButton="0" quotePrefix="0" xfId="13">
      <alignment horizontal="left" vertical="center"/>
    </xf>
    <xf numFmtId="0" fontId="124" fillId="0" borderId="244" applyAlignment="1" pivotButton="0" quotePrefix="0" xfId="13">
      <alignment vertical="center"/>
    </xf>
    <xf numFmtId="0" fontId="69" fillId="0" borderId="245" applyAlignment="1" pivotButton="0" quotePrefix="0" xfId="13">
      <alignment vertical="center"/>
    </xf>
    <xf numFmtId="17" fontId="69" fillId="0" borderId="245" applyAlignment="1" pivotButton="0" quotePrefix="0" xfId="13">
      <alignment horizontal="left" vertical="center"/>
    </xf>
    <xf numFmtId="17" fontId="69" fillId="0" borderId="246" applyAlignment="1" pivotButton="0" quotePrefix="0" xfId="13">
      <alignment horizontal="left" vertical="center"/>
    </xf>
    <xf numFmtId="0" fontId="83" fillId="16" borderId="248" applyAlignment="1" pivotButton="0" quotePrefix="0" xfId="14">
      <alignment horizontal="center" vertical="center" wrapText="1"/>
    </xf>
    <xf numFmtId="4" fontId="133" fillId="16" borderId="248" applyAlignment="1" pivotButton="0" quotePrefix="0" xfId="48">
      <alignment horizontal="center" vertical="center"/>
    </xf>
    <xf numFmtId="0" fontId="83" fillId="16" borderId="249" applyAlignment="1" pivotButton="0" quotePrefix="0" xfId="14">
      <alignment horizontal="center" vertical="center" wrapText="1"/>
    </xf>
    <xf numFmtId="0" fontId="83" fillId="16" borderId="251" applyAlignment="1" pivotButton="0" quotePrefix="0" xfId="14">
      <alignment horizontal="center" vertical="center" wrapText="1"/>
    </xf>
    <xf numFmtId="178" fontId="133" fillId="16" borderId="251" applyAlignment="1" pivotButton="0" quotePrefix="0" xfId="48">
      <alignment horizontal="center" vertical="center"/>
    </xf>
    <xf numFmtId="4" fontId="83" fillId="16" borderId="252" applyAlignment="1" pivotButton="0" quotePrefix="0" xfId="14">
      <alignment horizontal="center" vertical="center" wrapText="1"/>
    </xf>
    <xf numFmtId="17" fontId="124" fillId="15" borderId="253" applyAlignment="1" pivotButton="0" quotePrefix="0" xfId="13">
      <alignment vertical="center"/>
    </xf>
    <xf numFmtId="17" fontId="124" fillId="15" borderId="254" applyAlignment="1" pivotButton="0" quotePrefix="0" xfId="13">
      <alignment vertical="center"/>
    </xf>
    <xf numFmtId="0" fontId="130" fillId="0" borderId="72" applyAlignment="1" pivotButton="0" quotePrefix="0" xfId="14">
      <alignment vertical="center"/>
    </xf>
    <xf numFmtId="171" fontId="68" fillId="0" borderId="72" applyAlignment="1" pivotButton="0" quotePrefix="0" xfId="14">
      <alignment vertical="center"/>
    </xf>
    <xf numFmtId="171" fontId="81" fillId="0" borderId="72" applyAlignment="1" pivotButton="0" quotePrefix="0" xfId="14">
      <alignment vertical="center"/>
    </xf>
    <xf numFmtId="179" fontId="68" fillId="0" borderId="72" applyAlignment="1" pivotButton="0" quotePrefix="0" xfId="14">
      <alignment vertical="center"/>
    </xf>
    <xf numFmtId="17" fontId="75" fillId="16" borderId="143" applyAlignment="1" pivotButton="0" quotePrefix="0" xfId="13">
      <alignment vertical="center"/>
    </xf>
    <xf numFmtId="17" fontId="75" fillId="16" borderId="144" applyAlignment="1" pivotButton="0" quotePrefix="0" xfId="13">
      <alignment vertical="center"/>
    </xf>
    <xf numFmtId="17" fontId="116" fillId="16" borderId="143" applyAlignment="1" pivotButton="0" quotePrefix="0" xfId="13">
      <alignment horizontal="left" vertical="center" indent="2"/>
    </xf>
    <xf numFmtId="17" fontId="75" fillId="16" borderId="260" applyAlignment="1" pivotButton="0" quotePrefix="0" xfId="13">
      <alignment horizontal="left" vertical="center" indent="2"/>
    </xf>
    <xf numFmtId="17" fontId="69" fillId="0" borderId="258" applyAlignment="1" pivotButton="0" quotePrefix="0" xfId="13">
      <alignment horizontal="center" vertical="center"/>
    </xf>
    <xf numFmtId="17" fontId="69" fillId="0" borderId="268" applyAlignment="1" pivotButton="0" quotePrefix="0" xfId="13">
      <alignment horizontal="center" vertical="center"/>
    </xf>
    <xf numFmtId="17" fontId="69" fillId="0" borderId="269" applyAlignment="1" pivotButton="0" quotePrefix="0" xfId="13">
      <alignment horizontal="center" vertical="center"/>
    </xf>
    <xf numFmtId="17" fontId="69" fillId="15" borderId="272" applyAlignment="1" pivotButton="0" quotePrefix="0" xfId="13">
      <alignment horizontal="center" vertical="center"/>
    </xf>
    <xf numFmtId="17" fontId="69" fillId="15" borderId="273" applyAlignment="1" pivotButton="0" quotePrefix="0" xfId="13">
      <alignment vertical="center"/>
    </xf>
    <xf numFmtId="17" fontId="142" fillId="15" borderId="271" applyAlignment="1" pivotButton="0" quotePrefix="0" xfId="13">
      <alignment horizontal="left" vertical="center" indent="1"/>
    </xf>
    <xf numFmtId="17" fontId="69" fillId="15" borderId="272" applyAlignment="1" pivotButton="0" quotePrefix="0" xfId="13">
      <alignment horizontal="left" vertical="center"/>
    </xf>
    <xf numFmtId="43" fontId="135" fillId="0" borderId="72" pivotButton="0" quotePrefix="0" xfId="15"/>
    <xf numFmtId="43" fontId="135" fillId="0" borderId="54" applyAlignment="1" pivotButton="0" quotePrefix="0" xfId="15">
      <alignment horizontal="center"/>
    </xf>
    <xf numFmtId="43" fontId="135" fillId="0" borderId="286" applyAlignment="1" pivotButton="0" quotePrefix="0" xfId="15">
      <alignment horizontal="center"/>
    </xf>
    <xf numFmtId="43" fontId="135" fillId="41" borderId="287" applyAlignment="1" pivotButton="0" quotePrefix="0" xfId="15">
      <alignment horizontal="center"/>
    </xf>
    <xf numFmtId="43" fontId="135" fillId="0" borderId="55" applyAlignment="1" pivotButton="0" quotePrefix="0" xfId="15">
      <alignment horizontal="center"/>
    </xf>
    <xf numFmtId="43" fontId="135" fillId="0" borderId="288" applyAlignment="1" pivotButton="0" quotePrefix="0" xfId="15">
      <alignment horizontal="center"/>
    </xf>
    <xf numFmtId="43" fontId="135" fillId="41" borderId="289" applyAlignment="1" pivotButton="0" quotePrefix="0" xfId="15">
      <alignment horizontal="center"/>
    </xf>
    <xf numFmtId="43" fontId="135" fillId="0" borderId="291" applyAlignment="1" pivotButton="0" quotePrefix="0" xfId="15">
      <alignment horizontal="center"/>
    </xf>
    <xf numFmtId="43" fontId="135" fillId="0" borderId="290" applyAlignment="1" pivotButton="0" quotePrefix="0" xfId="15">
      <alignment horizontal="center"/>
    </xf>
    <xf numFmtId="43" fontId="135" fillId="41" borderId="292" applyAlignment="1" pivotButton="0" quotePrefix="0" xfId="15">
      <alignment horizontal="center"/>
    </xf>
    <xf numFmtId="43" fontId="135" fillId="37" borderId="55" applyAlignment="1" pivotButton="0" quotePrefix="0" xfId="15">
      <alignment horizontal="center"/>
    </xf>
    <xf numFmtId="43" fontId="135" fillId="0" borderId="56" applyAlignment="1" pivotButton="0" quotePrefix="0" xfId="15">
      <alignment horizontal="center"/>
    </xf>
    <xf numFmtId="43" fontId="135" fillId="37" borderId="56" applyAlignment="1" pivotButton="0" quotePrefix="0" xfId="15">
      <alignment horizontal="center"/>
    </xf>
    <xf numFmtId="43" fontId="135" fillId="0" borderId="293" applyAlignment="1" pivotButton="0" quotePrefix="0" xfId="15">
      <alignment horizontal="center"/>
    </xf>
    <xf numFmtId="43" fontId="135" fillId="41" borderId="294" applyAlignment="1" pivotButton="0" quotePrefix="0" xfId="15">
      <alignment horizontal="center"/>
    </xf>
    <xf numFmtId="43" fontId="135" fillId="37" borderId="291" applyAlignment="1" pivotButton="0" quotePrefix="0" xfId="15">
      <alignment horizontal="center"/>
    </xf>
    <xf numFmtId="43" fontId="135" fillId="0" borderId="296" applyAlignment="1" pivotButton="0" quotePrefix="0" xfId="15">
      <alignment horizontal="center"/>
    </xf>
    <xf numFmtId="43" fontId="135" fillId="0" borderId="295" applyAlignment="1" pivotButton="0" quotePrefix="0" xfId="15">
      <alignment horizontal="center"/>
    </xf>
    <xf numFmtId="43" fontId="135" fillId="41" borderId="297" applyAlignment="1" pivotButton="0" quotePrefix="0" xfId="15">
      <alignment horizontal="center"/>
    </xf>
    <xf numFmtId="43" fontId="135" fillId="0" borderId="232" pivotButton="0" quotePrefix="0" xfId="15"/>
    <xf numFmtId="43" fontId="135" fillId="0" borderId="299" applyAlignment="1" pivotButton="0" quotePrefix="0" xfId="15">
      <alignment horizontal="center"/>
    </xf>
    <xf numFmtId="43" fontId="135" fillId="37" borderId="299" applyAlignment="1" pivotButton="0" quotePrefix="0" xfId="15">
      <alignment horizontal="center"/>
    </xf>
    <xf numFmtId="43" fontId="135" fillId="0" borderId="298" applyAlignment="1" pivotButton="0" quotePrefix="0" xfId="15">
      <alignment horizontal="center"/>
    </xf>
    <xf numFmtId="43" fontId="135" fillId="41" borderId="300" applyAlignment="1" pivotButton="0" quotePrefix="0" xfId="15">
      <alignment horizontal="center"/>
    </xf>
    <xf numFmtId="43" fontId="137" fillId="0" borderId="72" pivotButton="0" quotePrefix="0" xfId="15"/>
    <xf numFmtId="43" fontId="136" fillId="0" borderId="72" pivotButton="0" quotePrefix="0" xfId="15"/>
    <xf numFmtId="43" fontId="145" fillId="0" borderId="288" applyAlignment="1" pivotButton="0" quotePrefix="0" xfId="15">
      <alignment horizontal="center"/>
    </xf>
    <xf numFmtId="43" fontId="145" fillId="0" borderId="298" applyAlignment="1" pivotButton="0" quotePrefix="0" xfId="15">
      <alignment horizontal="center"/>
    </xf>
    <xf numFmtId="0" fontId="126" fillId="16" borderId="259" applyAlignment="1" pivotButton="0" quotePrefix="0" xfId="14">
      <alignment horizontal="center" vertical="center"/>
    </xf>
    <xf numFmtId="0" fontId="79" fillId="16" borderId="259" applyAlignment="1" pivotButton="0" quotePrefix="0" xfId="14">
      <alignment horizontal="center" vertical="center" wrapText="1"/>
    </xf>
    <xf numFmtId="0" fontId="130" fillId="32" borderId="74" applyAlignment="1" pivotButton="0" quotePrefix="0" xfId="0">
      <alignment horizontal="center" vertical="center"/>
    </xf>
    <xf numFmtId="0" fontId="129" fillId="35" borderId="207" applyAlignment="1" pivotButton="0" quotePrefix="0" xfId="0">
      <alignment horizontal="left" vertical="center"/>
    </xf>
    <xf numFmtId="0" fontId="129" fillId="35" borderId="207" applyAlignment="1" pivotButton="0" quotePrefix="0" xfId="0">
      <alignment horizontal="left" vertical="center" wrapText="1"/>
    </xf>
    <xf numFmtId="1" fontId="129" fillId="35" borderId="207" applyAlignment="1" pivotButton="0" quotePrefix="0" xfId="0">
      <alignment horizontal="center" vertical="center"/>
    </xf>
    <xf numFmtId="2" fontId="129" fillId="35" borderId="207" applyAlignment="1" pivotButton="0" quotePrefix="0" xfId="0">
      <alignment horizontal="center" vertical="center"/>
    </xf>
    <xf numFmtId="0" fontId="0" fillId="34" borderId="207" applyAlignment="1" pivotButton="0" quotePrefix="0" xfId="0">
      <alignment horizontal="left" vertical="center"/>
    </xf>
    <xf numFmtId="0" fontId="0" fillId="34" borderId="207" applyAlignment="1" pivotButton="0" quotePrefix="0" xfId="0">
      <alignment horizontal="left" vertical="center" wrapText="1"/>
    </xf>
    <xf numFmtId="1" fontId="0" fillId="34" borderId="207" applyAlignment="1" pivotButton="0" quotePrefix="0" xfId="0">
      <alignment horizontal="center" vertical="center"/>
    </xf>
    <xf numFmtId="2" fontId="0" fillId="34" borderId="207" applyAlignment="1" pivotButton="0" quotePrefix="0" xfId="0">
      <alignment horizontal="center" vertical="center"/>
    </xf>
    <xf numFmtId="0" fontId="0" fillId="33" borderId="207" applyAlignment="1" pivotButton="0" quotePrefix="0" xfId="0">
      <alignment horizontal="left" vertical="center"/>
    </xf>
    <xf numFmtId="0" fontId="0" fillId="33" borderId="207" applyAlignment="1" pivotButton="0" quotePrefix="0" xfId="0">
      <alignment horizontal="left" vertical="center" wrapText="1"/>
    </xf>
    <xf numFmtId="1" fontId="0" fillId="33" borderId="207" applyAlignment="1" pivotButton="0" quotePrefix="0" xfId="0">
      <alignment horizontal="center" vertical="center"/>
    </xf>
    <xf numFmtId="2" fontId="0" fillId="33" borderId="207" applyAlignment="1" pivotButton="0" quotePrefix="0" xfId="0">
      <alignment horizontal="center" vertical="center"/>
    </xf>
    <xf numFmtId="0" fontId="0" fillId="32" borderId="207" applyAlignment="1" pivotButton="0" quotePrefix="0" xfId="0">
      <alignment horizontal="left" vertical="center"/>
    </xf>
    <xf numFmtId="0" fontId="0" fillId="32" borderId="207" applyAlignment="1" pivotButton="0" quotePrefix="0" xfId="0">
      <alignment horizontal="left" vertical="center" wrapText="1"/>
    </xf>
    <xf numFmtId="1" fontId="0" fillId="32" borderId="207" applyAlignment="1" pivotButton="0" quotePrefix="0" xfId="0">
      <alignment horizontal="center" vertical="center"/>
    </xf>
    <xf numFmtId="2" fontId="0" fillId="32" borderId="207" applyAlignment="1" pivotButton="0" quotePrefix="0" xfId="0">
      <alignment horizontal="center" vertical="center"/>
    </xf>
    <xf numFmtId="0" fontId="61" fillId="0" borderId="72" applyAlignment="1" pivotButton="0" quotePrefix="0" xfId="60">
      <alignment vertical="center"/>
    </xf>
    <xf numFmtId="175" fontId="61" fillId="0" borderId="72" applyAlignment="1" pivotButton="0" quotePrefix="0" xfId="61">
      <alignment vertical="center"/>
    </xf>
    <xf numFmtId="0" fontId="61" fillId="0" borderId="72" applyAlignment="1" pivotButton="0" quotePrefix="0" xfId="60">
      <alignment vertical="center" wrapText="1"/>
    </xf>
    <xf numFmtId="0" fontId="61" fillId="0" borderId="72" applyAlignment="1" pivotButton="0" quotePrefix="0" xfId="60">
      <alignment horizontal="center" vertical="center"/>
    </xf>
    <xf numFmtId="0" fontId="61" fillId="0" borderId="72" applyAlignment="1" pivotButton="0" quotePrefix="0" xfId="60">
      <alignment horizontal="left" vertical="center"/>
    </xf>
    <xf numFmtId="0" fontId="60" fillId="0" borderId="72" applyAlignment="1" pivotButton="0" quotePrefix="0" xfId="60">
      <alignment vertical="center"/>
    </xf>
    <xf numFmtId="175" fontId="147" fillId="4" borderId="313" applyAlignment="1" pivotButton="0" quotePrefix="0" xfId="10">
      <alignment horizontal="center"/>
    </xf>
    <xf numFmtId="173" fontId="147" fillId="4" borderId="313" applyAlignment="1" pivotButton="0" quotePrefix="0" xfId="64">
      <alignment horizontal="center"/>
    </xf>
    <xf numFmtId="180" fontId="61" fillId="0" borderId="72" applyAlignment="1" pivotButton="0" quotePrefix="0" xfId="65">
      <alignment horizontal="center" vertical="center"/>
    </xf>
    <xf numFmtId="173" fontId="147" fillId="4" borderId="321" applyAlignment="1" pivotButton="0" quotePrefix="0" xfId="64">
      <alignment horizontal="center"/>
    </xf>
    <xf numFmtId="0" fontId="18" fillId="0" borderId="72" pivotButton="0" quotePrefix="0" xfId="66"/>
    <xf numFmtId="0" fontId="59" fillId="4" borderId="61" applyAlignment="1" pivotButton="0" quotePrefix="0" xfId="67">
      <alignment horizontal="center" vertical="center" wrapText="1"/>
    </xf>
    <xf numFmtId="0" fontId="58" fillId="4" borderId="40" applyAlignment="1" pivotButton="0" quotePrefix="0" xfId="67">
      <alignment horizontal="center" vertical="center" wrapText="1"/>
    </xf>
    <xf numFmtId="0" fontId="57" fillId="4" borderId="58" applyAlignment="1" pivotButton="0" quotePrefix="0" xfId="67">
      <alignment horizontal="left" vertical="center" wrapText="1"/>
    </xf>
    <xf numFmtId="0" fontId="56" fillId="12" borderId="60" applyAlignment="1" pivotButton="0" quotePrefix="0" xfId="67">
      <alignment vertical="center" wrapText="1"/>
    </xf>
    <xf numFmtId="0" fontId="59" fillId="4" borderId="64" applyAlignment="1" pivotButton="0" quotePrefix="0" xfId="67">
      <alignment horizontal="center" vertical="center" wrapText="1"/>
    </xf>
    <xf numFmtId="0" fontId="58" fillId="4" borderId="59" applyAlignment="1" pivotButton="0" quotePrefix="0" xfId="67">
      <alignment horizontal="center" vertical="center" wrapText="1"/>
    </xf>
    <xf numFmtId="0" fontId="56" fillId="12" borderId="11" applyAlignment="1" pivotButton="0" quotePrefix="0" xfId="67">
      <alignment vertical="center" wrapText="1"/>
    </xf>
    <xf numFmtId="0" fontId="59" fillId="4" borderId="19" applyAlignment="1" pivotButton="0" quotePrefix="0" xfId="67">
      <alignment horizontal="center" vertical="center" wrapText="1"/>
    </xf>
    <xf numFmtId="0" fontId="58" fillId="4" borderId="69" applyAlignment="1" pivotButton="0" quotePrefix="0" xfId="67">
      <alignment horizontal="center" vertical="center" wrapText="1"/>
    </xf>
    <xf numFmtId="0" fontId="57" fillId="4" borderId="57" applyAlignment="1" pivotButton="0" quotePrefix="0" xfId="67">
      <alignment horizontal="left" vertical="center" wrapText="1"/>
    </xf>
    <xf numFmtId="0" fontId="56" fillId="12" borderId="8" applyAlignment="1" pivotButton="0" quotePrefix="0" xfId="67">
      <alignment vertical="center" wrapText="1"/>
    </xf>
    <xf numFmtId="0" fontId="54" fillId="46" borderId="159" applyAlignment="1" pivotButton="0" quotePrefix="0" xfId="60">
      <alignment horizontal="center" vertical="center" wrapText="1"/>
    </xf>
    <xf numFmtId="0" fontId="54" fillId="46" borderId="73" applyAlignment="1" pivotButton="0" quotePrefix="0" xfId="60">
      <alignment horizontal="center" vertical="center" wrapText="1"/>
    </xf>
    <xf numFmtId="175" fontId="54" fillId="46" borderId="114" applyAlignment="1" pivotButton="0" quotePrefix="0" xfId="61">
      <alignment horizontal="center" vertical="center" wrapText="1"/>
    </xf>
    <xf numFmtId="175" fontId="54" fillId="46" borderId="81" applyAlignment="1" pivotButton="0" quotePrefix="0" xfId="61">
      <alignment horizontal="center" vertical="center" wrapText="1"/>
    </xf>
    <xf numFmtId="0" fontId="148" fillId="0" borderId="72" applyAlignment="1" pivotButton="0" quotePrefix="0" xfId="60">
      <alignment vertical="center"/>
    </xf>
    <xf numFmtId="0" fontId="147" fillId="4" borderId="322" applyAlignment="1" pivotButton="0" quotePrefix="0" xfId="63">
      <alignment horizontal="right"/>
    </xf>
    <xf numFmtId="0" fontId="147" fillId="4" borderId="320" applyAlignment="1" pivotButton="0" quotePrefix="0" xfId="63">
      <alignment horizontal="right"/>
    </xf>
    <xf numFmtId="0" fontId="149" fillId="15" borderId="319" applyAlignment="1" pivotButton="0" quotePrefix="0" xfId="60">
      <alignment vertical="center" wrapText="1"/>
    </xf>
    <xf numFmtId="0" fontId="149" fillId="15" borderId="85" applyAlignment="1" pivotButton="0" quotePrefix="0" xfId="60">
      <alignment horizontal="left" vertical="center"/>
    </xf>
    <xf numFmtId="0" fontId="149" fillId="15" borderId="85" applyAlignment="1" pivotButton="0" quotePrefix="0" xfId="60">
      <alignment vertical="center" wrapText="1"/>
    </xf>
    <xf numFmtId="173" fontId="150" fillId="15" borderId="85" applyAlignment="1" pivotButton="0" quotePrefix="0" xfId="62">
      <alignment vertical="center"/>
    </xf>
    <xf numFmtId="175" fontId="150" fillId="15" borderId="116" applyAlignment="1" pivotButton="0" quotePrefix="0" xfId="61">
      <alignment vertical="center"/>
    </xf>
    <xf numFmtId="175" fontId="150" fillId="15" borderId="83" applyAlignment="1" pivotButton="0" quotePrefix="0" xfId="61">
      <alignment vertical="center"/>
    </xf>
    <xf numFmtId="0" fontId="55" fillId="41" borderId="316" applyAlignment="1" pivotButton="0" quotePrefix="0" xfId="60">
      <alignment vertical="center" wrapText="1"/>
    </xf>
    <xf numFmtId="0" fontId="151" fillId="45" borderId="117" applyAlignment="1" pivotButton="0" quotePrefix="0" xfId="60">
      <alignment horizontal="left" vertical="center"/>
    </xf>
    <xf numFmtId="0" fontId="149" fillId="0" borderId="85" applyAlignment="1" pivotButton="0" quotePrefix="0" xfId="60">
      <alignment horizontal="right" vertical="center" wrapText="1"/>
    </xf>
    <xf numFmtId="173" fontId="150" fillId="0" borderId="85" applyAlignment="1" pivotButton="0" quotePrefix="0" xfId="62">
      <alignment vertical="center"/>
    </xf>
    <xf numFmtId="175" fontId="150" fillId="0" borderId="85" applyAlignment="1" pivotButton="0" quotePrefix="0" xfId="61">
      <alignment vertical="center"/>
    </xf>
    <xf numFmtId="175" fontId="150" fillId="0" borderId="318" applyAlignment="1" pivotButton="0" quotePrefix="0" xfId="61">
      <alignment vertical="center"/>
    </xf>
    <xf numFmtId="175" fontId="150" fillId="0" borderId="318" applyAlignment="1" pivotButton="0" quotePrefix="0" xfId="61">
      <alignment vertical="center" wrapText="1"/>
    </xf>
    <xf numFmtId="0" fontId="55" fillId="41" borderId="315" applyAlignment="1" pivotButton="0" quotePrefix="0" xfId="60">
      <alignment horizontal="left" vertical="center"/>
    </xf>
    <xf numFmtId="0" fontId="55" fillId="0" borderId="269" applyAlignment="1" pivotButton="0" quotePrefix="0" xfId="60">
      <alignment vertical="center" wrapText="1"/>
    </xf>
    <xf numFmtId="173" fontId="152" fillId="0" borderId="269" applyAlignment="1" pivotButton="0" quotePrefix="0" xfId="62">
      <alignment vertical="center"/>
    </xf>
    <xf numFmtId="171" fontId="152" fillId="0" borderId="317" applyAlignment="1" pivotButton="0" quotePrefix="0" xfId="41">
      <alignment vertical="center"/>
    </xf>
    <xf numFmtId="175" fontId="55" fillId="0" borderId="313" applyAlignment="1" pivotButton="0" quotePrefix="0" xfId="61">
      <alignment vertical="center"/>
    </xf>
    <xf numFmtId="171" fontId="152" fillId="0" borderId="314" applyAlignment="1" pivotButton="0" quotePrefix="0" xfId="41">
      <alignment vertical="center"/>
    </xf>
    <xf numFmtId="173" fontId="152" fillId="0" borderId="315" applyAlignment="1" pivotButton="0" quotePrefix="0" xfId="62">
      <alignment vertical="center"/>
    </xf>
    <xf numFmtId="0" fontId="55" fillId="41" borderId="258" applyAlignment="1" pivotButton="0" quotePrefix="0" xfId="60">
      <alignment horizontal="left" vertical="center"/>
    </xf>
    <xf numFmtId="0" fontId="54" fillId="46" borderId="113" applyAlignment="1" pivotButton="0" quotePrefix="0" xfId="60">
      <alignment horizontal="center" vertical="center"/>
    </xf>
    <xf numFmtId="0" fontId="57" fillId="4" borderId="69" applyAlignment="1" pivotButton="0" quotePrefix="0" xfId="67">
      <alignment horizontal="left" vertical="center"/>
    </xf>
    <xf numFmtId="0" fontId="57" fillId="4" borderId="59" applyAlignment="1" pivotButton="0" quotePrefix="0" xfId="67">
      <alignment horizontal="left" vertical="center"/>
    </xf>
    <xf numFmtId="0" fontId="57" fillId="4" borderId="40" applyAlignment="1" pivotButton="0" quotePrefix="0" xfId="67">
      <alignment horizontal="left" vertical="center"/>
    </xf>
    <xf numFmtId="0" fontId="149" fillId="15" borderId="85" applyAlignment="1" pivotButton="0" quotePrefix="0" xfId="60">
      <alignment vertical="center"/>
    </xf>
    <xf numFmtId="0" fontId="149" fillId="0" borderId="85" applyAlignment="1" pivotButton="0" quotePrefix="0" xfId="60">
      <alignment horizontal="right" vertical="center"/>
    </xf>
    <xf numFmtId="0" fontId="74" fillId="3" borderId="142" applyAlignment="1" pivotButton="0" quotePrefix="0" xfId="29">
      <alignment horizontal="left" vertical="center"/>
    </xf>
    <xf numFmtId="0" fontId="124" fillId="0" borderId="323" applyAlignment="1" pivotButton="0" quotePrefix="0" xfId="13">
      <alignment horizontal="left" vertical="center"/>
    </xf>
    <xf numFmtId="0" fontId="69" fillId="0" borderId="45" applyAlignment="1" pivotButton="0" quotePrefix="0" xfId="13">
      <alignment horizontal="left" vertical="center"/>
    </xf>
    <xf numFmtId="0" fontId="80" fillId="0" borderId="45" applyAlignment="1" pivotButton="0" quotePrefix="0" xfId="13">
      <alignment vertical="center"/>
    </xf>
    <xf numFmtId="172" fontId="124" fillId="0" borderId="324" applyAlignment="1" pivotButton="0" quotePrefix="1" xfId="15">
      <alignment horizontal="left" vertical="center"/>
    </xf>
    <xf numFmtId="172" fontId="69" fillId="0" borderId="325" applyAlignment="1" pivotButton="0" quotePrefix="1" xfId="15">
      <alignment horizontal="left" vertical="center"/>
    </xf>
    <xf numFmtId="0" fontId="71" fillId="0" borderId="45" applyAlignment="1" pivotButton="0" quotePrefix="0" xfId="13">
      <alignment vertical="center"/>
    </xf>
    <xf numFmtId="17" fontId="69" fillId="0" borderId="326" applyAlignment="1" pivotButton="0" quotePrefix="0" xfId="13">
      <alignment horizontal="left" vertical="center"/>
    </xf>
    <xf numFmtId="0" fontId="69" fillId="0" borderId="45" applyAlignment="1" pivotButton="0" quotePrefix="0" xfId="13">
      <alignment horizontal="right" vertical="center"/>
    </xf>
    <xf numFmtId="14" fontId="69" fillId="0" borderId="45" applyAlignment="1" pivotButton="0" quotePrefix="0" xfId="13">
      <alignment horizontal="center" vertical="center"/>
    </xf>
    <xf numFmtId="0" fontId="68" fillId="39" borderId="72" applyAlignment="1" pivotButton="0" quotePrefix="0" xfId="14">
      <alignment vertical="center"/>
    </xf>
    <xf numFmtId="0" fontId="68" fillId="39" borderId="72" applyAlignment="1" pivotButton="0" quotePrefix="0" xfId="14">
      <alignment horizontal="left" vertical="center"/>
    </xf>
    <xf numFmtId="0" fontId="126" fillId="16" borderId="120" applyAlignment="1" pivotButton="0" quotePrefix="0" xfId="14">
      <alignment horizontal="center" vertical="center"/>
    </xf>
    <xf numFmtId="0" fontId="126" fillId="16" borderId="120" applyAlignment="1" pivotButton="0" quotePrefix="0" xfId="14">
      <alignment horizontal="center" vertical="center" wrapText="1"/>
    </xf>
    <xf numFmtId="0" fontId="126" fillId="16" borderId="87" applyAlignment="1" pivotButton="0" quotePrefix="0" xfId="14">
      <alignment horizontal="center" vertical="center" wrapText="1"/>
    </xf>
    <xf numFmtId="0" fontId="126" fillId="16" borderId="87" applyAlignment="1" pivotButton="0" quotePrefix="0" xfId="47">
      <alignment horizontal="center" vertical="center"/>
    </xf>
    <xf numFmtId="0" fontId="126" fillId="16" borderId="117" applyAlignment="1" pivotButton="0" quotePrefix="0" xfId="47">
      <alignment horizontal="center" vertical="center"/>
    </xf>
    <xf numFmtId="0" fontId="126" fillId="16" borderId="85" applyAlignment="1" pivotButton="0" quotePrefix="0" xfId="47">
      <alignment horizontal="center" vertical="center" wrapText="1"/>
    </xf>
    <xf numFmtId="0" fontId="126" fillId="16" borderId="116" applyAlignment="1" pivotButton="0" quotePrefix="0" xfId="47">
      <alignment horizontal="center" vertical="center" wrapText="1"/>
    </xf>
    <xf numFmtId="0" fontId="126" fillId="16" borderId="116" applyAlignment="1" pivotButton="0" quotePrefix="0" xfId="47">
      <alignment horizontal="center" vertical="center"/>
    </xf>
    <xf numFmtId="0" fontId="126" fillId="16" borderId="93" applyAlignment="1" pivotButton="0" quotePrefix="0" xfId="14">
      <alignment vertical="center"/>
    </xf>
    <xf numFmtId="0" fontId="126" fillId="16" borderId="259" applyAlignment="1" pivotButton="0" quotePrefix="0" xfId="14">
      <alignment horizontal="left" vertical="center"/>
    </xf>
    <xf numFmtId="0" fontId="126" fillId="16" borderId="259" applyAlignment="1" pivotButton="0" quotePrefix="0" xfId="47">
      <alignment horizontal="center" vertical="center" wrapText="1"/>
    </xf>
    <xf numFmtId="0" fontId="126" fillId="16" borderId="87" applyAlignment="1" pivotButton="0" quotePrefix="0" xfId="47">
      <alignment horizontal="center" vertical="center" wrapText="1"/>
    </xf>
    <xf numFmtId="0" fontId="126" fillId="16" borderId="120" applyAlignment="1" pivotButton="0" quotePrefix="0" xfId="28">
      <alignment horizontal="center" vertical="center"/>
    </xf>
    <xf numFmtId="0" fontId="79" fillId="16" borderId="259" applyAlignment="1" pivotButton="0" quotePrefix="0" xfId="47">
      <alignment horizontal="center" vertical="center" wrapText="1"/>
    </xf>
    <xf numFmtId="0" fontId="129" fillId="16" borderId="76" applyAlignment="1" pivotButton="0" quotePrefix="0" xfId="14">
      <alignment vertical="center"/>
    </xf>
    <xf numFmtId="0" fontId="68" fillId="39" borderId="233" applyAlignment="1" pivotButton="0" quotePrefix="0" xfId="14">
      <alignment horizontal="left" vertical="center"/>
    </xf>
    <xf numFmtId="0" fontId="68" fillId="0" borderId="72" applyAlignment="1" pivotButton="0" quotePrefix="0" xfId="14">
      <alignment horizontal="left" vertical="center"/>
    </xf>
    <xf numFmtId="0" fontId="69" fillId="0" borderId="152" applyAlignment="1" pivotButton="0" quotePrefix="0" xfId="29">
      <alignment horizontal="center" wrapText="1"/>
    </xf>
    <xf numFmtId="0" fontId="69" fillId="0" borderId="106" applyAlignment="1" pivotButton="0" quotePrefix="0" xfId="29">
      <alignment horizontal="left" wrapText="1"/>
    </xf>
    <xf numFmtId="0" fontId="69" fillId="0" borderId="106" applyAlignment="1" pivotButton="0" quotePrefix="0" xfId="29">
      <alignment horizontal="center" wrapText="1"/>
    </xf>
    <xf numFmtId="0" fontId="69" fillId="0" borderId="153" applyAlignment="1" pivotButton="0" quotePrefix="0" xfId="29">
      <alignment horizontal="center" wrapText="1"/>
    </xf>
    <xf numFmtId="0" fontId="69" fillId="0" borderId="72" applyAlignment="1" pivotButton="0" quotePrefix="0" xfId="29">
      <alignment wrapText="1"/>
    </xf>
    <xf numFmtId="0" fontId="69" fillId="0" borderId="89" applyAlignment="1" pivotButton="0" quotePrefix="0" xfId="29">
      <alignment wrapText="1"/>
    </xf>
    <xf numFmtId="4" fontId="69" fillId="0" borderId="106" applyAlignment="1" pivotButton="0" quotePrefix="0" xfId="29">
      <alignment horizontal="center" wrapText="1"/>
    </xf>
    <xf numFmtId="0" fontId="74" fillId="3" borderId="80" applyAlignment="1" pivotButton="0" quotePrefix="0" xfId="29">
      <alignment horizontal="center" vertical="center" wrapText="1"/>
    </xf>
    <xf numFmtId="0" fontId="74" fillId="3" borderId="73" applyAlignment="1" pivotButton="0" quotePrefix="0" xfId="29">
      <alignment horizontal="center" vertical="center" wrapText="1"/>
    </xf>
    <xf numFmtId="0" fontId="74" fillId="3" borderId="81" applyAlignment="1" pivotButton="0" quotePrefix="0" xfId="29">
      <alignment horizontal="center" vertical="center" wrapText="1"/>
    </xf>
    <xf numFmtId="0" fontId="69" fillId="0" borderId="160" applyAlignment="1" pivotButton="0" quotePrefix="0" xfId="29">
      <alignment horizontal="center" wrapText="1"/>
    </xf>
    <xf numFmtId="0" fontId="69" fillId="0" borderId="161" applyAlignment="1" pivotButton="0" quotePrefix="0" xfId="29">
      <alignment horizontal="left" wrapText="1"/>
    </xf>
    <xf numFmtId="0" fontId="69" fillId="0" borderId="161" applyAlignment="1" pivotButton="0" quotePrefix="0" xfId="29">
      <alignment horizontal="center" wrapText="1"/>
    </xf>
    <xf numFmtId="0" fontId="69" fillId="0" borderId="162" applyAlignment="1" pivotButton="0" quotePrefix="0" xfId="29">
      <alignment horizontal="center" wrapText="1"/>
    </xf>
    <xf numFmtId="0" fontId="74" fillId="3" borderId="208" applyAlignment="1" pivotButton="0" quotePrefix="0" xfId="29">
      <alignment horizontal="center" vertical="center" wrapText="1"/>
    </xf>
    <xf numFmtId="169" fontId="66" fillId="0" borderId="72" applyAlignment="1" pivotButton="0" quotePrefix="0" xfId="58">
      <alignment horizontal="left" vertical="center"/>
    </xf>
    <xf numFmtId="170" fontId="66" fillId="0" borderId="72" applyAlignment="1" pivotButton="0" quotePrefix="0" xfId="58">
      <alignment horizontal="left" vertical="center"/>
    </xf>
    <xf numFmtId="0" fontId="149" fillId="15" borderId="85" applyAlignment="1" pivotButton="0" quotePrefix="0" xfId="60">
      <alignment horizontal="left" vertical="center" wrapText="1"/>
    </xf>
    <xf numFmtId="173" fontId="150" fillId="15" borderId="85" applyAlignment="1" pivotButton="0" quotePrefix="0" xfId="62">
      <alignment vertical="center" wrapText="1"/>
    </xf>
    <xf numFmtId="175" fontId="150" fillId="15" borderId="116" applyAlignment="1" pivotButton="0" quotePrefix="0" xfId="61">
      <alignment vertical="center" wrapText="1"/>
    </xf>
    <xf numFmtId="175" fontId="150" fillId="15" borderId="83" applyAlignment="1" pivotButton="0" quotePrefix="0" xfId="61">
      <alignment vertical="center" wrapText="1"/>
    </xf>
    <xf numFmtId="0" fontId="124" fillId="31" borderId="72" applyAlignment="1" pivotButton="0" quotePrefix="0" xfId="14">
      <alignment horizontal="center" vertical="center"/>
    </xf>
    <xf numFmtId="0" fontId="124" fillId="31" borderId="72" applyAlignment="1" pivotButton="0" quotePrefix="0" xfId="14">
      <alignment horizontal="center" vertical="center" wrapText="1"/>
    </xf>
    <xf numFmtId="0" fontId="0" fillId="47" borderId="327" applyAlignment="1" pivotButton="0" quotePrefix="0" xfId="0">
      <alignment horizontal="left" vertical="center"/>
    </xf>
    <xf numFmtId="0" fontId="0" fillId="47" borderId="327" applyAlignment="1" pivotButton="0" quotePrefix="0" xfId="0">
      <alignment horizontal="left" vertical="center" wrapText="1"/>
    </xf>
    <xf numFmtId="1" fontId="0" fillId="47" borderId="327" applyAlignment="1" pivotButton="0" quotePrefix="0" xfId="0">
      <alignment horizontal="center" vertical="center"/>
    </xf>
    <xf numFmtId="2" fontId="0" fillId="47" borderId="327" applyAlignment="1" pivotButton="0" quotePrefix="0" xfId="0">
      <alignment horizontal="center" vertical="center"/>
    </xf>
    <xf numFmtId="3" fontId="89" fillId="0" borderId="118" applyAlignment="1" pivotButton="0" quotePrefix="0" xfId="58">
      <alignment horizontal="left" vertical="center"/>
    </xf>
    <xf numFmtId="3" fontId="89" fillId="0" borderId="118" applyAlignment="1" pivotButton="0" quotePrefix="0" xfId="58">
      <alignment horizontal="center" vertical="center"/>
    </xf>
    <xf numFmtId="0" fontId="31" fillId="0" borderId="72" applyAlignment="1" pivotButton="0" quotePrefix="0" xfId="28">
      <alignment wrapText="1"/>
    </xf>
    <xf numFmtId="0" fontId="30" fillId="14" borderId="0" applyAlignment="1" pivotButton="0" quotePrefix="0" xfId="0">
      <alignment vertical="center"/>
    </xf>
    <xf numFmtId="2" fontId="63" fillId="33" borderId="207" applyAlignment="1" pivotButton="0" quotePrefix="0" xfId="0">
      <alignment horizontal="center" vertical="center"/>
    </xf>
    <xf numFmtId="0" fontId="52" fillId="36" borderId="72" applyAlignment="1" pivotButton="0" quotePrefix="0" xfId="28">
      <alignment horizontal="center" vertical="center" wrapText="1"/>
    </xf>
    <xf numFmtId="0" fontId="143" fillId="12" borderId="8" applyAlignment="1" pivotButton="0" quotePrefix="0" xfId="72">
      <alignment vertical="center" wrapText="1"/>
    </xf>
    <xf numFmtId="0" fontId="86" fillId="4" borderId="57" applyAlignment="1" pivotButton="0" quotePrefix="0" xfId="73">
      <alignment horizontal="left" vertical="center"/>
    </xf>
    <xf numFmtId="164" fontId="144" fillId="4" borderId="69" applyAlignment="1" pivotButton="0" quotePrefix="0" xfId="72">
      <alignment horizontal="left" vertical="center" wrapText="1"/>
    </xf>
    <xf numFmtId="0" fontId="76" fillId="4" borderId="69" applyAlignment="1" pivotButton="0" quotePrefix="0" xfId="72">
      <alignment horizontal="center" vertical="center" wrapText="1"/>
    </xf>
    <xf numFmtId="173" fontId="76" fillId="4" borderId="69" applyAlignment="1" pivotButton="0" quotePrefix="0" xfId="74">
      <alignment horizontal="center" vertical="center" wrapText="1"/>
    </xf>
    <xf numFmtId="0" fontId="15" fillId="4" borderId="20" pivotButton="0" quotePrefix="0" xfId="72"/>
    <xf numFmtId="0" fontId="15" fillId="4" borderId="29" pivotButton="0" quotePrefix="0" xfId="72"/>
    <xf numFmtId="0" fontId="15" fillId="4" borderId="21" pivotButton="0" quotePrefix="0" xfId="72"/>
    <xf numFmtId="0" fontId="15" fillId="0" borderId="72" pivotButton="0" quotePrefix="0" xfId="75"/>
    <xf numFmtId="0" fontId="143" fillId="12" borderId="11" applyAlignment="1" pivotButton="0" quotePrefix="0" xfId="72">
      <alignment vertical="center" wrapText="1"/>
    </xf>
    <xf numFmtId="0" fontId="86" fillId="4" borderId="58" applyAlignment="1" pivotButton="0" quotePrefix="0" xfId="73">
      <alignment horizontal="left" vertical="center"/>
    </xf>
    <xf numFmtId="164" fontId="144" fillId="4" borderId="59" applyAlignment="1" pivotButton="0" quotePrefix="0" xfId="72">
      <alignment horizontal="left" vertical="center" wrapText="1"/>
    </xf>
    <xf numFmtId="0" fontId="76" fillId="4" borderId="59" applyAlignment="1" pivotButton="0" quotePrefix="0" xfId="72">
      <alignment horizontal="center" vertical="center" wrapText="1"/>
    </xf>
    <xf numFmtId="173" fontId="76" fillId="4" borderId="59" applyAlignment="1" pivotButton="0" quotePrefix="0" xfId="74">
      <alignment horizontal="center" vertical="center" wrapText="1"/>
    </xf>
    <xf numFmtId="0" fontId="15" fillId="4" borderId="70" pivotButton="0" quotePrefix="0" xfId="72"/>
    <xf numFmtId="0" fontId="15" fillId="4" borderId="72" pivotButton="0" quotePrefix="0" xfId="72"/>
    <xf numFmtId="0" fontId="15" fillId="4" borderId="61" pivotButton="0" quotePrefix="0" xfId="72"/>
    <xf numFmtId="173" fontId="76" fillId="4" borderId="72" applyAlignment="1" pivotButton="0" quotePrefix="0" xfId="74">
      <alignment horizontal="center" vertical="center" wrapText="1"/>
    </xf>
    <xf numFmtId="0" fontId="76" fillId="4" borderId="72" applyAlignment="1" pivotButton="0" quotePrefix="0" xfId="72">
      <alignment horizontal="center" vertical="center" wrapText="1"/>
    </xf>
    <xf numFmtId="0" fontId="136" fillId="0" borderId="72" pivotButton="0" quotePrefix="0" xfId="75"/>
    <xf numFmtId="0" fontId="137" fillId="0" borderId="72" pivotButton="0" quotePrefix="0" xfId="75"/>
    <xf numFmtId="0" fontId="135" fillId="0" borderId="72" pivotButton="0" quotePrefix="0" xfId="75"/>
    <xf numFmtId="0" fontId="135" fillId="37" borderId="279" applyAlignment="1" pivotButton="0" quotePrefix="0" xfId="75">
      <alignment horizontal="center" vertical="center" wrapText="1"/>
    </xf>
    <xf numFmtId="0" fontId="135" fillId="37" borderId="87" applyAlignment="1" pivotButton="0" quotePrefix="0" xfId="75">
      <alignment horizontal="center" vertical="center" wrapText="1"/>
    </xf>
    <xf numFmtId="0" fontId="135" fillId="37" borderId="280" applyAlignment="1" pivotButton="0" quotePrefix="0" xfId="75">
      <alignment horizontal="center" vertical="center" wrapText="1"/>
    </xf>
    <xf numFmtId="0" fontId="145" fillId="0" borderId="80" applyAlignment="1" pivotButton="0" quotePrefix="0" xfId="75">
      <alignment horizontal="center"/>
    </xf>
    <xf numFmtId="0" fontId="145" fillId="0" borderId="73" applyAlignment="1" pivotButton="0" quotePrefix="0" xfId="75">
      <alignment horizontal="center" vertical="center"/>
    </xf>
    <xf numFmtId="0" fontId="145" fillId="0" borderId="81" applyAlignment="1" pivotButton="0" quotePrefix="0" xfId="75">
      <alignment horizontal="center" vertical="center"/>
    </xf>
    <xf numFmtId="0" fontId="145" fillId="0" borderId="286" pivotButton="0" quotePrefix="0" xfId="75"/>
    <xf numFmtId="0" fontId="135" fillId="0" borderId="55" applyAlignment="1" pivotButton="0" quotePrefix="0" xfId="75">
      <alignment vertical="center"/>
    </xf>
    <xf numFmtId="173" fontId="135" fillId="41" borderId="55" applyAlignment="1" pivotButton="0" quotePrefix="0" xfId="74">
      <alignment horizontal="center"/>
    </xf>
    <xf numFmtId="173" fontId="135" fillId="41" borderId="287" applyAlignment="1" pivotButton="0" quotePrefix="0" xfId="74">
      <alignment horizontal="center"/>
    </xf>
    <xf numFmtId="0" fontId="145" fillId="0" borderId="286" applyAlignment="1" pivotButton="0" quotePrefix="0" xfId="75">
      <alignment horizontal="center" vertical="center"/>
    </xf>
    <xf numFmtId="0" fontId="145" fillId="0" borderId="54" applyAlignment="1" pivotButton="0" quotePrefix="0" xfId="75">
      <alignment horizontal="center" vertical="center"/>
    </xf>
    <xf numFmtId="0" fontId="145" fillId="0" borderId="287" applyAlignment="1" pivotButton="0" quotePrefix="0" xfId="75">
      <alignment horizontal="center" vertical="center"/>
    </xf>
    <xf numFmtId="0" fontId="145" fillId="0" borderId="288" pivotButton="0" quotePrefix="0" xfId="75"/>
    <xf numFmtId="0" fontId="145" fillId="0" borderId="288" applyAlignment="1" pivotButton="0" quotePrefix="0" xfId="75">
      <alignment horizontal="center"/>
    </xf>
    <xf numFmtId="0" fontId="145" fillId="0" borderId="55" applyAlignment="1" pivotButton="0" quotePrefix="0" xfId="75">
      <alignment horizontal="center" vertical="center"/>
    </xf>
    <xf numFmtId="0" fontId="145" fillId="0" borderId="289" applyAlignment="1" pivotButton="0" quotePrefix="0" xfId="75">
      <alignment horizontal="center" vertical="center"/>
    </xf>
    <xf numFmtId="0" fontId="135" fillId="41" borderId="289" applyAlignment="1" pivotButton="0" quotePrefix="0" xfId="75">
      <alignment horizontal="center"/>
    </xf>
    <xf numFmtId="173" fontId="135" fillId="41" borderId="289" applyAlignment="1" pivotButton="0" quotePrefix="0" xfId="74">
      <alignment horizontal="center"/>
    </xf>
    <xf numFmtId="0" fontId="145" fillId="0" borderId="290" pivotButton="0" quotePrefix="0" xfId="75"/>
    <xf numFmtId="0" fontId="135" fillId="0" borderId="291" applyAlignment="1" pivotButton="0" quotePrefix="0" xfId="75">
      <alignment horizontal="left" vertical="center"/>
    </xf>
    <xf numFmtId="173" fontId="135" fillId="41" borderId="291" applyAlignment="1" pivotButton="0" quotePrefix="0" xfId="74">
      <alignment horizontal="center"/>
    </xf>
    <xf numFmtId="173" fontId="135" fillId="41" borderId="292" applyAlignment="1" pivotButton="0" quotePrefix="0" xfId="74">
      <alignment horizontal="center"/>
    </xf>
    <xf numFmtId="0" fontId="145" fillId="0" borderId="290" applyAlignment="1" pivotButton="0" quotePrefix="0" xfId="75">
      <alignment horizontal="center"/>
    </xf>
    <xf numFmtId="0" fontId="145" fillId="0" borderId="291" applyAlignment="1" pivotButton="0" quotePrefix="0" xfId="75">
      <alignment horizontal="center" vertical="center"/>
    </xf>
    <xf numFmtId="0" fontId="145" fillId="0" borderId="292" applyAlignment="1" pivotButton="0" quotePrefix="0" xfId="75">
      <alignment horizontal="center" vertical="center"/>
    </xf>
    <xf numFmtId="0" fontId="135" fillId="41" borderId="292" applyAlignment="1" pivotButton="0" quotePrefix="0" xfId="75">
      <alignment horizontal="center"/>
    </xf>
    <xf numFmtId="0" fontId="145" fillId="0" borderId="293" pivotButton="0" quotePrefix="0" xfId="75"/>
    <xf numFmtId="0" fontId="135" fillId="0" borderId="56" applyAlignment="1" pivotButton="0" quotePrefix="0" xfId="75">
      <alignment vertical="center"/>
    </xf>
    <xf numFmtId="173" fontId="135" fillId="41" borderId="56" applyAlignment="1" pivotButton="0" quotePrefix="0" xfId="74">
      <alignment horizontal="center"/>
    </xf>
    <xf numFmtId="173" fontId="135" fillId="41" borderId="294" applyAlignment="1" pivotButton="0" quotePrefix="0" xfId="74">
      <alignment horizontal="center"/>
    </xf>
    <xf numFmtId="0" fontId="145" fillId="0" borderId="293" applyAlignment="1" pivotButton="0" quotePrefix="0" xfId="75">
      <alignment horizontal="center"/>
    </xf>
    <xf numFmtId="0" fontId="145" fillId="0" borderId="56" applyAlignment="1" pivotButton="0" quotePrefix="0" xfId="75">
      <alignment horizontal="center" vertical="center"/>
    </xf>
    <xf numFmtId="0" fontId="145" fillId="0" borderId="294" applyAlignment="1" pivotButton="0" quotePrefix="0" xfId="75">
      <alignment horizontal="center" vertical="center"/>
    </xf>
    <xf numFmtId="0" fontId="135" fillId="41" borderId="294" applyAlignment="1" pivotButton="0" quotePrefix="0" xfId="75">
      <alignment horizontal="center"/>
    </xf>
    <xf numFmtId="0" fontId="145" fillId="0" borderId="295" pivotButton="0" quotePrefix="0" xfId="75"/>
    <xf numFmtId="0" fontId="135" fillId="0" borderId="296" applyAlignment="1" pivotButton="0" quotePrefix="0" xfId="75">
      <alignment vertical="center"/>
    </xf>
    <xf numFmtId="173" fontId="135" fillId="41" borderId="296" applyAlignment="1" pivotButton="0" quotePrefix="0" xfId="74">
      <alignment horizontal="center"/>
    </xf>
    <xf numFmtId="173" fontId="135" fillId="41" borderId="297" applyAlignment="1" pivotButton="0" quotePrefix="0" xfId="74">
      <alignment horizontal="center"/>
    </xf>
    <xf numFmtId="0" fontId="145" fillId="0" borderId="295" applyAlignment="1" pivotButton="0" quotePrefix="0" xfId="75">
      <alignment horizontal="center"/>
    </xf>
    <xf numFmtId="0" fontId="145" fillId="0" borderId="296" applyAlignment="1" pivotButton="0" quotePrefix="0" xfId="75">
      <alignment horizontal="center" vertical="center"/>
    </xf>
    <xf numFmtId="0" fontId="145" fillId="0" borderId="297" applyAlignment="1" pivotButton="0" quotePrefix="0" xfId="75">
      <alignment horizontal="center" vertical="center"/>
    </xf>
    <xf numFmtId="0" fontId="135" fillId="0" borderId="291" applyAlignment="1" pivotButton="0" quotePrefix="0" xfId="75">
      <alignment vertical="center"/>
    </xf>
    <xf numFmtId="0" fontId="135" fillId="0" borderId="232" pivotButton="0" quotePrefix="0" xfId="75"/>
    <xf numFmtId="0" fontId="137" fillId="0" borderId="232" pivotButton="0" quotePrefix="0" xfId="75"/>
    <xf numFmtId="0" fontId="135" fillId="0" borderId="54" applyAlignment="1" pivotButton="0" quotePrefix="0" xfId="75">
      <alignment vertical="center"/>
    </xf>
    <xf numFmtId="0" fontId="145" fillId="0" borderId="298" pivotButton="0" quotePrefix="0" xfId="75"/>
    <xf numFmtId="0" fontId="135" fillId="0" borderId="299" applyAlignment="1" pivotButton="0" quotePrefix="0" xfId="75">
      <alignment horizontal="left" vertical="center"/>
    </xf>
    <xf numFmtId="173" fontId="135" fillId="41" borderId="299" applyAlignment="1" pivotButton="0" quotePrefix="0" xfId="74">
      <alignment horizontal="center"/>
    </xf>
    <xf numFmtId="173" fontId="135" fillId="41" borderId="300" applyAlignment="1" pivotButton="0" quotePrefix="0" xfId="74">
      <alignment horizontal="center"/>
    </xf>
    <xf numFmtId="0" fontId="145" fillId="0" borderId="298" applyAlignment="1" pivotButton="0" quotePrefix="0" xfId="75">
      <alignment horizontal="center"/>
    </xf>
    <xf numFmtId="0" fontId="145" fillId="0" borderId="299" applyAlignment="1" pivotButton="0" quotePrefix="0" xfId="75">
      <alignment horizontal="center" vertical="center"/>
    </xf>
    <xf numFmtId="0" fontId="145" fillId="0" borderId="300" applyAlignment="1" pivotButton="0" quotePrefix="0" xfId="75">
      <alignment horizontal="center" vertical="center"/>
    </xf>
    <xf numFmtId="0" fontId="135" fillId="41" borderId="300" applyAlignment="1" pivotButton="0" quotePrefix="0" xfId="75">
      <alignment horizontal="center"/>
    </xf>
    <xf numFmtId="43" fontId="15" fillId="0" borderId="72" pivotButton="0" quotePrefix="0" xfId="15"/>
    <xf numFmtId="173" fontId="146" fillId="0" borderId="72" applyAlignment="1" pivotButton="0" quotePrefix="0" xfId="74">
      <alignment horizontal="right"/>
    </xf>
    <xf numFmtId="173" fontId="146" fillId="0" borderId="72" pivotButton="0" quotePrefix="0" xfId="74"/>
    <xf numFmtId="2" fontId="136" fillId="0" borderId="72" pivotButton="0" quotePrefix="0" xfId="75"/>
    <xf numFmtId="173" fontId="15" fillId="0" borderId="72" pivotButton="0" quotePrefix="0" xfId="74"/>
    <xf numFmtId="0" fontId="145" fillId="15" borderId="54" applyAlignment="1" pivotButton="0" quotePrefix="0" xfId="75">
      <alignment horizontal="center" vertical="center"/>
    </xf>
    <xf numFmtId="0" fontId="145" fillId="15" borderId="287" applyAlignment="1" pivotButton="0" quotePrefix="0" xfId="75">
      <alignment horizontal="center" vertical="center"/>
    </xf>
    <xf numFmtId="0" fontId="145" fillId="15" borderId="55" applyAlignment="1" pivotButton="0" quotePrefix="0" xfId="75">
      <alignment horizontal="center" vertical="center"/>
    </xf>
    <xf numFmtId="0" fontId="145" fillId="15" borderId="289" applyAlignment="1" pivotButton="0" quotePrefix="0" xfId="75">
      <alignment horizontal="center" vertical="center"/>
    </xf>
    <xf numFmtId="0" fontId="145" fillId="15" borderId="291" applyAlignment="1" pivotButton="0" quotePrefix="0" xfId="75">
      <alignment horizontal="center" vertical="center"/>
    </xf>
    <xf numFmtId="0" fontId="145" fillId="15" borderId="292" applyAlignment="1" pivotButton="0" quotePrefix="0" xfId="75">
      <alignment horizontal="center" vertical="center"/>
    </xf>
    <xf numFmtId="0" fontId="145" fillId="15" borderId="293" applyAlignment="1" pivotButton="0" quotePrefix="0" xfId="75">
      <alignment horizontal="center"/>
    </xf>
    <xf numFmtId="0" fontId="145" fillId="15" borderId="290" applyAlignment="1" pivotButton="0" quotePrefix="0" xfId="75">
      <alignment horizontal="center"/>
    </xf>
    <xf numFmtId="0" fontId="145" fillId="15" borderId="56" applyAlignment="1" pivotButton="0" quotePrefix="0" xfId="75">
      <alignment horizontal="center" vertical="center"/>
    </xf>
    <xf numFmtId="0" fontId="145" fillId="15" borderId="294" applyAlignment="1" pivotButton="0" quotePrefix="0" xfId="75">
      <alignment horizontal="center" vertical="center"/>
    </xf>
    <xf numFmtId="0" fontId="145" fillId="15" borderId="288" applyAlignment="1" pivotButton="0" quotePrefix="0" xfId="75">
      <alignment horizontal="center"/>
    </xf>
    <xf numFmtId="0" fontId="73" fillId="14" borderId="72" applyAlignment="1" pivotButton="0" quotePrefix="0" xfId="16">
      <alignment vertical="center"/>
    </xf>
    <xf numFmtId="0" fontId="69" fillId="0" borderId="45" applyAlignment="1" pivotButton="0" quotePrefix="0" xfId="13">
      <alignment vertical="center"/>
    </xf>
    <xf numFmtId="0" fontId="33" fillId="0" borderId="72" pivotButton="0" quotePrefix="0" xfId="80"/>
    <xf numFmtId="0" fontId="159" fillId="0" borderId="72" pivotButton="0" quotePrefix="0" xfId="80"/>
    <xf numFmtId="0" fontId="160" fillId="4" borderId="18" applyAlignment="1" pivotButton="0" quotePrefix="0" xfId="80">
      <alignment vertical="center"/>
    </xf>
    <xf numFmtId="0" fontId="99" fillId="4" borderId="71" applyAlignment="1" pivotButton="0" quotePrefix="0" xfId="80">
      <alignment vertical="center"/>
    </xf>
    <xf numFmtId="0" fontId="33" fillId="4" borderId="2" applyAlignment="1" pivotButton="0" quotePrefix="0" xfId="80">
      <alignment vertical="center"/>
    </xf>
    <xf numFmtId="17" fontId="33" fillId="4" borderId="2" applyAlignment="1" pivotButton="0" quotePrefix="0" xfId="80">
      <alignment horizontal="left" vertical="center"/>
    </xf>
    <xf numFmtId="0" fontId="99" fillId="4" borderId="18" applyAlignment="1" pivotButton="0" quotePrefix="0" xfId="80">
      <alignment vertical="center"/>
    </xf>
    <xf numFmtId="164" fontId="154" fillId="6" borderId="31" applyAlignment="1" pivotButton="0" quotePrefix="0" xfId="80">
      <alignment horizontal="left" vertical="center" wrapText="1"/>
    </xf>
    <xf numFmtId="164" fontId="154" fillId="6" borderId="53" applyAlignment="1" pivotButton="0" quotePrefix="0" xfId="80">
      <alignment horizontal="center" vertical="center" wrapText="1"/>
    </xf>
    <xf numFmtId="164" fontId="99" fillId="5" borderId="38" applyAlignment="1" pivotButton="0" quotePrefix="0" xfId="80">
      <alignment vertical="center"/>
    </xf>
    <xf numFmtId="164" fontId="99" fillId="5" borderId="40" applyAlignment="1" pivotButton="0" quotePrefix="0" xfId="80">
      <alignment vertical="center"/>
    </xf>
    <xf numFmtId="164" fontId="33" fillId="0" borderId="329" applyAlignment="1" pivotButton="0" quotePrefix="0" xfId="80">
      <alignment horizontal="left" vertical="center"/>
    </xf>
    <xf numFmtId="0" fontId="33" fillId="0" borderId="44" applyAlignment="1" pivotButton="0" quotePrefix="0" xfId="80">
      <alignment horizontal="center" vertical="center"/>
    </xf>
    <xf numFmtId="164" fontId="33" fillId="0" borderId="44" applyAlignment="1" pivotButton="0" quotePrefix="0" xfId="80">
      <alignment horizontal="center" vertical="center"/>
    </xf>
    <xf numFmtId="164" fontId="161" fillId="0" borderId="329" applyAlignment="1" pivotButton="0" quotePrefix="0" xfId="80">
      <alignment horizontal="left" vertical="center"/>
    </xf>
    <xf numFmtId="0" fontId="11" fillId="0" borderId="142" pivotButton="0" quotePrefix="0" xfId="88"/>
    <xf numFmtId="0" fontId="69" fillId="0" borderId="195" applyAlignment="1" pivotButton="0" quotePrefix="0" xfId="13">
      <alignment horizontal="left" vertical="center"/>
    </xf>
    <xf numFmtId="0" fontId="11" fillId="0" borderId="72" pivotButton="0" quotePrefix="0" xfId="88"/>
    <xf numFmtId="0" fontId="11" fillId="0" borderId="89" pivotButton="0" quotePrefix="0" xfId="88"/>
    <xf numFmtId="0" fontId="124" fillId="31" borderId="72" applyAlignment="1" pivotButton="0" quotePrefix="0" xfId="14">
      <alignment horizontal="left" vertical="center" wrapText="1"/>
    </xf>
    <xf numFmtId="0" fontId="11" fillId="0" borderId="330" pivotButton="0" quotePrefix="0" xfId="88"/>
    <xf numFmtId="0" fontId="11" fillId="0" borderId="107" pivotButton="0" quotePrefix="0" xfId="88"/>
    <xf numFmtId="181" fontId="11" fillId="0" borderId="107" applyAlignment="1" pivotButton="0" quotePrefix="0" xfId="88">
      <alignment horizontal="left"/>
    </xf>
    <xf numFmtId="181" fontId="11" fillId="0" borderId="107" applyAlignment="1" pivotButton="0" quotePrefix="0" xfId="88">
      <alignment horizontal="center"/>
    </xf>
    <xf numFmtId="181" fontId="128" fillId="0" borderId="107" applyAlignment="1" pivotButton="0" quotePrefix="0" xfId="88">
      <alignment horizontal="center"/>
    </xf>
    <xf numFmtId="173" fontId="0" fillId="0" borderId="107" pivotButton="0" quotePrefix="0" xfId="89"/>
    <xf numFmtId="173" fontId="0" fillId="0" borderId="224" pivotButton="0" quotePrefix="0" xfId="89"/>
    <xf numFmtId="173" fontId="0" fillId="0" borderId="331" pivotButton="0" quotePrefix="0" xfId="89"/>
    <xf numFmtId="0" fontId="11" fillId="0" borderId="204" pivotButton="0" quotePrefix="0" xfId="88"/>
    <xf numFmtId="0" fontId="11" fillId="0" borderId="205" pivotButton="0" quotePrefix="0" xfId="88"/>
    <xf numFmtId="181" fontId="11" fillId="0" borderId="205" applyAlignment="1" pivotButton="0" quotePrefix="0" xfId="88">
      <alignment horizontal="left"/>
    </xf>
    <xf numFmtId="181" fontId="11" fillId="0" borderId="205" applyAlignment="1" pivotButton="0" quotePrefix="0" xfId="88">
      <alignment horizontal="center"/>
    </xf>
    <xf numFmtId="181" fontId="128" fillId="0" borderId="205" applyAlignment="1" pivotButton="0" quotePrefix="0" xfId="88">
      <alignment horizontal="center"/>
    </xf>
    <xf numFmtId="173" fontId="0" fillId="0" borderId="205" pivotButton="0" quotePrefix="0" xfId="89"/>
    <xf numFmtId="173" fontId="0" fillId="0" borderId="332" pivotButton="0" quotePrefix="0" xfId="89"/>
    <xf numFmtId="173" fontId="0" fillId="0" borderId="206" pivotButton="0" quotePrefix="0" xfId="89"/>
    <xf numFmtId="0" fontId="163" fillId="16" borderId="333" pivotButton="0" quotePrefix="0" xfId="88"/>
    <xf numFmtId="0" fontId="163" fillId="16" borderId="334" pivotButton="0" quotePrefix="0" xfId="88"/>
    <xf numFmtId="0" fontId="157" fillId="16" borderId="334" applyAlignment="1" pivotButton="0" quotePrefix="0" xfId="88">
      <alignment vertical="center"/>
    </xf>
    <xf numFmtId="0" fontId="157" fillId="16" borderId="334" pivotButton="0" quotePrefix="0" xfId="88"/>
    <xf numFmtId="181" fontId="163" fillId="16" borderId="334" applyAlignment="1" pivotButton="0" quotePrefix="0" xfId="88">
      <alignment horizontal="left"/>
    </xf>
    <xf numFmtId="181" fontId="163" fillId="16" borderId="334" applyAlignment="1" pivotButton="0" quotePrefix="0" xfId="88">
      <alignment horizontal="center"/>
    </xf>
    <xf numFmtId="181" fontId="164" fillId="16" borderId="335" applyAlignment="1" pivotButton="0" quotePrefix="0" xfId="88">
      <alignment horizontal="center"/>
    </xf>
    <xf numFmtId="173" fontId="0" fillId="51" borderId="336" pivotButton="0" quotePrefix="0" xfId="89"/>
    <xf numFmtId="173" fontId="0" fillId="51" borderId="337" pivotButton="0" quotePrefix="0" xfId="89"/>
    <xf numFmtId="0" fontId="11" fillId="0" borderId="338" pivotButton="0" quotePrefix="0" xfId="88"/>
    <xf numFmtId="0" fontId="11" fillId="0" borderId="238" pivotButton="0" quotePrefix="0" xfId="88"/>
    <xf numFmtId="181" fontId="11" fillId="0" borderId="238" applyAlignment="1" pivotButton="0" quotePrefix="0" xfId="88">
      <alignment horizontal="left"/>
    </xf>
    <xf numFmtId="181" fontId="11" fillId="0" borderId="238" applyAlignment="1" pivotButton="0" quotePrefix="0" xfId="88">
      <alignment horizontal="center"/>
    </xf>
    <xf numFmtId="181" fontId="128" fillId="0" borderId="238" applyAlignment="1" pivotButton="0" quotePrefix="0" xfId="88">
      <alignment horizontal="center"/>
    </xf>
    <xf numFmtId="173" fontId="0" fillId="0" borderId="238" pivotButton="0" quotePrefix="0" xfId="89"/>
    <xf numFmtId="173" fontId="0" fillId="0" borderId="339" pivotButton="0" quotePrefix="0" xfId="89"/>
    <xf numFmtId="173" fontId="0" fillId="0" borderId="340" pivotButton="0" quotePrefix="0" xfId="89"/>
    <xf numFmtId="0" fontId="163" fillId="16" borderId="338" pivotButton="0" quotePrefix="0" xfId="88"/>
    <xf numFmtId="0" fontId="163" fillId="16" borderId="238" pivotButton="0" quotePrefix="0" xfId="88"/>
    <xf numFmtId="0" fontId="157" fillId="16" borderId="238" applyAlignment="1" pivotButton="0" quotePrefix="0" xfId="88">
      <alignment vertical="center"/>
    </xf>
    <xf numFmtId="0" fontId="157" fillId="16" borderId="238" pivotButton="0" quotePrefix="0" xfId="88"/>
    <xf numFmtId="181" fontId="163" fillId="16" borderId="238" applyAlignment="1" pivotButton="0" quotePrefix="0" xfId="88">
      <alignment horizontal="left"/>
    </xf>
    <xf numFmtId="181" fontId="163" fillId="16" borderId="238" applyAlignment="1" pivotButton="0" quotePrefix="0" xfId="88">
      <alignment horizontal="center"/>
    </xf>
    <xf numFmtId="181" fontId="164" fillId="16" borderId="341" applyAlignment="1" pivotButton="0" quotePrefix="0" xfId="88">
      <alignment horizontal="center"/>
    </xf>
    <xf numFmtId="173" fontId="0" fillId="51" borderId="231" pivotButton="0" quotePrefix="0" xfId="89"/>
    <xf numFmtId="173" fontId="0" fillId="51" borderId="340" pivotButton="0" quotePrefix="0" xfId="89"/>
    <xf numFmtId="0" fontId="11" fillId="0" borderId="333" pivotButton="0" quotePrefix="0" xfId="88"/>
    <xf numFmtId="0" fontId="11" fillId="0" borderId="334" pivotButton="0" quotePrefix="0" xfId="88"/>
    <xf numFmtId="181" fontId="11" fillId="0" borderId="334" applyAlignment="1" pivotButton="0" quotePrefix="0" xfId="88">
      <alignment horizontal="left"/>
    </xf>
    <xf numFmtId="181" fontId="11" fillId="0" borderId="334" applyAlignment="1" pivotButton="0" quotePrefix="0" xfId="88">
      <alignment horizontal="center"/>
    </xf>
    <xf numFmtId="181" fontId="128" fillId="0" borderId="334" applyAlignment="1" pivotButton="0" quotePrefix="0" xfId="88">
      <alignment horizontal="center"/>
    </xf>
    <xf numFmtId="173" fontId="0" fillId="0" borderId="334" pivotButton="0" quotePrefix="0" xfId="89"/>
    <xf numFmtId="173" fontId="0" fillId="0" borderId="342" pivotButton="0" quotePrefix="0" xfId="89"/>
    <xf numFmtId="173" fontId="0" fillId="0" borderId="337" pivotButton="0" quotePrefix="0" xfId="89"/>
    <xf numFmtId="0" fontId="11" fillId="0" borderId="152" pivotButton="0" quotePrefix="0" xfId="88"/>
    <xf numFmtId="0" fontId="11" fillId="0" borderId="106" pivotButton="0" quotePrefix="0" xfId="88"/>
    <xf numFmtId="181" fontId="11" fillId="0" borderId="106" applyAlignment="1" pivotButton="0" quotePrefix="0" xfId="88">
      <alignment horizontal="left"/>
    </xf>
    <xf numFmtId="181" fontId="11" fillId="0" borderId="106" applyAlignment="1" pivotButton="0" quotePrefix="0" xfId="88">
      <alignment horizontal="center"/>
    </xf>
    <xf numFmtId="181" fontId="128" fillId="0" borderId="106" applyAlignment="1" pivotButton="0" quotePrefix="0" xfId="88">
      <alignment horizontal="center"/>
    </xf>
    <xf numFmtId="173" fontId="0" fillId="0" borderId="106" pivotButton="0" quotePrefix="0" xfId="89"/>
    <xf numFmtId="173" fontId="0" fillId="0" borderId="230" pivotButton="0" quotePrefix="0" xfId="89"/>
    <xf numFmtId="173" fontId="0" fillId="0" borderId="153" pivotButton="0" quotePrefix="0" xfId="89"/>
    <xf numFmtId="173" fontId="0" fillId="0" borderId="106" pivotButton="0" quotePrefix="0" xfId="89"/>
    <xf numFmtId="173" fontId="0" fillId="51" borderId="228" pivotButton="0" quotePrefix="0" xfId="89"/>
    <xf numFmtId="173" fontId="0" fillId="51" borderId="225" pivotButton="0" quotePrefix="0" xfId="89"/>
    <xf numFmtId="173" fontId="0" fillId="51" borderId="226" pivotButton="0" quotePrefix="0" xfId="89"/>
    <xf numFmtId="173" fontId="0" fillId="51" borderId="343" pivotButton="0" quotePrefix="0" xfId="89"/>
    <xf numFmtId="0" fontId="11" fillId="0" borderId="201" pivotButton="0" quotePrefix="0" xfId="88"/>
    <xf numFmtId="0" fontId="11" fillId="0" borderId="202" pivotButton="0" quotePrefix="0" xfId="88"/>
    <xf numFmtId="181" fontId="11" fillId="0" borderId="202" applyAlignment="1" pivotButton="0" quotePrefix="0" xfId="88">
      <alignment horizontal="left"/>
    </xf>
    <xf numFmtId="181" fontId="11" fillId="0" borderId="202" applyAlignment="1" pivotButton="0" quotePrefix="0" xfId="88">
      <alignment horizontal="center"/>
    </xf>
    <xf numFmtId="181" fontId="128" fillId="0" borderId="202" applyAlignment="1" pivotButton="0" quotePrefix="0" xfId="88">
      <alignment horizontal="center"/>
    </xf>
    <xf numFmtId="173" fontId="0" fillId="0" borderId="202" pivotButton="0" quotePrefix="0" xfId="89"/>
    <xf numFmtId="173" fontId="0" fillId="0" borderId="344" pivotButton="0" quotePrefix="0" xfId="89"/>
    <xf numFmtId="173" fontId="0" fillId="0" borderId="203" pivotButton="0" quotePrefix="0" xfId="89"/>
    <xf numFmtId="173" fontId="0" fillId="0" borderId="108" pivotButton="0" quotePrefix="0" xfId="89"/>
    <xf numFmtId="173" fontId="0" fillId="0" borderId="108" pivotButton="0" quotePrefix="0" xfId="89"/>
    <xf numFmtId="173" fontId="0" fillId="0" borderId="345" pivotButton="0" quotePrefix="0" xfId="89"/>
    <xf numFmtId="173" fontId="0" fillId="0" borderId="155" pivotButton="0" quotePrefix="0" xfId="89"/>
    <xf numFmtId="173" fontId="0" fillId="0" borderId="205" pivotButton="0" quotePrefix="0" xfId="89"/>
    <xf numFmtId="173" fontId="63" fillId="0" borderId="106" pivotButton="0" quotePrefix="0" xfId="89"/>
    <xf numFmtId="173" fontId="0" fillId="0" borderId="328" pivotButton="0" quotePrefix="0" xfId="89"/>
    <xf numFmtId="0" fontId="11" fillId="0" borderId="160" pivotButton="0" quotePrefix="0" xfId="88"/>
    <xf numFmtId="0" fontId="11" fillId="0" borderId="161" pivotButton="0" quotePrefix="0" xfId="88"/>
    <xf numFmtId="181" fontId="11" fillId="0" borderId="161" applyAlignment="1" pivotButton="0" quotePrefix="0" xfId="88">
      <alignment horizontal="left"/>
    </xf>
    <xf numFmtId="181" fontId="11" fillId="0" borderId="161" applyAlignment="1" pivotButton="0" quotePrefix="0" xfId="88">
      <alignment horizontal="center"/>
    </xf>
    <xf numFmtId="181" fontId="128" fillId="0" borderId="161" applyAlignment="1" pivotButton="0" quotePrefix="0" xfId="88">
      <alignment horizontal="center"/>
    </xf>
    <xf numFmtId="0" fontId="163" fillId="16" borderId="346" pivotButton="0" quotePrefix="0" xfId="88"/>
    <xf numFmtId="0" fontId="163" fillId="16" borderId="347" pivotButton="0" quotePrefix="0" xfId="88"/>
    <xf numFmtId="0" fontId="157" fillId="16" borderId="347" applyAlignment="1" pivotButton="0" quotePrefix="0" xfId="88">
      <alignment vertical="center"/>
    </xf>
    <xf numFmtId="0" fontId="157" fillId="16" borderId="347" pivotButton="0" quotePrefix="0" xfId="88"/>
    <xf numFmtId="181" fontId="163" fillId="16" borderId="347" applyAlignment="1" pivotButton="0" quotePrefix="0" xfId="88">
      <alignment horizontal="left"/>
    </xf>
    <xf numFmtId="181" fontId="163" fillId="16" borderId="347" applyAlignment="1" pivotButton="0" quotePrefix="0" xfId="88">
      <alignment horizontal="center"/>
    </xf>
    <xf numFmtId="181" fontId="164" fillId="16" borderId="348" applyAlignment="1" pivotButton="0" quotePrefix="0" xfId="88">
      <alignment horizontal="center"/>
    </xf>
    <xf numFmtId="173" fontId="0" fillId="51" borderId="349" pivotButton="0" quotePrefix="0" xfId="89"/>
    <xf numFmtId="173" fontId="0" fillId="51" borderId="350" pivotButton="0" quotePrefix="0" xfId="89"/>
    <xf numFmtId="0" fontId="11" fillId="0" borderId="72" applyAlignment="1" pivotButton="0" quotePrefix="0" xfId="88">
      <alignment horizontal="left"/>
    </xf>
    <xf numFmtId="0" fontId="11" fillId="0" borderId="72" applyAlignment="1" pivotButton="0" quotePrefix="0" xfId="88">
      <alignment horizontal="center"/>
    </xf>
    <xf numFmtId="173" fontId="0" fillId="0" borderId="72" pivotButton="0" quotePrefix="0" xfId="89"/>
    <xf numFmtId="4" fontId="71" fillId="39" borderId="205" applyAlignment="1" pivotButton="0" quotePrefix="1" xfId="14">
      <alignment vertical="center" wrapText="1"/>
    </xf>
    <xf numFmtId="0" fontId="71" fillId="39" borderId="205" applyAlignment="1" pivotButton="0" quotePrefix="1" xfId="14">
      <alignment vertical="center" wrapText="1"/>
    </xf>
    <xf numFmtId="0" fontId="71" fillId="39" borderId="205" applyAlignment="1" pivotButton="0" quotePrefix="0" xfId="14">
      <alignment vertical="center"/>
    </xf>
    <xf numFmtId="4" fontId="71" fillId="39" borderId="205" applyAlignment="1" pivotButton="0" quotePrefix="0" xfId="26">
      <alignment horizontal="center" vertical="center" wrapText="1"/>
    </xf>
    <xf numFmtId="3" fontId="71" fillId="39" borderId="205" applyAlignment="1" pivotButton="0" quotePrefix="0" xfId="26">
      <alignment horizontal="center" vertical="center" wrapText="1"/>
    </xf>
    <xf numFmtId="4" fontId="71" fillId="38" borderId="205" applyAlignment="1" pivotButton="0" quotePrefix="0" xfId="26">
      <alignment vertical="center" wrapText="1"/>
    </xf>
    <xf numFmtId="4" fontId="71" fillId="38" borderId="332" applyAlignment="1" pivotButton="0" quotePrefix="0" xfId="26">
      <alignment vertical="center" wrapText="1"/>
    </xf>
    <xf numFmtId="4" fontId="134" fillId="0" borderId="332" applyAlignment="1" pivotButton="0" quotePrefix="0" xfId="26">
      <alignment vertical="center" wrapText="1"/>
    </xf>
    <xf numFmtId="173" fontId="69" fillId="0" borderId="45" applyAlignment="1" pivotButton="0" quotePrefix="0" xfId="90">
      <alignment vertical="center"/>
    </xf>
    <xf numFmtId="173" fontId="131" fillId="0" borderId="45" applyAlignment="1" pivotButton="0" quotePrefix="0" xfId="90">
      <alignment vertical="center"/>
    </xf>
    <xf numFmtId="172" fontId="69" fillId="0" borderId="325" applyAlignment="1" pivotButton="0" quotePrefix="1" xfId="15">
      <alignment vertical="center"/>
    </xf>
    <xf numFmtId="173" fontId="72" fillId="0" borderId="325" applyAlignment="1" pivotButton="0" quotePrefix="1" xfId="90">
      <alignment horizontal="left" vertical="center"/>
    </xf>
    <xf numFmtId="173" fontId="69" fillId="0" borderId="45" applyAlignment="1" pivotButton="0" quotePrefix="0" xfId="90">
      <alignment horizontal="left" vertical="center"/>
    </xf>
    <xf numFmtId="0" fontId="31" fillId="39" borderId="72" applyAlignment="1" pivotButton="0" quotePrefix="0" xfId="14">
      <alignment vertical="center"/>
    </xf>
    <xf numFmtId="173" fontId="68" fillId="39" borderId="72" applyAlignment="1" pivotButton="0" quotePrefix="0" xfId="90">
      <alignment vertical="center"/>
    </xf>
    <xf numFmtId="173" fontId="126" fillId="16" borderId="259" applyAlignment="1" pivotButton="0" quotePrefix="0" xfId="90">
      <alignment horizontal="center" vertical="center"/>
    </xf>
    <xf numFmtId="173" fontId="126" fillId="16" borderId="120" applyAlignment="1" pivotButton="0" quotePrefix="0" xfId="90">
      <alignment horizontal="center" vertical="center"/>
    </xf>
    <xf numFmtId="173" fontId="126" fillId="16" borderId="87" applyAlignment="1" pivotButton="0" quotePrefix="0" xfId="90">
      <alignment horizontal="center" vertical="center"/>
    </xf>
    <xf numFmtId="173" fontId="126" fillId="16" borderId="120" applyAlignment="1" pivotButton="0" quotePrefix="0" xfId="90">
      <alignment horizontal="center" vertical="center" wrapText="1"/>
    </xf>
    <xf numFmtId="173" fontId="126" fillId="16" borderId="87" applyAlignment="1" pivotButton="0" quotePrefix="0" xfId="90">
      <alignment horizontal="center" vertical="center" wrapText="1"/>
    </xf>
    <xf numFmtId="0" fontId="79" fillId="16" borderId="259" applyAlignment="1" pivotButton="0" quotePrefix="0" xfId="14">
      <alignment vertical="center" wrapText="1"/>
    </xf>
    <xf numFmtId="173" fontId="126" fillId="16" borderId="93" applyAlignment="1" pivotButton="0" quotePrefix="0" xfId="90">
      <alignment horizontal="center" vertical="center"/>
    </xf>
    <xf numFmtId="173" fontId="124" fillId="15" borderId="223" applyAlignment="1" pivotButton="0" quotePrefix="0" xfId="90">
      <alignment vertical="center"/>
    </xf>
    <xf numFmtId="3" fontId="69" fillId="0" borderId="226" applyAlignment="1" pivotButton="0" quotePrefix="0" xfId="26">
      <alignment vertical="center" wrapText="1"/>
    </xf>
    <xf numFmtId="173" fontId="69" fillId="37" borderId="226" applyAlignment="1" pivotButton="0" quotePrefix="0" xfId="90">
      <alignment vertical="center" wrapText="1"/>
    </xf>
    <xf numFmtId="173" fontId="69" fillId="0" borderId="227" applyAlignment="1" pivotButton="0" quotePrefix="0" xfId="90">
      <alignment horizontal="center" vertical="center" wrapText="1"/>
    </xf>
    <xf numFmtId="173" fontId="69" fillId="0" borderId="225" applyAlignment="1" pivotButton="0" quotePrefix="0" xfId="90">
      <alignment vertical="center" wrapText="1"/>
    </xf>
    <xf numFmtId="173" fontId="69" fillId="37" borderId="228" applyAlignment="1" pivotButton="0" quotePrefix="0" xfId="90">
      <alignment vertical="center" wrapText="1"/>
    </xf>
    <xf numFmtId="173" fontId="69" fillId="0" borderId="106" applyAlignment="1" pivotButton="0" quotePrefix="0" xfId="90">
      <alignment vertical="center" wrapText="1"/>
    </xf>
    <xf numFmtId="173" fontId="69" fillId="37" borderId="72" applyAlignment="1" pivotButton="0" quotePrefix="0" xfId="90">
      <alignment vertical="center" wrapText="1"/>
    </xf>
    <xf numFmtId="181" fontId="153" fillId="0" borderId="186" applyAlignment="1" pivotButton="0" quotePrefix="0" xfId="91">
      <alignment horizontal="center"/>
    </xf>
    <xf numFmtId="17" fontId="69" fillId="0" borderId="230" applyAlignment="1" pivotButton="0" quotePrefix="0" xfId="14">
      <alignment horizontal="left" vertical="center"/>
    </xf>
    <xf numFmtId="3" fontId="69" fillId="0" borderId="230" applyAlignment="1" pivotButton="0" quotePrefix="0" xfId="26">
      <alignment vertical="center" wrapText="1"/>
    </xf>
    <xf numFmtId="173" fontId="69" fillId="0" borderId="185" applyAlignment="1" pivotButton="0" quotePrefix="0" xfId="90">
      <alignment horizontal="center" vertical="center" wrapText="1"/>
    </xf>
    <xf numFmtId="173" fontId="31" fillId="39" borderId="233" applyAlignment="1" pivotButton="0" quotePrefix="0" xfId="90">
      <alignment vertical="center"/>
    </xf>
    <xf numFmtId="173" fontId="124" fillId="15" borderId="235" applyAlignment="1" pivotButton="0" quotePrefix="0" xfId="90">
      <alignment vertical="center"/>
    </xf>
    <xf numFmtId="0" fontId="69" fillId="0" borderId="230" applyAlignment="1" pivotButton="0" quotePrefix="0" xfId="14">
      <alignment vertical="center"/>
    </xf>
    <xf numFmtId="173" fontId="69" fillId="0" borderId="185" applyAlignment="1" pivotButton="0" quotePrefix="0" xfId="90">
      <alignment horizontal="left" vertical="center"/>
    </xf>
    <xf numFmtId="173" fontId="69" fillId="0" borderId="230" applyAlignment="1" pivotButton="0" quotePrefix="0" xfId="90">
      <alignment horizontal="center" vertical="center"/>
    </xf>
    <xf numFmtId="173" fontId="69" fillId="0" borderId="230" applyAlignment="1" pivotButton="0" quotePrefix="0" xfId="90">
      <alignment horizontal="left" vertical="center"/>
    </xf>
    <xf numFmtId="3" fontId="69" fillId="40" borderId="224" applyAlignment="1" pivotButton="0" quotePrefix="0" xfId="26">
      <alignment vertical="center" wrapText="1"/>
    </xf>
    <xf numFmtId="173" fontId="31" fillId="37" borderId="72" applyAlignment="1" pivotButton="0" quotePrefix="0" xfId="90">
      <alignment vertical="center"/>
    </xf>
    <xf numFmtId="173" fontId="69" fillId="40" borderId="189" applyAlignment="1" pivotButton="0" quotePrefix="0" xfId="90">
      <alignment horizontal="center" vertical="center" wrapText="1"/>
    </xf>
    <xf numFmtId="173" fontId="69" fillId="39" borderId="107" applyAlignment="1" pivotButton="0" quotePrefix="0" xfId="90">
      <alignment vertical="center" wrapText="1"/>
    </xf>
    <xf numFmtId="173" fontId="69" fillId="0" borderId="107" applyAlignment="1" pivotButton="0" quotePrefix="0" xfId="90">
      <alignment vertical="center" wrapText="1"/>
    </xf>
    <xf numFmtId="173" fontId="69" fillId="39" borderId="107" applyAlignment="1" pivotButton="0" quotePrefix="0" xfId="90">
      <alignment horizontal="center" vertical="center"/>
    </xf>
    <xf numFmtId="173" fontId="69" fillId="40" borderId="236" applyAlignment="1" pivotButton="0" quotePrefix="0" xfId="90">
      <alignment horizontal="center" vertical="center" wrapText="1"/>
    </xf>
    <xf numFmtId="17" fontId="69" fillId="39" borderId="339" applyAlignment="1" pivotButton="0" quotePrefix="1" xfId="14">
      <alignment horizontal="left" vertical="center"/>
    </xf>
    <xf numFmtId="3" fontId="69" fillId="40" borderId="224" applyAlignment="1" pivotButton="0" quotePrefix="0" xfId="26">
      <alignment vertical="center"/>
    </xf>
    <xf numFmtId="173" fontId="31" fillId="0" borderId="190" applyAlignment="1" pivotButton="0" quotePrefix="0" xfId="90">
      <alignment vertical="center"/>
    </xf>
    <xf numFmtId="173" fontId="68" fillId="39" borderId="233" applyAlignment="1" pivotButton="0" quotePrefix="0" xfId="90">
      <alignment vertical="center"/>
    </xf>
    <xf numFmtId="173" fontId="68" fillId="0" borderId="72" applyAlignment="1" pivotButton="0" quotePrefix="0" xfId="90">
      <alignment vertical="center"/>
    </xf>
    <xf numFmtId="4" fontId="68" fillId="0" borderId="72" applyAlignment="1" pivotButton="0" quotePrefix="0" xfId="14">
      <alignment vertical="center"/>
    </xf>
    <xf numFmtId="0" fontId="141" fillId="52" borderId="157" applyAlignment="1" pivotButton="0" quotePrefix="0" xfId="92">
      <alignment vertical="center"/>
    </xf>
    <xf numFmtId="0" fontId="167" fillId="52" borderId="157" applyAlignment="1" pivotButton="0" quotePrefix="0" xfId="92">
      <alignment horizontal="center" vertical="center"/>
    </xf>
    <xf numFmtId="0" fontId="162" fillId="0" borderId="72" pivotButton="0" quotePrefix="0" xfId="92"/>
    <xf numFmtId="0" fontId="126" fillId="16" borderId="351" applyAlignment="1" pivotButton="0" quotePrefix="0" xfId="14">
      <alignment horizontal="center" vertical="center"/>
    </xf>
    <xf numFmtId="0" fontId="126" fillId="16" borderId="352" applyAlignment="1" pivotButton="0" quotePrefix="0" xfId="14">
      <alignment horizontal="center" vertical="center"/>
    </xf>
    <xf numFmtId="0" fontId="126" fillId="16" borderId="352" applyAlignment="1" pivotButton="0" quotePrefix="0" xfId="14">
      <alignment horizontal="center" vertical="center" wrapText="1"/>
    </xf>
    <xf numFmtId="0" fontId="126" fillId="45" borderId="352" applyAlignment="1" pivotButton="0" quotePrefix="0" xfId="14">
      <alignment horizontal="center" vertical="center" wrapText="1"/>
    </xf>
    <xf numFmtId="0" fontId="126" fillId="16" borderId="105" applyAlignment="1" pivotButton="0" quotePrefix="0" xfId="14">
      <alignment horizontal="center" vertical="center" wrapText="1"/>
    </xf>
    <xf numFmtId="0" fontId="11" fillId="0" borderId="152" applyAlignment="1" pivotButton="0" quotePrefix="0" xfId="88">
      <alignment horizontal="center"/>
    </xf>
    <xf numFmtId="0" fontId="11" fillId="0" borderId="106" applyAlignment="1" pivotButton="0" quotePrefix="0" xfId="88">
      <alignment horizontal="center"/>
    </xf>
    <xf numFmtId="2" fontId="0" fillId="0" borderId="106" applyAlignment="1" pivotButton="0" quotePrefix="0" xfId="89">
      <alignment horizontal="center"/>
    </xf>
    <xf numFmtId="2" fontId="0" fillId="53" borderId="106" applyAlignment="1" pivotButton="0" quotePrefix="0" xfId="89">
      <alignment horizontal="center"/>
    </xf>
    <xf numFmtId="2" fontId="0" fillId="0" borderId="153" applyAlignment="1" pivotButton="0" quotePrefix="0" xfId="89">
      <alignment horizontal="center"/>
    </xf>
    <xf numFmtId="2" fontId="63" fillId="0" borderId="106" applyAlignment="1" pivotButton="0" quotePrefix="0" xfId="89">
      <alignment horizontal="center"/>
    </xf>
    <xf numFmtId="2" fontId="0" fillId="0" borderId="108" applyAlignment="1" pivotButton="0" quotePrefix="0" xfId="89">
      <alignment horizontal="center"/>
    </xf>
    <xf numFmtId="2" fontId="0" fillId="0" borderId="155" applyAlignment="1" pivotButton="0" quotePrefix="0" xfId="89">
      <alignment horizontal="center"/>
    </xf>
    <xf numFmtId="0" fontId="163" fillId="54" borderId="152" applyAlignment="1" pivotButton="0" quotePrefix="0" xfId="88">
      <alignment horizontal="center"/>
    </xf>
    <xf numFmtId="0" fontId="163" fillId="54" borderId="106" applyAlignment="1" pivotButton="0" quotePrefix="0" xfId="88">
      <alignment horizontal="center"/>
    </xf>
    <xf numFmtId="181" fontId="163" fillId="54" borderId="106" applyAlignment="1" pivotButton="0" quotePrefix="0" xfId="88">
      <alignment horizontal="center"/>
    </xf>
    <xf numFmtId="2" fontId="125" fillId="54" borderId="106" applyAlignment="1" pivotButton="0" quotePrefix="0" xfId="89">
      <alignment horizontal="center"/>
    </xf>
    <xf numFmtId="2" fontId="125" fillId="54" borderId="153" applyAlignment="1" pivotButton="0" quotePrefix="0" xfId="89">
      <alignment horizontal="center"/>
    </xf>
    <xf numFmtId="0" fontId="163" fillId="55" borderId="330" applyAlignment="1" pivotButton="0" quotePrefix="0" xfId="88">
      <alignment horizontal="center"/>
    </xf>
    <xf numFmtId="0" fontId="163" fillId="55" borderId="107" applyAlignment="1" pivotButton="0" quotePrefix="0" xfId="88">
      <alignment horizontal="center"/>
    </xf>
    <xf numFmtId="181" fontId="163" fillId="55" borderId="107" applyAlignment="1" pivotButton="0" quotePrefix="0" xfId="88">
      <alignment horizontal="center"/>
    </xf>
    <xf numFmtId="2" fontId="125" fillId="55" borderId="107" applyAlignment="1" pivotButton="0" quotePrefix="0" xfId="89">
      <alignment horizontal="center"/>
    </xf>
    <xf numFmtId="2" fontId="125" fillId="55" borderId="331" applyAlignment="1" pivotButton="0" quotePrefix="0" xfId="89">
      <alignment horizontal="center"/>
    </xf>
    <xf numFmtId="0" fontId="162" fillId="0" borderId="72" applyAlignment="1" pivotButton="0" quotePrefix="0" xfId="92">
      <alignment horizontal="center"/>
    </xf>
    <xf numFmtId="0" fontId="87" fillId="4" borderId="8" applyAlignment="1" pivotButton="0" quotePrefix="0" xfId="73">
      <alignment horizontal="left"/>
    </xf>
    <xf numFmtId="0" fontId="31" fillId="0" borderId="69" pivotButton="0" quotePrefix="0" xfId="73"/>
    <xf numFmtId="0" fontId="86" fillId="4" borderId="72" pivotButton="0" quotePrefix="0" xfId="73"/>
    <xf numFmtId="0" fontId="63" fillId="0" borderId="72" pivotButton="0" quotePrefix="0" xfId="73"/>
    <xf numFmtId="0" fontId="87" fillId="4" borderId="11" applyAlignment="1" pivotButton="0" quotePrefix="0" xfId="73">
      <alignment horizontal="left"/>
    </xf>
    <xf numFmtId="0" fontId="31" fillId="0" borderId="59" pivotButton="0" quotePrefix="0" xfId="73"/>
    <xf numFmtId="164" fontId="88" fillId="13" borderId="53" applyAlignment="1" pivotButton="0" quotePrefix="0" xfId="73">
      <alignment horizontal="center" vertical="center"/>
    </xf>
    <xf numFmtId="164" fontId="88" fillId="13" borderId="32" applyAlignment="1" pivotButton="0" quotePrefix="0" xfId="73">
      <alignment horizontal="center" vertical="center"/>
    </xf>
    <xf numFmtId="164" fontId="88" fillId="13" borderId="4" applyAlignment="1" pivotButton="0" quotePrefix="0" xfId="73">
      <alignment horizontal="center" vertical="center"/>
    </xf>
    <xf numFmtId="9" fontId="88" fillId="13" borderId="4" applyAlignment="1" pivotButton="0" quotePrefix="0" xfId="73">
      <alignment horizontal="center" vertical="center"/>
    </xf>
    <xf numFmtId="0" fontId="86" fillId="4" borderId="4" applyAlignment="1" pivotButton="0" quotePrefix="0" xfId="73">
      <alignment horizontal="center"/>
    </xf>
    <xf numFmtId="164" fontId="86" fillId="4" borderId="4" pivotButton="0" quotePrefix="0" xfId="73"/>
    <xf numFmtId="182" fontId="86" fillId="4" borderId="4" pivotButton="0" quotePrefix="0" xfId="73"/>
    <xf numFmtId="182" fontId="86" fillId="5" borderId="4" pivotButton="0" quotePrefix="0" xfId="73"/>
    <xf numFmtId="183" fontId="86" fillId="4" borderId="4" pivotButton="0" quotePrefix="0" xfId="73"/>
    <xf numFmtId="182" fontId="86" fillId="6" borderId="4" pivotButton="0" quotePrefix="0" xfId="73"/>
    <xf numFmtId="182" fontId="86" fillId="56" borderId="4" pivotButton="0" quotePrefix="0" xfId="73"/>
    <xf numFmtId="164" fontId="86" fillId="5" borderId="4" pivotButton="0" quotePrefix="0" xfId="73"/>
    <xf numFmtId="164" fontId="86" fillId="4" borderId="72" pivotButton="0" quotePrefix="0" xfId="73"/>
    <xf numFmtId="182" fontId="87" fillId="4" borderId="4" pivotButton="0" quotePrefix="0" xfId="73"/>
    <xf numFmtId="0" fontId="86" fillId="4" borderId="191" pivotButton="0" quotePrefix="0" xfId="73"/>
    <xf numFmtId="0" fontId="86" fillId="4" borderId="193" pivotButton="0" quotePrefix="0" xfId="73"/>
    <xf numFmtId="0" fontId="86" fillId="4" borderId="192" pivotButton="0" quotePrefix="0" xfId="73"/>
    <xf numFmtId="0" fontId="86" fillId="4" borderId="189" pivotButton="0" quotePrefix="0" xfId="73"/>
    <xf numFmtId="164" fontId="86" fillId="4" borderId="107" pivotButton="0" quotePrefix="0" xfId="73"/>
    <xf numFmtId="164" fontId="86" fillId="4" borderId="190" pivotButton="0" quotePrefix="0" xfId="73"/>
    <xf numFmtId="0" fontId="86" fillId="4" borderId="185" pivotButton="0" quotePrefix="0" xfId="73"/>
    <xf numFmtId="164" fontId="86" fillId="4" borderId="106" pivotButton="0" quotePrefix="0" xfId="73"/>
    <xf numFmtId="164" fontId="86" fillId="4" borderId="186" pivotButton="0" quotePrefix="0" xfId="73"/>
    <xf numFmtId="14" fontId="86" fillId="4" borderId="72" pivotButton="0" quotePrefix="0" xfId="73"/>
    <xf numFmtId="164" fontId="87" fillId="30" borderId="4" pivotButton="0" quotePrefix="0" xfId="73"/>
    <xf numFmtId="0" fontId="86" fillId="4" borderId="187" pivotButton="0" quotePrefix="0" xfId="73"/>
    <xf numFmtId="164" fontId="86" fillId="4" borderId="154" pivotButton="0" quotePrefix="0" xfId="73"/>
    <xf numFmtId="164" fontId="86" fillId="4" borderId="188" pivotButton="0" quotePrefix="0" xfId="73"/>
    <xf numFmtId="0" fontId="10" fillId="0" borderId="72" pivotButton="0" quotePrefix="0" xfId="94"/>
    <xf numFmtId="0" fontId="33" fillId="0" borderId="72" pivotButton="0" quotePrefix="0" xfId="94"/>
    <xf numFmtId="0" fontId="100" fillId="12" borderId="8" applyAlignment="1" pivotButton="0" quotePrefix="0" xfId="94">
      <alignment vertical="center" wrapText="1"/>
    </xf>
    <xf numFmtId="168" fontId="58" fillId="4" borderId="57" applyAlignment="1" pivotButton="0" quotePrefix="0" xfId="94">
      <alignment horizontal="left" vertical="center" wrapText="1"/>
    </xf>
    <xf numFmtId="0" fontId="58" fillId="4" borderId="69" applyAlignment="1" pivotButton="0" quotePrefix="0" xfId="94">
      <alignment horizontal="center" vertical="center" wrapText="1"/>
    </xf>
    <xf numFmtId="164" fontId="58" fillId="4" borderId="69" applyAlignment="1" pivotButton="0" quotePrefix="0" xfId="94">
      <alignment horizontal="left" vertical="center" wrapText="1"/>
    </xf>
    <xf numFmtId="0" fontId="59" fillId="4" borderId="69" applyAlignment="1" pivotButton="0" quotePrefix="0" xfId="94">
      <alignment horizontal="center" vertical="center" wrapText="1"/>
    </xf>
    <xf numFmtId="0" fontId="59" fillId="4" borderId="20" applyAlignment="1" pivotButton="0" quotePrefix="0" xfId="94">
      <alignment horizontal="center" vertical="center" wrapText="1"/>
    </xf>
    <xf numFmtId="0" fontId="86" fillId="4" borderId="21" pivotButton="0" quotePrefix="0" xfId="94"/>
    <xf numFmtId="0" fontId="100" fillId="12" borderId="11" applyAlignment="1" pivotButton="0" quotePrefix="0" xfId="94">
      <alignment vertical="center" wrapText="1"/>
    </xf>
    <xf numFmtId="0" fontId="58" fillId="4" borderId="58" applyAlignment="1" pivotButton="0" quotePrefix="0" xfId="94">
      <alignment horizontal="left" vertical="center" wrapText="1"/>
    </xf>
    <xf numFmtId="0" fontId="58" fillId="4" borderId="59" applyAlignment="1" pivotButton="0" quotePrefix="0" xfId="94">
      <alignment horizontal="center" vertical="center" wrapText="1"/>
    </xf>
    <xf numFmtId="164" fontId="58" fillId="4" borderId="59" applyAlignment="1" pivotButton="0" quotePrefix="0" xfId="94">
      <alignment horizontal="left" vertical="center" wrapText="1"/>
    </xf>
    <xf numFmtId="0" fontId="59" fillId="4" borderId="59" applyAlignment="1" pivotButton="0" quotePrefix="0" xfId="94">
      <alignment horizontal="center" vertical="center" wrapText="1"/>
    </xf>
    <xf numFmtId="0" fontId="59" fillId="4" borderId="70" applyAlignment="1" pivotButton="0" quotePrefix="0" xfId="94">
      <alignment horizontal="center" vertical="center" wrapText="1"/>
    </xf>
    <xf numFmtId="0" fontId="86" fillId="4" borderId="61" pivotButton="0" quotePrefix="0" xfId="94"/>
    <xf numFmtId="0" fontId="59" fillId="4" borderId="26" applyAlignment="1" pivotButton="0" quotePrefix="0" xfId="94">
      <alignment horizontal="center" vertical="center" wrapText="1"/>
    </xf>
    <xf numFmtId="0" fontId="33" fillId="0" borderId="4" applyAlignment="1" pivotButton="0" quotePrefix="0" xfId="94">
      <alignment horizontal="center"/>
    </xf>
    <xf numFmtId="0" fontId="59" fillId="4" borderId="127" pivotButton="0" quotePrefix="0" xfId="94"/>
    <xf numFmtId="0" fontId="102" fillId="4" borderId="7" applyAlignment="1" pivotButton="0" quotePrefix="0" xfId="94">
      <alignment horizontal="center"/>
    </xf>
    <xf numFmtId="164" fontId="102" fillId="4" borderId="7" applyAlignment="1" pivotButton="0" quotePrefix="0" xfId="94">
      <alignment horizontal="center"/>
    </xf>
    <xf numFmtId="0" fontId="59" fillId="4" borderId="7" applyAlignment="1" pivotButton="0" quotePrefix="0" xfId="94">
      <alignment horizontal="center"/>
    </xf>
    <xf numFmtId="0" fontId="102" fillId="4" borderId="128" pivotButton="0" quotePrefix="0" xfId="94"/>
    <xf numFmtId="0" fontId="33" fillId="0" borderId="4" pivotButton="0" quotePrefix="0" xfId="94"/>
    <xf numFmtId="164" fontId="33" fillId="0" borderId="4" pivotButton="0" quotePrefix="0" xfId="94"/>
    <xf numFmtId="0" fontId="59" fillId="4" borderId="70" pivotButton="0" quotePrefix="0" xfId="94"/>
    <xf numFmtId="0" fontId="102" fillId="4" borderId="72" applyAlignment="1" pivotButton="0" quotePrefix="0" xfId="94">
      <alignment horizontal="center"/>
    </xf>
    <xf numFmtId="164" fontId="102" fillId="4" borderId="72" applyAlignment="1" pivotButton="0" quotePrefix="0" xfId="94">
      <alignment horizontal="center"/>
    </xf>
    <xf numFmtId="0" fontId="59" fillId="4" borderId="72" applyAlignment="1" pivotButton="0" quotePrefix="0" xfId="94">
      <alignment horizontal="center"/>
    </xf>
    <xf numFmtId="0" fontId="102" fillId="4" borderId="61" pivotButton="0" quotePrefix="0" xfId="94"/>
    <xf numFmtId="0" fontId="103" fillId="3" borderId="8" applyAlignment="1" pivotButton="0" quotePrefix="0" xfId="94">
      <alignment horizontal="center" vertical="center"/>
    </xf>
    <xf numFmtId="0" fontId="103" fillId="3" borderId="9" applyAlignment="1" pivotButton="0" quotePrefix="0" xfId="94">
      <alignment horizontal="center" vertical="center" wrapText="1"/>
    </xf>
    <xf numFmtId="164" fontId="103" fillId="3" borderId="10" applyAlignment="1" pivotButton="0" quotePrefix="0" xfId="94">
      <alignment horizontal="center" vertical="center" wrapText="1"/>
    </xf>
    <xf numFmtId="0" fontId="59" fillId="4" borderId="23" applyAlignment="1" pivotButton="0" quotePrefix="0" xfId="94">
      <alignment vertical="center" wrapText="1"/>
    </xf>
    <xf numFmtId="164" fontId="59" fillId="4" borderId="5" applyAlignment="1" pivotButton="0" quotePrefix="0" xfId="94">
      <alignment horizontal="center" vertical="center" wrapText="1"/>
    </xf>
    <xf numFmtId="164" fontId="59" fillId="4" borderId="67" applyAlignment="1" pivotButton="0" quotePrefix="0" xfId="94">
      <alignment vertical="center" wrapText="1"/>
    </xf>
    <xf numFmtId="0" fontId="103" fillId="22" borderId="13" applyAlignment="1" pivotButton="0" quotePrefix="0" xfId="94">
      <alignment vertical="center" wrapText="1"/>
    </xf>
    <xf numFmtId="164" fontId="103" fillId="22" borderId="14" applyAlignment="1" pivotButton="0" quotePrefix="0" xfId="94">
      <alignment horizontal="center" vertical="center" wrapText="1"/>
    </xf>
    <xf numFmtId="164" fontId="103" fillId="22" borderId="15" applyAlignment="1" pivotButton="0" quotePrefix="0" xfId="94">
      <alignment vertical="center" wrapText="1"/>
    </xf>
    <xf numFmtId="0" fontId="104" fillId="4" borderId="7" applyAlignment="1" pivotButton="0" quotePrefix="0" xfId="94">
      <alignment horizontal="left"/>
    </xf>
    <xf numFmtId="0" fontId="102" fillId="4" borderId="70" pivotButton="0" quotePrefix="0" xfId="94"/>
    <xf numFmtId="0" fontId="103" fillId="3" borderId="62" applyAlignment="1" pivotButton="0" quotePrefix="0" xfId="94">
      <alignment horizontal="center" vertical="center"/>
    </xf>
    <xf numFmtId="0" fontId="103" fillId="3" borderId="129" applyAlignment="1" pivotButton="0" quotePrefix="0" xfId="94">
      <alignment horizontal="center" vertical="center" wrapText="1"/>
    </xf>
    <xf numFmtId="164" fontId="103" fillId="3" borderId="63" applyAlignment="1" pivotButton="0" quotePrefix="0" xfId="94">
      <alignment horizontal="center" vertical="center" wrapText="1"/>
    </xf>
    <xf numFmtId="0" fontId="105" fillId="4" borderId="95" applyAlignment="1" pivotButton="0" quotePrefix="0" xfId="94">
      <alignment vertical="center" wrapText="1"/>
    </xf>
    <xf numFmtId="164" fontId="105" fillId="4" borderId="65" applyAlignment="1" pivotButton="0" quotePrefix="0" xfId="94">
      <alignment horizontal="center" vertical="center" wrapText="1"/>
    </xf>
    <xf numFmtId="164" fontId="105" fillId="0" borderId="66" applyAlignment="1" pivotButton="0" quotePrefix="0" xfId="94">
      <alignment vertical="center" wrapText="1"/>
    </xf>
    <xf numFmtId="0" fontId="103" fillId="22" borderId="60" applyAlignment="1" pivotButton="0" quotePrefix="0" xfId="94">
      <alignment vertical="center" wrapText="1"/>
    </xf>
    <xf numFmtId="164" fontId="103" fillId="22" borderId="37" applyAlignment="1" pivotButton="0" quotePrefix="0" xfId="94">
      <alignment horizontal="center" vertical="center" wrapText="1"/>
    </xf>
    <xf numFmtId="164" fontId="103" fillId="22" borderId="130" applyAlignment="1" pivotButton="0" quotePrefix="0" xfId="94">
      <alignment vertical="center" wrapText="1"/>
    </xf>
    <xf numFmtId="0" fontId="59" fillId="4" borderId="7" applyAlignment="1" pivotButton="0" quotePrefix="0" xfId="94">
      <alignment horizontal="left"/>
    </xf>
    <xf numFmtId="0" fontId="102" fillId="4" borderId="128" applyAlignment="1" pivotButton="0" quotePrefix="0" xfId="94">
      <alignment horizontal="left"/>
    </xf>
    <xf numFmtId="0" fontId="40" fillId="4" borderId="95" applyAlignment="1" pivotButton="0" quotePrefix="0" xfId="94">
      <alignment vertical="center" wrapText="1"/>
    </xf>
    <xf numFmtId="164" fontId="40" fillId="4" borderId="65" applyAlignment="1" pivotButton="0" quotePrefix="0" xfId="94">
      <alignment horizontal="center" vertical="center" wrapText="1"/>
    </xf>
    <xf numFmtId="164" fontId="40" fillId="4" borderId="66" applyAlignment="1" pivotButton="0" quotePrefix="0" xfId="94">
      <alignment vertical="center" wrapText="1"/>
    </xf>
    <xf numFmtId="0" fontId="40" fillId="4" borderId="96" applyAlignment="1" pivotButton="0" quotePrefix="0" xfId="94">
      <alignment vertical="center" wrapText="1"/>
    </xf>
    <xf numFmtId="164" fontId="40" fillId="4" borderId="97" applyAlignment="1" pivotButton="0" quotePrefix="0" xfId="94">
      <alignment horizontal="center" vertical="center" wrapText="1"/>
    </xf>
    <xf numFmtId="164" fontId="48" fillId="4" borderId="98" applyAlignment="1" pivotButton="0" quotePrefix="0" xfId="94">
      <alignment vertical="center" wrapText="1"/>
    </xf>
    <xf numFmtId="0" fontId="35" fillId="22" borderId="11" applyAlignment="1" pivotButton="0" quotePrefix="0" xfId="94">
      <alignment vertical="center" wrapText="1"/>
    </xf>
    <xf numFmtId="164" fontId="35" fillId="22" borderId="4" applyAlignment="1" pivotButton="0" quotePrefix="0" xfId="94">
      <alignment horizontal="center" vertical="center" wrapText="1"/>
    </xf>
    <xf numFmtId="164" fontId="35" fillId="22" borderId="12" applyAlignment="1" pivotButton="0" quotePrefix="0" xfId="94">
      <alignment vertical="center" wrapText="1"/>
    </xf>
    <xf numFmtId="164" fontId="59" fillId="4" borderId="72" applyAlignment="1" pivotButton="0" quotePrefix="0" xfId="94">
      <alignment horizontal="center"/>
    </xf>
    <xf numFmtId="0" fontId="59" fillId="4" borderId="61" pivotButton="0" quotePrefix="0" xfId="94"/>
    <xf numFmtId="164" fontId="105" fillId="4" borderId="22" applyAlignment="1" pivotButton="0" quotePrefix="0" xfId="94">
      <alignment vertical="center" wrapText="1"/>
    </xf>
    <xf numFmtId="0" fontId="103" fillId="22" borderId="96" applyAlignment="1" pivotButton="0" quotePrefix="0" xfId="94">
      <alignment vertical="center" wrapText="1"/>
    </xf>
    <xf numFmtId="164" fontId="103" fillId="22" borderId="97" applyAlignment="1" pivotButton="0" quotePrefix="0" xfId="94">
      <alignment horizontal="center" vertical="center" wrapText="1"/>
    </xf>
    <xf numFmtId="164" fontId="103" fillId="22" borderId="98" applyAlignment="1" pivotButton="0" quotePrefix="0" xfId="94">
      <alignment vertical="center" wrapText="1"/>
    </xf>
    <xf numFmtId="0" fontId="59" fillId="4" borderId="95" applyAlignment="1" pivotButton="0" quotePrefix="0" xfId="94">
      <alignment vertical="center" wrapText="1"/>
    </xf>
    <xf numFmtId="164" fontId="59" fillId="4" borderId="65" applyAlignment="1" pivotButton="0" quotePrefix="0" xfId="94">
      <alignment horizontal="center" vertical="center" wrapText="1"/>
    </xf>
    <xf numFmtId="164" fontId="59" fillId="4" borderId="98" applyAlignment="1" pivotButton="0" quotePrefix="0" xfId="94">
      <alignment vertical="center" wrapText="1"/>
    </xf>
    <xf numFmtId="0" fontId="103" fillId="22" borderId="11" applyAlignment="1" pivotButton="0" quotePrefix="0" xfId="94">
      <alignment vertical="center" wrapText="1"/>
    </xf>
    <xf numFmtId="164" fontId="103" fillId="22" borderId="4" applyAlignment="1" pivotButton="0" quotePrefix="0" xfId="94">
      <alignment horizontal="center" vertical="center" wrapText="1"/>
    </xf>
    <xf numFmtId="164" fontId="103" fillId="22" borderId="12" applyAlignment="1" pivotButton="0" quotePrefix="0" xfId="94">
      <alignment vertical="center" wrapText="1"/>
    </xf>
    <xf numFmtId="164" fontId="59" fillId="4" borderId="22" applyAlignment="1" pivotButton="0" quotePrefix="0" xfId="94">
      <alignment vertical="center" wrapText="1"/>
    </xf>
    <xf numFmtId="0" fontId="102" fillId="4" borderId="26" pivotButton="0" quotePrefix="0" xfId="94"/>
    <xf numFmtId="0" fontId="102" fillId="4" borderId="27" applyAlignment="1" pivotButton="0" quotePrefix="0" xfId="94">
      <alignment horizontal="center"/>
    </xf>
    <xf numFmtId="164" fontId="102" fillId="4" borderId="27" applyAlignment="1" pivotButton="0" quotePrefix="0" xfId="94">
      <alignment horizontal="center"/>
    </xf>
    <xf numFmtId="0" fontId="59" fillId="4" borderId="27" applyAlignment="1" pivotButton="0" quotePrefix="0" xfId="94">
      <alignment horizontal="center"/>
    </xf>
    <xf numFmtId="0" fontId="102" fillId="4" borderId="28" pivotButton="0" quotePrefix="0" xfId="94"/>
    <xf numFmtId="164" fontId="59" fillId="4" borderId="66" applyAlignment="1" pivotButton="0" quotePrefix="0" xfId="94">
      <alignment vertical="center" wrapText="1"/>
    </xf>
    <xf numFmtId="0" fontId="59" fillId="4" borderId="96" applyAlignment="1" pivotButton="0" quotePrefix="0" xfId="94">
      <alignment vertical="center" wrapText="1"/>
    </xf>
    <xf numFmtId="164" fontId="59" fillId="4" borderId="97" applyAlignment="1" pivotButton="0" quotePrefix="0" xfId="94">
      <alignment horizontal="center" vertical="center" wrapText="1"/>
    </xf>
    <xf numFmtId="164" fontId="104" fillId="4" borderId="22" applyAlignment="1" pivotButton="0" quotePrefix="0" xfId="94">
      <alignment vertical="center" wrapText="1"/>
    </xf>
    <xf numFmtId="0" fontId="100" fillId="12" borderId="8" applyAlignment="1" pivotButton="0" quotePrefix="0" xfId="97">
      <alignment vertical="center" wrapText="1"/>
    </xf>
    <xf numFmtId="0" fontId="58" fillId="4" borderId="69" applyAlignment="1" pivotButton="0" quotePrefix="0" xfId="97">
      <alignment horizontal="center" vertical="center" wrapText="1"/>
    </xf>
    <xf numFmtId="164" fontId="58" fillId="4" borderId="69" applyAlignment="1" pivotButton="0" quotePrefix="0" xfId="97">
      <alignment horizontal="left" vertical="center" wrapText="1"/>
    </xf>
    <xf numFmtId="0" fontId="59" fillId="4" borderId="69" applyAlignment="1" pivotButton="0" quotePrefix="0" xfId="97">
      <alignment horizontal="center" vertical="center" wrapText="1"/>
    </xf>
    <xf numFmtId="0" fontId="86" fillId="4" borderId="169" pivotButton="0" quotePrefix="0" xfId="97"/>
    <xf numFmtId="0" fontId="10" fillId="0" borderId="72" pivotButton="0" quotePrefix="0" xfId="97"/>
    <xf numFmtId="164" fontId="33" fillId="0" borderId="72" pivotButton="0" quotePrefix="0" xfId="97"/>
    <xf numFmtId="0" fontId="100" fillId="12" borderId="11" applyAlignment="1" pivotButton="0" quotePrefix="0" xfId="97">
      <alignment vertical="center" wrapText="1"/>
    </xf>
    <xf numFmtId="0" fontId="58" fillId="4" borderId="59" applyAlignment="1" pivotButton="0" quotePrefix="0" xfId="97">
      <alignment horizontal="center" vertical="center" wrapText="1"/>
    </xf>
    <xf numFmtId="164" fontId="58" fillId="4" borderId="59" applyAlignment="1" pivotButton="0" quotePrefix="0" xfId="97">
      <alignment horizontal="left" vertical="center" wrapText="1"/>
    </xf>
    <xf numFmtId="0" fontId="59" fillId="4" borderId="59" applyAlignment="1" pivotButton="0" quotePrefix="0" xfId="97">
      <alignment horizontal="center" vertical="center" wrapText="1"/>
    </xf>
    <xf numFmtId="0" fontId="86" fillId="4" borderId="52" pivotButton="0" quotePrefix="0" xfId="97"/>
    <xf numFmtId="0" fontId="59" fillId="4" borderId="72" applyAlignment="1" pivotButton="0" quotePrefix="0" xfId="97">
      <alignment horizontal="center" vertical="center" wrapText="1"/>
    </xf>
    <xf numFmtId="0" fontId="86" fillId="4" borderId="131" pivotButton="0" quotePrefix="0" xfId="97"/>
    <xf numFmtId="0" fontId="33" fillId="0" borderId="72" pivotButton="0" quotePrefix="0" xfId="97"/>
    <xf numFmtId="0" fontId="59" fillId="4" borderId="127" pivotButton="0" quotePrefix="0" xfId="97"/>
    <xf numFmtId="0" fontId="102" fillId="4" borderId="7" applyAlignment="1" pivotButton="0" quotePrefix="0" xfId="97">
      <alignment horizontal="center"/>
    </xf>
    <xf numFmtId="164" fontId="102" fillId="4" borderId="7" applyAlignment="1" pivotButton="0" quotePrefix="0" xfId="97">
      <alignment horizontal="center"/>
    </xf>
    <xf numFmtId="0" fontId="59" fillId="4" borderId="7" applyAlignment="1" pivotButton="0" quotePrefix="0" xfId="97">
      <alignment horizontal="center"/>
    </xf>
    <xf numFmtId="0" fontId="102" fillId="4" borderId="128" pivotButton="0" quotePrefix="0" xfId="97"/>
    <xf numFmtId="0" fontId="59" fillId="4" borderId="70" pivotButton="0" quotePrefix="0" xfId="97"/>
    <xf numFmtId="0" fontId="102" fillId="4" borderId="72" applyAlignment="1" pivotButton="0" quotePrefix="0" xfId="97">
      <alignment horizontal="center"/>
    </xf>
    <xf numFmtId="164" fontId="102" fillId="4" borderId="72" applyAlignment="1" pivotButton="0" quotePrefix="0" xfId="97">
      <alignment horizontal="center"/>
    </xf>
    <xf numFmtId="0" fontId="59" fillId="4" borderId="72" applyAlignment="1" pivotButton="0" quotePrefix="0" xfId="97">
      <alignment horizontal="center"/>
    </xf>
    <xf numFmtId="0" fontId="102" fillId="4" borderId="61" pivotButton="0" quotePrefix="0" xfId="97"/>
    <xf numFmtId="0" fontId="103" fillId="3" borderId="8" applyAlignment="1" pivotButton="0" quotePrefix="0" xfId="97">
      <alignment horizontal="center" vertical="center"/>
    </xf>
    <xf numFmtId="0" fontId="103" fillId="3" borderId="9" applyAlignment="1" pivotButton="0" quotePrefix="0" xfId="97">
      <alignment horizontal="center" vertical="center" wrapText="1"/>
    </xf>
    <xf numFmtId="164" fontId="103" fillId="3" borderId="10" applyAlignment="1" pivotButton="0" quotePrefix="0" xfId="97">
      <alignment horizontal="center" vertical="center" wrapText="1"/>
    </xf>
    <xf numFmtId="0" fontId="59" fillId="4" borderId="95" applyAlignment="1" pivotButton="0" quotePrefix="0" xfId="97">
      <alignment vertical="center" wrapText="1"/>
    </xf>
    <xf numFmtId="164" fontId="59" fillId="4" borderId="65" applyAlignment="1" pivotButton="0" quotePrefix="0" xfId="97">
      <alignment horizontal="center" vertical="center" wrapText="1"/>
    </xf>
    <xf numFmtId="164" fontId="59" fillId="4" borderId="66" applyAlignment="1" pivotButton="0" quotePrefix="0" xfId="97">
      <alignment horizontal="center" vertical="center" wrapText="1"/>
    </xf>
    <xf numFmtId="0" fontId="33" fillId="8" borderId="72" pivotButton="0" quotePrefix="0" xfId="97"/>
    <xf numFmtId="164" fontId="33" fillId="8" borderId="72" pivotButton="0" quotePrefix="0" xfId="97"/>
    <xf numFmtId="0" fontId="59" fillId="4" borderId="96" applyAlignment="1" pivotButton="0" quotePrefix="0" xfId="97">
      <alignment vertical="center" wrapText="1"/>
    </xf>
    <xf numFmtId="164" fontId="59" fillId="4" borderId="97" applyAlignment="1" pivotButton="0" quotePrefix="0" xfId="97">
      <alignment horizontal="center" vertical="center" wrapText="1"/>
    </xf>
    <xf numFmtId="164" fontId="59" fillId="11" borderId="98" applyAlignment="1" pivotButton="0" quotePrefix="0" xfId="97">
      <alignment horizontal="center" vertical="center" wrapText="1"/>
    </xf>
    <xf numFmtId="0" fontId="106" fillId="4" borderId="95" applyAlignment="1" pivotButton="0" quotePrefix="0" xfId="97">
      <alignment vertical="center" wrapText="1"/>
    </xf>
    <xf numFmtId="164" fontId="106" fillId="4" borderId="65" applyAlignment="1" pivotButton="0" quotePrefix="0" xfId="97">
      <alignment horizontal="center" vertical="center" wrapText="1"/>
    </xf>
    <xf numFmtId="164" fontId="106" fillId="4" borderId="66" applyAlignment="1" pivotButton="0" quotePrefix="0" xfId="97">
      <alignment horizontal="center" vertical="center" wrapText="1"/>
    </xf>
    <xf numFmtId="0" fontId="106" fillId="4" borderId="96" applyAlignment="1" pivotButton="0" quotePrefix="0" xfId="97">
      <alignment vertical="center" wrapText="1"/>
    </xf>
    <xf numFmtId="164" fontId="106" fillId="4" borderId="97" applyAlignment="1" pivotButton="0" quotePrefix="0" xfId="97">
      <alignment horizontal="center" vertical="center" wrapText="1"/>
    </xf>
    <xf numFmtId="164" fontId="106" fillId="4" borderId="98" applyAlignment="1" pivotButton="0" quotePrefix="0" xfId="97">
      <alignment horizontal="center" vertical="center" wrapText="1"/>
    </xf>
    <xf numFmtId="0" fontId="102" fillId="4" borderId="70" pivotButton="0" quotePrefix="0" xfId="97"/>
    <xf numFmtId="0" fontId="59" fillId="4" borderId="99" applyAlignment="1" pivotButton="0" quotePrefix="0" xfId="97">
      <alignment vertical="center" wrapText="1"/>
    </xf>
    <xf numFmtId="164" fontId="59" fillId="4" borderId="68" applyAlignment="1" pivotButton="0" quotePrefix="0" xfId="97">
      <alignment horizontal="center" vertical="center" wrapText="1"/>
    </xf>
    <xf numFmtId="182" fontId="59" fillId="4" borderId="67" applyAlignment="1" pivotButton="0" quotePrefix="0" xfId="97">
      <alignment horizontal="center" vertical="center" wrapText="1"/>
    </xf>
    <xf numFmtId="0" fontId="59" fillId="4" borderId="72" pivotButton="0" quotePrefix="0" xfId="97"/>
    <xf numFmtId="164" fontId="99" fillId="0" borderId="72" pivotButton="0" quotePrefix="0" xfId="97"/>
    <xf numFmtId="0" fontId="33" fillId="4" borderId="70" pivotButton="0" quotePrefix="0" xfId="97"/>
    <xf numFmtId="0" fontId="59" fillId="25" borderId="72" pivotButton="0" quotePrefix="0" xfId="97"/>
    <xf numFmtId="182" fontId="59" fillId="4" borderId="72" pivotButton="0" quotePrefix="0" xfId="97"/>
    <xf numFmtId="0" fontId="33" fillId="4" borderId="61" pivotButton="0" quotePrefix="0" xfId="97"/>
    <xf numFmtId="0" fontId="59" fillId="4" borderId="100" applyAlignment="1" pivotButton="0" quotePrefix="0" xfId="97">
      <alignment vertical="center" wrapText="1"/>
    </xf>
    <xf numFmtId="164" fontId="59" fillId="4" borderId="101" applyAlignment="1" pivotButton="0" quotePrefix="0" xfId="97">
      <alignment horizontal="center" vertical="center" wrapText="1"/>
    </xf>
    <xf numFmtId="164" fontId="59" fillId="4" borderId="131" applyAlignment="1" pivotButton="0" quotePrefix="0" xfId="97">
      <alignment horizontal="center" vertical="center" wrapText="1"/>
    </xf>
    <xf numFmtId="0" fontId="33" fillId="4" borderId="72" pivotButton="0" quotePrefix="0" xfId="97"/>
    <xf numFmtId="0" fontId="76" fillId="4" borderId="94" pivotButton="0" quotePrefix="0" xfId="98"/>
    <xf numFmtId="0" fontId="103" fillId="3" borderId="171" applyAlignment="1" pivotButton="0" quotePrefix="0" xfId="97">
      <alignment horizontal="center" vertical="center"/>
    </xf>
    <xf numFmtId="0" fontId="103" fillId="3" borderId="172" applyAlignment="1" pivotButton="0" quotePrefix="0" xfId="97">
      <alignment horizontal="center" vertical="center"/>
    </xf>
    <xf numFmtId="0" fontId="103" fillId="3" borderId="172" applyAlignment="1" pivotButton="0" quotePrefix="0" xfId="97">
      <alignment horizontal="center" vertical="center" wrapText="1"/>
    </xf>
    <xf numFmtId="0" fontId="74" fillId="3" borderId="173" applyAlignment="1" pivotButton="0" quotePrefix="0" xfId="98">
      <alignment horizontal="center" vertical="center" wrapText="1"/>
    </xf>
    <xf numFmtId="0" fontId="76" fillId="4" borderId="174" applyAlignment="1" pivotButton="0" quotePrefix="0" xfId="98">
      <alignment vertical="center"/>
    </xf>
    <xf numFmtId="164" fontId="76" fillId="4" borderId="65" applyAlignment="1" pivotButton="0" quotePrefix="0" xfId="98">
      <alignment horizontal="center" vertical="center"/>
    </xf>
    <xf numFmtId="164" fontId="76" fillId="4" borderId="65" applyAlignment="1" pivotButton="0" quotePrefix="0" xfId="98">
      <alignment horizontal="center" vertical="center" wrapText="1"/>
    </xf>
    <xf numFmtId="164" fontId="76" fillId="4" borderId="175" applyAlignment="1" pivotButton="0" quotePrefix="0" xfId="98">
      <alignment horizontal="center" vertical="center" wrapText="1"/>
    </xf>
    <xf numFmtId="0" fontId="76" fillId="4" borderId="176" applyAlignment="1" pivotButton="0" quotePrefix="0" xfId="98">
      <alignment vertical="center"/>
    </xf>
    <xf numFmtId="164" fontId="76" fillId="4" borderId="102" applyAlignment="1" pivotButton="0" quotePrefix="0" xfId="98">
      <alignment horizontal="center" vertical="center"/>
    </xf>
    <xf numFmtId="164" fontId="76" fillId="4" borderId="68" applyAlignment="1" pivotButton="0" quotePrefix="0" xfId="98">
      <alignment horizontal="center" vertical="center" wrapText="1"/>
    </xf>
    <xf numFmtId="164" fontId="76" fillId="4" borderId="177" applyAlignment="1" pivotButton="0" quotePrefix="0" xfId="98">
      <alignment horizontal="center" vertical="center" wrapText="1"/>
    </xf>
    <xf numFmtId="0" fontId="76" fillId="4" borderId="178" applyAlignment="1" pivotButton="0" quotePrefix="0" xfId="98">
      <alignment vertical="center"/>
    </xf>
    <xf numFmtId="164" fontId="76" fillId="4" borderId="68" applyAlignment="1" pivotButton="0" quotePrefix="0" xfId="98">
      <alignment horizontal="center" vertical="center"/>
    </xf>
    <xf numFmtId="164" fontId="76" fillId="4" borderId="179" applyAlignment="1" pivotButton="0" quotePrefix="0" xfId="98">
      <alignment horizontal="center" vertical="center" wrapText="1"/>
    </xf>
    <xf numFmtId="164" fontId="76" fillId="4" borderId="102" applyAlignment="1" pivotButton="0" quotePrefix="0" xfId="98">
      <alignment horizontal="center" vertical="center" wrapText="1"/>
    </xf>
    <xf numFmtId="0" fontId="76" fillId="4" borderId="180" applyAlignment="1" pivotButton="0" quotePrefix="0" xfId="98">
      <alignment vertical="center"/>
    </xf>
    <xf numFmtId="164" fontId="76" fillId="4" borderId="51" applyAlignment="1" pivotButton="0" quotePrefix="0" xfId="98">
      <alignment horizontal="center" vertical="center"/>
    </xf>
    <xf numFmtId="164" fontId="76" fillId="4" borderId="51" applyAlignment="1" pivotButton="0" quotePrefix="0" xfId="98">
      <alignment horizontal="center" vertical="center" wrapText="1"/>
    </xf>
    <xf numFmtId="164" fontId="76" fillId="4" borderId="181" applyAlignment="1" pivotButton="0" quotePrefix="0" xfId="98">
      <alignment horizontal="center" vertical="center" wrapText="1"/>
    </xf>
    <xf numFmtId="0" fontId="76" fillId="4" borderId="182" applyAlignment="1" pivotButton="0" quotePrefix="0" xfId="98">
      <alignment vertical="center"/>
    </xf>
    <xf numFmtId="164" fontId="76" fillId="4" borderId="170" applyAlignment="1" pivotButton="0" quotePrefix="0" xfId="98">
      <alignment horizontal="center" vertical="center"/>
    </xf>
    <xf numFmtId="164" fontId="76" fillId="4" borderId="183" applyAlignment="1" pivotButton="0" quotePrefix="0" xfId="98">
      <alignment horizontal="center" vertical="center" wrapText="1"/>
    </xf>
    <xf numFmtId="0" fontId="33" fillId="0" borderId="70" pivotButton="0" quotePrefix="0" xfId="97"/>
    <xf numFmtId="164" fontId="103" fillId="23" borderId="164" applyAlignment="1" pivotButton="0" quotePrefix="0" xfId="97">
      <alignment horizontal="center" vertical="center" wrapText="1"/>
    </xf>
    <xf numFmtId="164" fontId="103" fillId="23" borderId="165" applyAlignment="1" pivotButton="0" quotePrefix="0" xfId="97">
      <alignment horizontal="center" vertical="center" wrapText="1"/>
    </xf>
    <xf numFmtId="0" fontId="103" fillId="0" borderId="72" applyAlignment="1" pivotButton="0" quotePrefix="0" xfId="97">
      <alignment horizontal="center" vertical="center" wrapText="1"/>
    </xf>
    <xf numFmtId="0" fontId="107" fillId="0" borderId="72" applyAlignment="1" pivotButton="0" quotePrefix="0" xfId="97">
      <alignment horizontal="center" vertical="center" wrapText="1"/>
    </xf>
    <xf numFmtId="164" fontId="103" fillId="0" borderId="72" applyAlignment="1" pivotButton="0" quotePrefix="0" xfId="97">
      <alignment horizontal="center" vertical="center" wrapText="1"/>
    </xf>
    <xf numFmtId="0" fontId="105" fillId="0" borderId="72" applyAlignment="1" pivotButton="0" quotePrefix="0" xfId="97">
      <alignment horizontal="center" vertical="center" wrapText="1"/>
    </xf>
    <xf numFmtId="0" fontId="103" fillId="3" borderId="10" applyAlignment="1" pivotButton="0" quotePrefix="0" xfId="97">
      <alignment horizontal="center" vertical="center" wrapText="1"/>
    </xf>
    <xf numFmtId="164" fontId="59" fillId="4" borderId="67" applyAlignment="1" pivotButton="0" quotePrefix="0" xfId="97">
      <alignment horizontal="center" vertical="center" wrapText="1"/>
    </xf>
    <xf numFmtId="0" fontId="59" fillId="4" borderId="23" applyAlignment="1" pivotButton="0" quotePrefix="0" xfId="97">
      <alignment vertical="center" wrapText="1"/>
    </xf>
    <xf numFmtId="0" fontId="59" fillId="4" borderId="25" applyAlignment="1" pivotButton="0" quotePrefix="0" xfId="97">
      <alignment vertical="center" wrapText="1"/>
    </xf>
    <xf numFmtId="164" fontId="103" fillId="23" borderId="133" applyAlignment="1" pivotButton="0" quotePrefix="0" xfId="97">
      <alignment horizontal="center" vertical="center" wrapText="1"/>
    </xf>
    <xf numFmtId="0" fontId="59" fillId="4" borderId="24" applyAlignment="1" pivotButton="0" quotePrefix="0" xfId="97">
      <alignment vertical="center" wrapText="1"/>
    </xf>
    <xf numFmtId="164" fontId="59" fillId="4" borderId="51" applyAlignment="1" pivotButton="0" quotePrefix="0" xfId="97">
      <alignment horizontal="center" vertical="center" wrapText="1"/>
    </xf>
    <xf numFmtId="164" fontId="59" fillId="4" borderId="52" applyAlignment="1" pivotButton="0" quotePrefix="0" xfId="97">
      <alignment horizontal="center" vertical="center" wrapText="1"/>
    </xf>
    <xf numFmtId="0" fontId="33" fillId="0" borderId="61" pivotButton="0" quotePrefix="0" xfId="97"/>
    <xf numFmtId="0" fontId="33" fillId="4" borderId="26" pivotButton="0" quotePrefix="0" xfId="97"/>
    <xf numFmtId="0" fontId="33" fillId="4" borderId="27" pivotButton="0" quotePrefix="0" xfId="97"/>
    <xf numFmtId="0" fontId="33" fillId="4" borderId="28" pivotButton="0" quotePrefix="0" xfId="97"/>
    <xf numFmtId="0" fontId="100" fillId="12" borderId="80" applyAlignment="1" pivotButton="0" quotePrefix="0" xfId="97">
      <alignment vertical="center" wrapText="1"/>
    </xf>
    <xf numFmtId="168" fontId="58" fillId="4" borderId="114" applyAlignment="1" pivotButton="0" quotePrefix="0" xfId="94">
      <alignment horizontal="left" vertical="center" wrapText="1"/>
    </xf>
    <xf numFmtId="0" fontId="58" fillId="4" borderId="113" applyAlignment="1" pivotButton="0" quotePrefix="0" xfId="97">
      <alignment horizontal="center" vertical="center" wrapText="1"/>
    </xf>
    <xf numFmtId="0" fontId="59" fillId="4" borderId="113" applyAlignment="1" pivotButton="0" quotePrefix="0" xfId="97">
      <alignment horizontal="center" vertical="center" wrapText="1"/>
    </xf>
    <xf numFmtId="164" fontId="58" fillId="4" borderId="113" applyAlignment="1" pivotButton="0" quotePrefix="0" xfId="97">
      <alignment horizontal="left" vertical="center" wrapText="1"/>
    </xf>
    <xf numFmtId="0" fontId="59" fillId="4" borderId="112" applyAlignment="1" pivotButton="0" quotePrefix="0" xfId="97">
      <alignment horizontal="center" vertical="center" wrapText="1"/>
    </xf>
    <xf numFmtId="0" fontId="59" fillId="4" borderId="166" applyAlignment="1" pivotButton="0" quotePrefix="0" xfId="97">
      <alignment vertical="center" wrapText="1"/>
    </xf>
    <xf numFmtId="0" fontId="108" fillId="0" borderId="72" pivotButton="0" quotePrefix="0" xfId="94"/>
    <xf numFmtId="0" fontId="100" fillId="12" borderId="82" applyAlignment="1" pivotButton="0" quotePrefix="0" xfId="97">
      <alignment vertical="center" wrapText="1"/>
    </xf>
    <xf numFmtId="0" fontId="58" fillId="4" borderId="117" applyAlignment="1" pivotButton="0" quotePrefix="0" xfId="94">
      <alignment horizontal="left" vertical="center" wrapText="1"/>
    </xf>
    <xf numFmtId="0" fontId="58" fillId="4" borderId="85" applyAlignment="1" pivotButton="0" quotePrefix="0" xfId="97">
      <alignment horizontal="center" vertical="center" wrapText="1"/>
    </xf>
    <xf numFmtId="0" fontId="59" fillId="4" borderId="85" applyAlignment="1" pivotButton="0" quotePrefix="0" xfId="97">
      <alignment horizontal="center" vertical="center" wrapText="1"/>
    </xf>
    <xf numFmtId="164" fontId="58" fillId="4" borderId="85" applyAlignment="1" pivotButton="0" quotePrefix="0" xfId="97">
      <alignment horizontal="left" vertical="center" wrapText="1"/>
    </xf>
    <xf numFmtId="0" fontId="59" fillId="4" borderId="116" applyAlignment="1" pivotButton="0" quotePrefix="0" xfId="97">
      <alignment horizontal="center" vertical="center" wrapText="1"/>
    </xf>
    <xf numFmtId="0" fontId="59" fillId="4" borderId="167" applyAlignment="1" pivotButton="0" quotePrefix="0" xfId="97">
      <alignment vertical="center" wrapText="1"/>
    </xf>
    <xf numFmtId="0" fontId="59" fillId="4" borderId="168" applyAlignment="1" pivotButton="0" quotePrefix="0" xfId="97">
      <alignment vertical="center" wrapText="1"/>
    </xf>
    <xf numFmtId="0" fontId="110" fillId="26" borderId="136" applyAlignment="1" pivotButton="0" quotePrefix="0" xfId="94">
      <alignment horizontal="center" vertical="center"/>
    </xf>
    <xf numFmtId="0" fontId="110" fillId="26" borderId="136" applyAlignment="1" pivotButton="0" quotePrefix="0" xfId="94">
      <alignment horizontal="center" vertical="center" wrapText="1"/>
    </xf>
    <xf numFmtId="4" fontId="110" fillId="26" borderId="136" applyAlignment="1" pivotButton="0" quotePrefix="0" xfId="94">
      <alignment horizontal="center" vertical="center" wrapText="1"/>
    </xf>
    <xf numFmtId="0" fontId="110" fillId="26" borderId="137" applyAlignment="1" pivotButton="0" quotePrefix="0" xfId="94">
      <alignment horizontal="center" vertical="center" wrapText="1"/>
    </xf>
    <xf numFmtId="182" fontId="110" fillId="26" borderId="136" applyAlignment="1" pivotButton="0" quotePrefix="0" xfId="94">
      <alignment horizontal="center" vertical="center" wrapText="1"/>
    </xf>
    <xf numFmtId="0" fontId="110" fillId="26" borderId="138" applyAlignment="1" pivotButton="0" quotePrefix="0" xfId="94">
      <alignment horizontal="center" vertical="center"/>
    </xf>
    <xf numFmtId="0" fontId="111" fillId="0" borderId="72" applyAlignment="1" pivotButton="0" quotePrefix="0" xfId="94">
      <alignment vertical="center"/>
    </xf>
    <xf numFmtId="0" fontId="108" fillId="0" borderId="72" applyAlignment="1" pivotButton="0" quotePrefix="0" xfId="94">
      <alignment vertical="center"/>
    </xf>
    <xf numFmtId="0" fontId="123" fillId="28" borderId="16" applyAlignment="1" pivotButton="0" quotePrefix="0" xfId="94">
      <alignment horizontal="center" vertical="center"/>
    </xf>
    <xf numFmtId="4" fontId="123" fillId="28" borderId="16" applyAlignment="1" pivotButton="0" quotePrefix="0" xfId="94">
      <alignment horizontal="center" vertical="center"/>
    </xf>
    <xf numFmtId="175" fontId="64" fillId="15" borderId="72" pivotButton="0" quotePrefix="0" xfId="94"/>
    <xf numFmtId="182" fontId="123" fillId="15" borderId="72" applyAlignment="1" pivotButton="0" quotePrefix="0" xfId="94">
      <alignment vertical="center"/>
    </xf>
    <xf numFmtId="0" fontId="123" fillId="15" borderId="72" applyAlignment="1" pivotButton="0" quotePrefix="0" xfId="94">
      <alignment vertical="center"/>
    </xf>
    <xf numFmtId="184" fontId="111" fillId="0" borderId="72" applyAlignment="1" pivotButton="0" quotePrefix="0" xfId="94">
      <alignment vertical="center"/>
    </xf>
    <xf numFmtId="0" fontId="108" fillId="10" borderId="16" applyAlignment="1" pivotButton="0" quotePrefix="0" xfId="94">
      <alignment horizontal="center" vertical="center"/>
    </xf>
    <xf numFmtId="0" fontId="108" fillId="10" borderId="16" applyAlignment="1" pivotButton="0" quotePrefix="0" xfId="94">
      <alignment vertical="center" wrapText="1"/>
    </xf>
    <xf numFmtId="4" fontId="108" fillId="10" borderId="16" applyAlignment="1" pivotButton="0" quotePrefix="0" xfId="94">
      <alignment horizontal="center" vertical="center"/>
    </xf>
    <xf numFmtId="182" fontId="108" fillId="0" borderId="16" applyAlignment="1" pivotButton="0" quotePrefix="0" xfId="94">
      <alignment vertical="center"/>
    </xf>
    <xf numFmtId="182" fontId="108" fillId="10" borderId="16" applyAlignment="1" pivotButton="0" quotePrefix="0" xfId="94">
      <alignment vertical="center"/>
    </xf>
    <xf numFmtId="4" fontId="112" fillId="0" borderId="16" applyAlignment="1" pivotButton="0" quotePrefix="0" xfId="94">
      <alignment vertical="center" wrapText="1"/>
    </xf>
    <xf numFmtId="182" fontId="111" fillId="0" borderId="72" applyAlignment="1" pivotButton="0" quotePrefix="0" xfId="94">
      <alignment vertical="center"/>
    </xf>
    <xf numFmtId="0" fontId="108" fillId="0" borderId="72" applyAlignment="1" pivotButton="0" quotePrefix="0" xfId="94">
      <alignment vertical="center" wrapText="1"/>
    </xf>
    <xf numFmtId="0" fontId="108" fillId="10" borderId="136" applyAlignment="1" pivotButton="0" quotePrefix="0" xfId="94">
      <alignment horizontal="center" vertical="center"/>
    </xf>
    <xf numFmtId="182" fontId="108" fillId="0" borderId="136" applyAlignment="1" pivotButton="0" quotePrefix="0" xfId="94">
      <alignment vertical="center"/>
    </xf>
    <xf numFmtId="182" fontId="108" fillId="10" borderId="136" applyAlignment="1" pivotButton="0" quotePrefix="0" xfId="94">
      <alignment vertical="center"/>
    </xf>
    <xf numFmtId="4" fontId="112" fillId="0" borderId="136" applyAlignment="1" pivotButton="0" quotePrefix="0" xfId="94">
      <alignment vertical="center" wrapText="1"/>
    </xf>
    <xf numFmtId="182" fontId="108" fillId="0" borderId="72" applyAlignment="1" pivotButton="0" quotePrefix="0" xfId="94">
      <alignment vertical="center"/>
    </xf>
    <xf numFmtId="0" fontId="108" fillId="10" borderId="140" applyAlignment="1" pivotButton="0" quotePrefix="0" xfId="94">
      <alignment horizontal="center" vertical="center"/>
    </xf>
    <xf numFmtId="0" fontId="108" fillId="10" borderId="140" applyAlignment="1" pivotButton="0" quotePrefix="0" xfId="94">
      <alignment vertical="center" wrapText="1"/>
    </xf>
    <xf numFmtId="4" fontId="108" fillId="10" borderId="140" applyAlignment="1" pivotButton="0" quotePrefix="0" xfId="94">
      <alignment horizontal="center" vertical="center"/>
    </xf>
    <xf numFmtId="182" fontId="108" fillId="0" borderId="140" applyAlignment="1" pivotButton="0" quotePrefix="0" xfId="94">
      <alignment vertical="center"/>
    </xf>
    <xf numFmtId="182" fontId="108" fillId="10" borderId="141" applyAlignment="1" pivotButton="0" quotePrefix="0" xfId="94">
      <alignment vertical="center"/>
    </xf>
    <xf numFmtId="4" fontId="112" fillId="0" borderId="140" applyAlignment="1" pivotButton="0" quotePrefix="0" xfId="94">
      <alignment vertical="center" wrapText="1"/>
    </xf>
    <xf numFmtId="4" fontId="108" fillId="0" borderId="16" applyAlignment="1" pivotButton="0" quotePrefix="0" xfId="94">
      <alignment horizontal="center" vertical="center"/>
    </xf>
    <xf numFmtId="0" fontId="114" fillId="0" borderId="72" applyAlignment="1" pivotButton="0" quotePrefix="0" xfId="94">
      <alignment vertical="center" wrapText="1"/>
    </xf>
    <xf numFmtId="0" fontId="110" fillId="26" borderId="139" applyAlignment="1" pivotButton="0" quotePrefix="0" xfId="94">
      <alignment vertical="center" wrapText="1"/>
    </xf>
    <xf numFmtId="0" fontId="110" fillId="26" borderId="139" applyAlignment="1" pivotButton="0" quotePrefix="0" xfId="94">
      <alignment horizontal="right" vertical="center" wrapText="1"/>
    </xf>
    <xf numFmtId="182" fontId="110" fillId="26" borderId="139" applyAlignment="1" pivotButton="0" quotePrefix="0" xfId="94">
      <alignment vertical="center"/>
    </xf>
    <xf numFmtId="182" fontId="115" fillId="26" borderId="135" pivotButton="0" quotePrefix="0" xfId="94"/>
    <xf numFmtId="0" fontId="110" fillId="26" borderId="139" applyAlignment="1" pivotButton="0" quotePrefix="0" xfId="94">
      <alignment horizontal="right" vertical="center"/>
    </xf>
    <xf numFmtId="173" fontId="110" fillId="26" borderId="139" applyAlignment="1" pivotButton="0" quotePrefix="0" xfId="99">
      <alignment vertical="center"/>
    </xf>
    <xf numFmtId="0" fontId="108" fillId="0" borderId="72" applyAlignment="1" pivotButton="0" quotePrefix="0" xfId="94">
      <alignment horizontal="center" vertical="center"/>
    </xf>
    <xf numFmtId="4" fontId="108" fillId="0" borderId="72" applyAlignment="1" pivotButton="0" quotePrefix="0" xfId="94">
      <alignment vertical="center"/>
    </xf>
    <xf numFmtId="182" fontId="108" fillId="0" borderId="72" pivotButton="0" quotePrefix="0" xfId="94"/>
    <xf numFmtId="0" fontId="108" fillId="0" borderId="4" applyAlignment="1" pivotButton="0" quotePrefix="0" xfId="94">
      <alignment horizontal="center" vertical="center"/>
    </xf>
    <xf numFmtId="0" fontId="108" fillId="0" borderId="4" applyAlignment="1" pivotButton="0" quotePrefix="0" xfId="94">
      <alignment horizontal="center" vertical="center" wrapText="1"/>
    </xf>
    <xf numFmtId="0" fontId="108" fillId="0" borderId="4" applyAlignment="1" pivotButton="0" quotePrefix="0" xfId="94">
      <alignment vertical="center"/>
    </xf>
    <xf numFmtId="4" fontId="108" fillId="10" borderId="4" applyAlignment="1" pivotButton="0" quotePrefix="0" xfId="94">
      <alignment horizontal="center" vertical="center"/>
    </xf>
    <xf numFmtId="4" fontId="108" fillId="10" borderId="4" applyAlignment="1" pivotButton="0" quotePrefix="0" xfId="94">
      <alignment vertical="center"/>
    </xf>
    <xf numFmtId="0" fontId="108" fillId="0" borderId="4" pivotButton="0" quotePrefix="0" xfId="94"/>
    <xf numFmtId="4" fontId="108" fillId="0" borderId="72" pivotButton="0" quotePrefix="0" xfId="94"/>
    <xf numFmtId="0" fontId="108" fillId="0" borderId="72" applyAlignment="1" pivotButton="0" quotePrefix="0" xfId="94">
      <alignment horizontal="center"/>
    </xf>
    <xf numFmtId="0" fontId="108" fillId="0" borderId="58" pivotButton="0" quotePrefix="0" xfId="94"/>
    <xf numFmtId="0" fontId="98" fillId="0" borderId="39" applyAlignment="1" pivotButton="0" quotePrefix="0" xfId="94">
      <alignment horizontal="center"/>
    </xf>
    <xf numFmtId="0" fontId="10" fillId="0" borderId="72" applyAlignment="1" pivotButton="0" quotePrefix="0" xfId="94">
      <alignment horizontal="center"/>
    </xf>
    <xf numFmtId="3" fontId="89" fillId="0" borderId="118" applyAlignment="1" pivotButton="0" quotePrefix="0" xfId="58">
      <alignment horizontal="left" vertical="center" wrapText="1"/>
    </xf>
    <xf numFmtId="0" fontId="129" fillId="35" borderId="207" applyAlignment="1" pivotButton="0" quotePrefix="0" xfId="28">
      <alignment horizontal="center" vertical="center" wrapText="1"/>
    </xf>
    <xf numFmtId="0" fontId="31" fillId="33" borderId="207" applyAlignment="1" pivotButton="0" quotePrefix="0" xfId="28">
      <alignment horizontal="center" vertical="center" wrapText="1"/>
    </xf>
    <xf numFmtId="2" fontId="0" fillId="50" borderId="207" applyAlignment="1" pivotButton="0" quotePrefix="0" xfId="0">
      <alignment horizontal="center" vertical="center"/>
    </xf>
    <xf numFmtId="2" fontId="0" fillId="49" borderId="207" applyAlignment="1" pivotButton="0" quotePrefix="0" xfId="0">
      <alignment horizontal="center" vertical="center"/>
    </xf>
    <xf numFmtId="164" fontId="38" fillId="0" borderId="16" applyAlignment="1" pivotButton="0" quotePrefix="1" xfId="0">
      <alignment horizontal="left" vertical="center"/>
    </xf>
    <xf numFmtId="0" fontId="33" fillId="37" borderId="0" pivotButton="0" quotePrefix="0" xfId="0"/>
    <xf numFmtId="0" fontId="33" fillId="37" borderId="0" applyAlignment="1" pivotButton="0" quotePrefix="0" xfId="0">
      <alignment horizontal="center"/>
    </xf>
    <xf numFmtId="166" fontId="34" fillId="37" borderId="0" applyAlignment="1" pivotButton="0" quotePrefix="0" xfId="0">
      <alignment horizontal="center"/>
    </xf>
    <xf numFmtId="2" fontId="33" fillId="37" borderId="0" pivotButton="0" quotePrefix="0" xfId="4"/>
    <xf numFmtId="164" fontId="34" fillId="37" borderId="0" applyAlignment="1" pivotButton="0" quotePrefix="0" xfId="0">
      <alignment horizontal="center"/>
    </xf>
    <xf numFmtId="0" fontId="0" fillId="37" borderId="0" pivotButton="0" quotePrefix="0" xfId="0"/>
    <xf numFmtId="2" fontId="89" fillId="37" borderId="118" applyAlignment="1" pivotButton="0" quotePrefix="0" xfId="4">
      <alignment horizontal="left" vertical="center"/>
    </xf>
    <xf numFmtId="2" fontId="0" fillId="37" borderId="0" pivotButton="0" quotePrefix="0" xfId="4"/>
    <xf numFmtId="3" fontId="38" fillId="15" borderId="16" applyAlignment="1" pivotButton="0" quotePrefix="0" xfId="0">
      <alignment horizontal="left" vertical="center"/>
    </xf>
    <xf numFmtId="3" fontId="38" fillId="15" borderId="16" applyAlignment="1" pivotButton="0" quotePrefix="0" xfId="0">
      <alignment horizontal="center" vertical="center"/>
    </xf>
    <xf numFmtId="2" fontId="38" fillId="15" borderId="16" applyAlignment="1" pivotButton="0" quotePrefix="0" xfId="4">
      <alignment horizontal="left" vertical="center"/>
    </xf>
    <xf numFmtId="164" fontId="38" fillId="15" borderId="16" applyAlignment="1" pivotButton="0" quotePrefix="0" xfId="0">
      <alignment horizontal="left" vertical="center"/>
    </xf>
    <xf numFmtId="3" fontId="89" fillId="15" borderId="118" applyAlignment="1" pivotButton="0" quotePrefix="0" xfId="3">
      <alignment horizontal="left" vertical="center"/>
    </xf>
    <xf numFmtId="3" fontId="89" fillId="15" borderId="118" applyAlignment="1" pivotButton="0" quotePrefix="0" xfId="3">
      <alignment horizontal="center" vertical="center"/>
    </xf>
    <xf numFmtId="2" fontId="89" fillId="15" borderId="118" applyAlignment="1" pivotButton="0" quotePrefix="0" xfId="4">
      <alignment horizontal="left" vertical="center"/>
    </xf>
    <xf numFmtId="173" fontId="89" fillId="15" borderId="118" applyAlignment="1" pivotButton="0" quotePrefix="0" xfId="31">
      <alignment horizontal="left" vertical="center"/>
    </xf>
    <xf numFmtId="166" fontId="38" fillId="15" borderId="16" applyAlignment="1" pivotButton="0" quotePrefix="0" xfId="0">
      <alignment horizontal="left" vertical="center"/>
    </xf>
    <xf numFmtId="3" fontId="89" fillId="15" borderId="118" applyAlignment="1" pivotButton="0" quotePrefix="0" xfId="58">
      <alignment horizontal="left" vertical="center"/>
    </xf>
    <xf numFmtId="3" fontId="89" fillId="15" borderId="118" applyAlignment="1" pivotButton="0" quotePrefix="0" xfId="58">
      <alignment horizontal="left" vertical="center" wrapText="1"/>
    </xf>
    <xf numFmtId="3" fontId="89" fillId="15" borderId="118" applyAlignment="1" pivotButton="0" quotePrefix="0" xfId="58">
      <alignment horizontal="center" vertical="center"/>
    </xf>
    <xf numFmtId="173" fontId="168" fillId="15" borderId="118" applyAlignment="1" pivotButton="0" quotePrefix="0" xfId="31">
      <alignment horizontal="left" vertical="center"/>
    </xf>
    <xf numFmtId="164" fontId="89" fillId="15" borderId="16" applyAlignment="1" pivotButton="0" quotePrefix="0" xfId="0">
      <alignment horizontal="left" vertical="center"/>
    </xf>
    <xf numFmtId="3" fontId="38" fillId="57" borderId="16" applyAlignment="1" pivotButton="0" quotePrefix="0" xfId="0">
      <alignment horizontal="left" vertical="center"/>
    </xf>
    <xf numFmtId="164" fontId="38" fillId="57" borderId="16" applyAlignment="1" pivotButton="0" quotePrefix="0" xfId="0">
      <alignment horizontal="left" vertical="center"/>
    </xf>
    <xf numFmtId="3" fontId="38" fillId="15" borderId="16" applyAlignment="1" pivotButton="0" quotePrefix="0" xfId="0">
      <alignment horizontal="left" vertical="center" wrapText="1"/>
    </xf>
    <xf numFmtId="0" fontId="38" fillId="15" borderId="16" applyAlignment="1" pivotButton="0" quotePrefix="0" xfId="0">
      <alignment vertical="center"/>
    </xf>
    <xf numFmtId="4" fontId="38" fillId="15" borderId="16" applyAlignment="1" pivotButton="0" quotePrefix="0" xfId="0">
      <alignment vertical="center"/>
    </xf>
    <xf numFmtId="164" fontId="38" fillId="15" borderId="16" applyAlignment="1" pivotButton="0" quotePrefix="0" xfId="0">
      <alignment vertical="center"/>
    </xf>
    <xf numFmtId="0" fontId="89" fillId="15" borderId="118" applyAlignment="1" pivotButton="0" quotePrefix="0" xfId="3">
      <alignment vertical="center"/>
    </xf>
    <xf numFmtId="4" fontId="89" fillId="15" borderId="118" applyAlignment="1" pivotButton="0" quotePrefix="0" xfId="3">
      <alignment vertical="center"/>
    </xf>
    <xf numFmtId="173" fontId="89" fillId="15" borderId="118" applyAlignment="1" pivotButton="0" quotePrefix="0" xfId="31">
      <alignment vertical="center"/>
    </xf>
    <xf numFmtId="3" fontId="37" fillId="58" borderId="16" applyAlignment="1" pivotButton="0" quotePrefix="0" xfId="0">
      <alignment horizontal="left" vertical="center"/>
    </xf>
    <xf numFmtId="3" fontId="37" fillId="58" borderId="16" applyAlignment="1" pivotButton="0" quotePrefix="0" xfId="0">
      <alignment horizontal="center" vertical="center"/>
    </xf>
    <xf numFmtId="164" fontId="37" fillId="58" borderId="16" applyAlignment="1" pivotButton="0" quotePrefix="0" xfId="0">
      <alignment horizontal="left" vertical="center"/>
    </xf>
    <xf numFmtId="0" fontId="131" fillId="0" borderId="47" applyAlignment="1" pivotButton="0" quotePrefix="0" xfId="13">
      <alignment vertical="center"/>
    </xf>
    <xf numFmtId="0" fontId="124" fillId="0" borderId="71" applyAlignment="1" pivotButton="0" quotePrefix="0" xfId="13">
      <alignment vertical="center"/>
    </xf>
    <xf numFmtId="0" fontId="131" fillId="0" borderId="45" applyAlignment="1" pivotButton="0" quotePrefix="0" xfId="13">
      <alignment vertical="center"/>
    </xf>
    <xf numFmtId="0" fontId="131" fillId="0" borderId="353" applyAlignment="1" pivotButton="0" quotePrefix="0" xfId="13">
      <alignment vertical="center"/>
    </xf>
    <xf numFmtId="172" fontId="72" fillId="0" borderId="325" applyAlignment="1" pivotButton="0" quotePrefix="1" xfId="15">
      <alignment horizontal="left" vertical="center"/>
    </xf>
    <xf numFmtId="0" fontId="69" fillId="0" borderId="353" applyAlignment="1" pivotButton="0" quotePrefix="0" xfId="13">
      <alignment vertical="center"/>
    </xf>
    <xf numFmtId="17" fontId="69" fillId="0" borderId="354" applyAlignment="1" pivotButton="0" quotePrefix="0" xfId="13">
      <alignment horizontal="left" vertical="center"/>
    </xf>
    <xf numFmtId="17" fontId="69" fillId="0" borderId="355" applyAlignment="1" pivotButton="0" quotePrefix="0" xfId="13">
      <alignment horizontal="left" vertical="center"/>
    </xf>
    <xf numFmtId="0" fontId="170" fillId="59" borderId="356" applyAlignment="1" pivotButton="0" quotePrefix="0" xfId="100">
      <alignment horizontal="center" vertical="center"/>
    </xf>
    <xf numFmtId="0" fontId="9" fillId="0" borderId="72" applyAlignment="1" pivotButton="0" quotePrefix="0" xfId="100">
      <alignment vertical="center"/>
    </xf>
    <xf numFmtId="0" fontId="170" fillId="59" borderId="199" applyAlignment="1" pivotButton="0" quotePrefix="0" xfId="33">
      <alignment horizontal="center" vertical="center"/>
    </xf>
    <xf numFmtId="0" fontId="170" fillId="59" borderId="356" applyAlignment="1" pivotButton="0" quotePrefix="0" xfId="33">
      <alignment horizontal="center" vertical="center" wrapText="1"/>
    </xf>
    <xf numFmtId="0" fontId="170" fillId="59" borderId="356" applyAlignment="1" pivotButton="0" quotePrefix="0" xfId="33">
      <alignment horizontal="center" vertical="center"/>
    </xf>
    <xf numFmtId="0" fontId="170" fillId="59" borderId="166" applyAlignment="1" pivotButton="0" quotePrefix="0" xfId="33">
      <alignment horizontal="center" vertical="center"/>
    </xf>
    <xf numFmtId="0" fontId="9" fillId="60" borderId="258" applyAlignment="1" pivotButton="0" quotePrefix="0" xfId="100">
      <alignment vertical="center"/>
    </xf>
    <xf numFmtId="0" fontId="9" fillId="60" borderId="314" applyAlignment="1" pivotButton="0" quotePrefix="0" xfId="100">
      <alignment vertical="center"/>
    </xf>
    <xf numFmtId="0" fontId="9" fillId="60" borderId="328" applyAlignment="1" pivotButton="0" quotePrefix="0" xfId="100">
      <alignment vertical="center"/>
    </xf>
    <xf numFmtId="173" fontId="0" fillId="60" borderId="328" applyAlignment="1" pivotButton="0" quotePrefix="0" xfId="101">
      <alignment vertical="center"/>
    </xf>
    <xf numFmtId="173" fontId="64" fillId="60" borderId="328" applyAlignment="1" pivotButton="0" quotePrefix="0" xfId="101">
      <alignment vertical="center"/>
    </xf>
    <xf numFmtId="175" fontId="0" fillId="60" borderId="357" applyAlignment="1" pivotButton="0" quotePrefix="0" xfId="102">
      <alignment vertical="center"/>
    </xf>
    <xf numFmtId="173" fontId="0" fillId="60" borderId="313" applyAlignment="1" pivotButton="0" quotePrefix="0" xfId="101">
      <alignment vertical="center"/>
    </xf>
    <xf numFmtId="173" fontId="64" fillId="0" borderId="322" applyAlignment="1" pivotButton="0" quotePrefix="0" xfId="101">
      <alignment vertical="center"/>
    </xf>
    <xf numFmtId="173" fontId="64" fillId="41" borderId="358" applyAlignment="1" pivotButton="0" quotePrefix="0" xfId="101">
      <alignment vertical="center"/>
    </xf>
    <xf numFmtId="173" fontId="64" fillId="41" borderId="321" applyAlignment="1" pivotButton="0" quotePrefix="0" xfId="101">
      <alignment vertical="center"/>
    </xf>
    <xf numFmtId="0" fontId="9" fillId="0" borderId="258" applyAlignment="1" pivotButton="0" quotePrefix="0" xfId="100">
      <alignment vertical="center"/>
    </xf>
    <xf numFmtId="173" fontId="0" fillId="0" borderId="258" applyAlignment="1" pivotButton="0" quotePrefix="0" xfId="101">
      <alignment vertical="center"/>
    </xf>
    <xf numFmtId="173" fontId="0" fillId="0" borderId="269" applyAlignment="1" pivotButton="0" quotePrefix="0" xfId="101">
      <alignment vertical="center"/>
    </xf>
    <xf numFmtId="173" fontId="64" fillId="0" borderId="258" applyAlignment="1" pivotButton="0" quotePrefix="0" xfId="101">
      <alignment vertical="center"/>
    </xf>
    <xf numFmtId="175" fontId="0" fillId="0" borderId="258" applyAlignment="1" pivotButton="0" quotePrefix="0" xfId="102">
      <alignment vertical="center"/>
    </xf>
    <xf numFmtId="173" fontId="0" fillId="15" borderId="313" applyAlignment="1" pivotButton="0" quotePrefix="0" xfId="101">
      <alignment vertical="center"/>
    </xf>
    <xf numFmtId="173" fontId="64" fillId="0" borderId="320" applyAlignment="1" pivotButton="0" quotePrefix="0" xfId="101">
      <alignment vertical="center"/>
    </xf>
    <xf numFmtId="173" fontId="64" fillId="41" borderId="258" applyAlignment="1" pivotButton="0" quotePrefix="0" xfId="101">
      <alignment vertical="center"/>
    </xf>
    <xf numFmtId="173" fontId="64" fillId="41" borderId="313" applyAlignment="1" pivotButton="0" quotePrefix="0" xfId="101">
      <alignment vertical="center"/>
    </xf>
    <xf numFmtId="173" fontId="64" fillId="0" borderId="359" applyAlignment="1" pivotButton="0" quotePrefix="0" xfId="101">
      <alignment vertical="center"/>
    </xf>
    <xf numFmtId="173" fontId="64" fillId="41" borderId="360" applyAlignment="1" pivotButton="0" quotePrefix="0" xfId="101">
      <alignment vertical="center"/>
    </xf>
    <xf numFmtId="173" fontId="64" fillId="41" borderId="361" applyAlignment="1" pivotButton="0" quotePrefix="0" xfId="101">
      <alignment vertical="center"/>
    </xf>
    <xf numFmtId="0" fontId="31" fillId="0" borderId="72" pivotButton="0" quotePrefix="0" xfId="29"/>
    <xf numFmtId="0" fontId="31" fillId="0" borderId="72" applyAlignment="1" pivotButton="0" quotePrefix="0" xfId="29">
      <alignment wrapText="1"/>
    </xf>
    <xf numFmtId="0" fontId="31" fillId="0" borderId="72" applyAlignment="1" pivotButton="0" quotePrefix="0" xfId="29">
      <alignment vertical="center"/>
    </xf>
    <xf numFmtId="173" fontId="31" fillId="0" borderId="72" applyAlignment="1" pivotButton="0" quotePrefix="0" xfId="29">
      <alignment vertical="center"/>
    </xf>
    <xf numFmtId="0" fontId="9" fillId="60" borderId="362" applyAlignment="1" pivotButton="0" quotePrefix="0" xfId="100">
      <alignment vertical="center"/>
    </xf>
    <xf numFmtId="0" fontId="9" fillId="60" borderId="363" applyAlignment="1" pivotButton="0" quotePrefix="0" xfId="100">
      <alignment vertical="center"/>
    </xf>
    <xf numFmtId="0" fontId="9" fillId="60" borderId="364" applyAlignment="1" pivotButton="0" quotePrefix="0" xfId="100">
      <alignment vertical="center"/>
    </xf>
    <xf numFmtId="173" fontId="0" fillId="60" borderId="364" applyAlignment="1" pivotButton="0" quotePrefix="0" xfId="101">
      <alignment vertical="center"/>
    </xf>
    <xf numFmtId="173" fontId="64" fillId="60" borderId="364" applyAlignment="1" pivotButton="0" quotePrefix="0" xfId="101">
      <alignment vertical="center"/>
    </xf>
    <xf numFmtId="175" fontId="0" fillId="60" borderId="365" applyAlignment="1" pivotButton="0" quotePrefix="0" xfId="102">
      <alignment vertical="center"/>
    </xf>
    <xf numFmtId="173" fontId="0" fillId="60" borderId="366" applyAlignment="1" pivotButton="0" quotePrefix="0" xfId="101">
      <alignment vertical="center"/>
    </xf>
    <xf numFmtId="173" fontId="0" fillId="0" borderId="367" applyAlignment="1" pivotButton="0" quotePrefix="0" xfId="101">
      <alignment vertical="center"/>
    </xf>
    <xf numFmtId="0" fontId="9" fillId="59" borderId="72" applyAlignment="1" pivotButton="0" quotePrefix="0" xfId="100">
      <alignment vertical="center"/>
    </xf>
    <xf numFmtId="0" fontId="157" fillId="59" borderId="72" applyAlignment="1" pivotButton="0" quotePrefix="0" xfId="100">
      <alignment horizontal="right" vertical="center"/>
    </xf>
    <xf numFmtId="173" fontId="157" fillId="59" borderId="72" applyAlignment="1" pivotButton="0" quotePrefix="0" xfId="101">
      <alignment vertical="center"/>
    </xf>
    <xf numFmtId="175" fontId="9" fillId="0" borderId="72" applyAlignment="1" pivotButton="0" quotePrefix="0" xfId="10">
      <alignment vertical="center"/>
    </xf>
    <xf numFmtId="0" fontId="170" fillId="59" borderId="200" applyAlignment="1" pivotButton="0" quotePrefix="0" xfId="33">
      <alignment horizontal="center" vertical="center"/>
    </xf>
    <xf numFmtId="0" fontId="158" fillId="0" borderId="72" applyAlignment="1" pivotButton="0" quotePrefix="0" xfId="79">
      <alignment vertical="center"/>
    </xf>
    <xf numFmtId="0" fontId="158" fillId="0" borderId="72" applyAlignment="1" pivotButton="0" quotePrefix="0" xfId="79">
      <alignment horizontal="left" vertical="top"/>
    </xf>
    <xf numFmtId="0" fontId="173" fillId="61" borderId="72" applyAlignment="1" pivotButton="0" quotePrefix="0" xfId="79">
      <alignment vertical="top"/>
    </xf>
    <xf numFmtId="0" fontId="158" fillId="0" borderId="72" applyAlignment="1" pivotButton="0" quotePrefix="0" xfId="79">
      <alignment horizontal="left" vertical="center"/>
    </xf>
    <xf numFmtId="0" fontId="173" fillId="62" borderId="72" applyAlignment="1" pivotButton="0" quotePrefix="0" xfId="79">
      <alignment vertical="top"/>
    </xf>
    <xf numFmtId="0" fontId="173" fillId="63" borderId="72" applyAlignment="1" pivotButton="0" quotePrefix="0" xfId="79">
      <alignment vertical="top"/>
    </xf>
    <xf numFmtId="0" fontId="173" fillId="63" borderId="72" applyAlignment="1" pivotButton="0" quotePrefix="0" xfId="79">
      <alignment horizontal="center" vertical="top"/>
    </xf>
    <xf numFmtId="0" fontId="173" fillId="63" borderId="72" applyAlignment="1" pivotButton="0" quotePrefix="0" xfId="79">
      <alignment horizontal="right" vertical="top"/>
    </xf>
    <xf numFmtId="0" fontId="174" fillId="48" borderId="370" applyAlignment="1" pivotButton="0" quotePrefix="0" xfId="79">
      <alignment vertical="top"/>
    </xf>
    <xf numFmtId="0" fontId="174" fillId="48" borderId="371" applyAlignment="1" pivotButton="0" quotePrefix="0" xfId="79">
      <alignment vertical="top"/>
    </xf>
    <xf numFmtId="0" fontId="158" fillId="48" borderId="372" applyAlignment="1" pivotButton="0" quotePrefix="0" xfId="79">
      <alignment horizontal="left" vertical="center"/>
    </xf>
    <xf numFmtId="2" fontId="175" fillId="48" borderId="370" applyAlignment="1" pivotButton="0" quotePrefix="0" xfId="79">
      <alignment vertical="top" shrinkToFit="1"/>
    </xf>
    <xf numFmtId="185" fontId="175" fillId="48" borderId="372" applyAlignment="1" pivotButton="0" quotePrefix="0" xfId="79">
      <alignment horizontal="right" vertical="top" shrinkToFit="1"/>
    </xf>
    <xf numFmtId="0" fontId="174" fillId="48" borderId="373" applyAlignment="1" pivotButton="0" quotePrefix="0" xfId="79">
      <alignment vertical="top"/>
    </xf>
    <xf numFmtId="185" fontId="175" fillId="48" borderId="370" applyAlignment="1" pivotButton="0" quotePrefix="0" xfId="79">
      <alignment vertical="top" shrinkToFit="1"/>
    </xf>
    <xf numFmtId="0" fontId="174" fillId="48" borderId="372" applyAlignment="1" pivotButton="0" quotePrefix="0" xfId="79">
      <alignment horizontal="right" vertical="top"/>
    </xf>
    <xf numFmtId="186" fontId="174" fillId="48" borderId="370" applyAlignment="1" pivotButton="0" quotePrefix="0" xfId="79">
      <alignment vertical="top"/>
    </xf>
    <xf numFmtId="186" fontId="174" fillId="48" borderId="373" applyAlignment="1" pivotButton="0" quotePrefix="0" xfId="79">
      <alignment vertical="top"/>
    </xf>
    <xf numFmtId="0" fontId="158" fillId="48" borderId="370" applyAlignment="1" pivotButton="0" quotePrefix="0" xfId="79">
      <alignment vertical="center"/>
    </xf>
    <xf numFmtId="0" fontId="174" fillId="0" borderId="374" applyAlignment="1" pivotButton="0" quotePrefix="0" xfId="79">
      <alignment vertical="top"/>
    </xf>
    <xf numFmtId="0" fontId="174" fillId="0" borderId="375" applyAlignment="1" pivotButton="0" quotePrefix="0" xfId="79">
      <alignment vertical="top"/>
    </xf>
    <xf numFmtId="0" fontId="174" fillId="0" borderId="376" applyAlignment="1" pivotButton="0" quotePrefix="0" xfId="79">
      <alignment horizontal="center" vertical="top"/>
    </xf>
    <xf numFmtId="4" fontId="175" fillId="0" borderId="374" applyAlignment="1" pivotButton="0" quotePrefix="0" xfId="79">
      <alignment vertical="top" shrinkToFit="1"/>
    </xf>
    <xf numFmtId="185" fontId="175" fillId="0" borderId="376" applyAlignment="1" pivotButton="0" quotePrefix="0" xfId="79">
      <alignment horizontal="right" vertical="top" shrinkToFit="1"/>
    </xf>
    <xf numFmtId="0" fontId="174" fillId="0" borderId="377" applyAlignment="1" pivotButton="0" quotePrefix="0" xfId="79">
      <alignment vertical="top"/>
    </xf>
    <xf numFmtId="185" fontId="175" fillId="0" borderId="374" applyAlignment="1" pivotButton="0" quotePrefix="0" xfId="79">
      <alignment vertical="top" shrinkToFit="1"/>
    </xf>
    <xf numFmtId="0" fontId="174" fillId="0" borderId="376" applyAlignment="1" pivotButton="0" quotePrefix="0" xfId="79">
      <alignment horizontal="right" vertical="top"/>
    </xf>
    <xf numFmtId="186" fontId="174" fillId="0" borderId="374" applyAlignment="1" pivotButton="0" quotePrefix="0" xfId="79">
      <alignment vertical="top"/>
    </xf>
    <xf numFmtId="1" fontId="175" fillId="0" borderId="376" applyAlignment="1" pivotButton="0" quotePrefix="0" xfId="79">
      <alignment horizontal="center" vertical="top" shrinkToFit="1"/>
    </xf>
    <xf numFmtId="3" fontId="175" fillId="0" borderId="374" applyAlignment="1" pivotButton="0" quotePrefix="0" xfId="79">
      <alignment vertical="top" shrinkToFit="1"/>
    </xf>
    <xf numFmtId="2" fontId="175" fillId="0" borderId="374" applyAlignment="1" pivotButton="0" quotePrefix="0" xfId="79">
      <alignment vertical="top" shrinkToFit="1"/>
    </xf>
    <xf numFmtId="0" fontId="173" fillId="63" borderId="371" applyAlignment="1" pivotButton="0" quotePrefix="0" xfId="79">
      <alignment vertical="top"/>
    </xf>
    <xf numFmtId="0" fontId="173" fillId="63" borderId="371" applyAlignment="1" pivotButton="0" quotePrefix="0" xfId="79">
      <alignment horizontal="center" vertical="top"/>
    </xf>
    <xf numFmtId="0" fontId="173" fillId="63" borderId="371" applyAlignment="1" pivotButton="0" quotePrefix="0" xfId="79">
      <alignment horizontal="right" vertical="top"/>
    </xf>
    <xf numFmtId="0" fontId="158" fillId="0" borderId="374" applyAlignment="1" pivotButton="0" quotePrefix="0" xfId="79">
      <alignment vertical="center"/>
    </xf>
    <xf numFmtId="0" fontId="158" fillId="0" borderId="375" applyAlignment="1" pivotButton="0" quotePrefix="0" xfId="79">
      <alignment vertical="center"/>
    </xf>
    <xf numFmtId="0" fontId="158" fillId="0" borderId="377" applyAlignment="1" pivotButton="0" quotePrefix="0" xfId="79">
      <alignment vertical="center"/>
    </xf>
    <xf numFmtId="0" fontId="174" fillId="48" borderId="374" applyAlignment="1" pivotButton="0" quotePrefix="0" xfId="79">
      <alignment vertical="top"/>
    </xf>
    <xf numFmtId="0" fontId="158" fillId="0" borderId="72" applyAlignment="1" pivotButton="0" quotePrefix="0" xfId="79">
      <alignment horizontal="left"/>
    </xf>
    <xf numFmtId="0" fontId="173" fillId="62" borderId="72" applyAlignment="1" pivotButton="0" quotePrefix="0" xfId="79">
      <alignment horizontal="center" vertical="top"/>
    </xf>
    <xf numFmtId="0" fontId="174" fillId="0" borderId="72" applyAlignment="1" pivotButton="0" quotePrefix="0" xfId="79">
      <alignment vertical="top"/>
    </xf>
    <xf numFmtId="0" fontId="173" fillId="63" borderId="72" applyAlignment="1" pivotButton="0" quotePrefix="0" xfId="79">
      <alignment horizontal="left" vertical="top"/>
    </xf>
    <xf numFmtId="187" fontId="175" fillId="0" borderId="372" applyAlignment="1" pivotButton="0" quotePrefix="0" xfId="79">
      <alignment horizontal="left" vertical="center" shrinkToFit="1"/>
    </xf>
    <xf numFmtId="4" fontId="175" fillId="0" borderId="372" applyAlignment="1" pivotButton="0" quotePrefix="0" xfId="79">
      <alignment horizontal="right" vertical="center" shrinkToFit="1"/>
    </xf>
    <xf numFmtId="4" fontId="175" fillId="0" borderId="370" applyAlignment="1" pivotButton="0" quotePrefix="0" xfId="79">
      <alignment vertical="center" shrinkToFit="1"/>
    </xf>
    <xf numFmtId="4" fontId="175" fillId="0" borderId="373" applyAlignment="1" pivotButton="0" quotePrefix="0" xfId="79">
      <alignment vertical="center" shrinkToFit="1"/>
    </xf>
    <xf numFmtId="0" fontId="174" fillId="0" borderId="371" applyAlignment="1" pivotButton="0" quotePrefix="0" xfId="79">
      <alignment vertical="center"/>
    </xf>
    <xf numFmtId="187" fontId="175" fillId="0" borderId="370" applyAlignment="1" pivotButton="0" quotePrefix="0" xfId="79">
      <alignment vertical="center" shrinkToFit="1"/>
    </xf>
    <xf numFmtId="187" fontId="175" fillId="0" borderId="373" applyAlignment="1" pivotButton="0" quotePrefix="0" xfId="79">
      <alignment vertical="center" shrinkToFit="1"/>
    </xf>
    <xf numFmtId="4" fontId="175" fillId="0" borderId="371" applyAlignment="1" pivotButton="0" quotePrefix="0" xfId="79">
      <alignment vertical="center" shrinkToFit="1"/>
    </xf>
    <xf numFmtId="0" fontId="174" fillId="0" borderId="373" applyAlignment="1" pivotButton="0" quotePrefix="0" xfId="79">
      <alignment vertical="center"/>
    </xf>
    <xf numFmtId="187" fontId="175" fillId="0" borderId="371" applyAlignment="1" pivotButton="0" quotePrefix="0" xfId="79">
      <alignment vertical="center" shrinkToFit="1"/>
    </xf>
    <xf numFmtId="187" fontId="175" fillId="0" borderId="376" applyAlignment="1" pivotButton="0" quotePrefix="0" xfId="79">
      <alignment horizontal="left" vertical="top" shrinkToFit="1"/>
    </xf>
    <xf numFmtId="4" fontId="175" fillId="0" borderId="376" applyAlignment="1" pivotButton="0" quotePrefix="0" xfId="79">
      <alignment horizontal="right" vertical="top" shrinkToFit="1"/>
    </xf>
    <xf numFmtId="4" fontId="175" fillId="0" borderId="377" applyAlignment="1" pivotButton="0" quotePrefix="0" xfId="79">
      <alignment vertical="top" shrinkToFit="1"/>
    </xf>
    <xf numFmtId="187" fontId="175" fillId="0" borderId="374" applyAlignment="1" pivotButton="0" quotePrefix="0" xfId="79">
      <alignment vertical="top" shrinkToFit="1"/>
    </xf>
    <xf numFmtId="187" fontId="175" fillId="0" borderId="377" applyAlignment="1" pivotButton="0" quotePrefix="0" xfId="79">
      <alignment vertical="top" shrinkToFit="1"/>
    </xf>
    <xf numFmtId="4" fontId="175" fillId="0" borderId="375" applyAlignment="1" pivotButton="0" quotePrefix="0" xfId="79">
      <alignment vertical="top" shrinkToFit="1"/>
    </xf>
    <xf numFmtId="187" fontId="175" fillId="0" borderId="375" applyAlignment="1" pivotButton="0" quotePrefix="0" xfId="79">
      <alignment vertical="top" shrinkToFit="1"/>
    </xf>
    <xf numFmtId="0" fontId="173" fillId="63" borderId="371" applyAlignment="1" pivotButton="0" quotePrefix="0" xfId="79">
      <alignment horizontal="left" vertical="top"/>
    </xf>
    <xf numFmtId="4" fontId="175" fillId="0" borderId="376" applyAlignment="1" pivotButton="0" quotePrefix="0" xfId="79">
      <alignment horizontal="right" vertical="center" shrinkToFit="1"/>
    </xf>
    <xf numFmtId="4" fontId="175" fillId="0" borderId="374" applyAlignment="1" pivotButton="0" quotePrefix="0" xfId="79">
      <alignment vertical="center" shrinkToFit="1"/>
    </xf>
    <xf numFmtId="4" fontId="175" fillId="0" borderId="377" applyAlignment="1" pivotButton="0" quotePrefix="0" xfId="79">
      <alignment vertical="center" shrinkToFit="1"/>
    </xf>
    <xf numFmtId="0" fontId="174" fillId="0" borderId="375" applyAlignment="1" pivotButton="0" quotePrefix="0" xfId="79">
      <alignment vertical="center"/>
    </xf>
    <xf numFmtId="187" fontId="175" fillId="0" borderId="374" applyAlignment="1" pivotButton="0" quotePrefix="0" xfId="79">
      <alignment vertical="center" shrinkToFit="1"/>
    </xf>
    <xf numFmtId="187" fontId="175" fillId="0" borderId="377" applyAlignment="1" pivotButton="0" quotePrefix="0" xfId="79">
      <alignment vertical="center" shrinkToFit="1"/>
    </xf>
    <xf numFmtId="4" fontId="175" fillId="0" borderId="375" applyAlignment="1" pivotButton="0" quotePrefix="0" xfId="79">
      <alignment vertical="center" shrinkToFit="1"/>
    </xf>
    <xf numFmtId="0" fontId="174" fillId="0" borderId="377" applyAlignment="1" pivotButton="0" quotePrefix="0" xfId="79">
      <alignment vertical="center"/>
    </xf>
    <xf numFmtId="187" fontId="175" fillId="0" borderId="375" applyAlignment="1" pivotButton="0" quotePrefix="0" xfId="79">
      <alignment vertical="center" shrinkToFit="1"/>
    </xf>
    <xf numFmtId="187" fontId="175" fillId="0" borderId="376" applyAlignment="1" pivotButton="0" quotePrefix="0" xfId="79">
      <alignment horizontal="left" vertical="center" shrinkToFit="1"/>
    </xf>
    <xf numFmtId="0" fontId="158" fillId="0" borderId="378" applyAlignment="1" pivotButton="0" quotePrefix="0" xfId="79">
      <alignment vertical="center"/>
    </xf>
    <xf numFmtId="0" fontId="158" fillId="0" borderId="72" pivotButton="0" quotePrefix="0" xfId="79"/>
    <xf numFmtId="0" fontId="158" fillId="0" borderId="72" applyAlignment="1" pivotButton="0" quotePrefix="0" xfId="79">
      <alignment vertical="top"/>
    </xf>
    <xf numFmtId="0" fontId="158" fillId="0" borderId="373" applyAlignment="1" pivotButton="0" quotePrefix="0" xfId="79">
      <alignment vertical="center"/>
    </xf>
    <xf numFmtId="186" fontId="174" fillId="0" borderId="373" applyAlignment="1" pivotButton="0" quotePrefix="0" xfId="79">
      <alignment vertical="top"/>
    </xf>
    <xf numFmtId="0" fontId="158" fillId="48" borderId="376" applyAlignment="1" pivotButton="0" quotePrefix="0" xfId="79">
      <alignment horizontal="left" vertical="center"/>
    </xf>
    <xf numFmtId="186" fontId="174" fillId="48" borderId="374" applyAlignment="1" pivotButton="0" quotePrefix="0" xfId="79">
      <alignment vertical="top"/>
    </xf>
    <xf numFmtId="0" fontId="158" fillId="48" borderId="374" applyAlignment="1" pivotButton="0" quotePrefix="0" xfId="79">
      <alignment vertical="center"/>
    </xf>
    <xf numFmtId="186" fontId="174" fillId="0" borderId="377" applyAlignment="1" pivotButton="0" quotePrefix="0" xfId="79">
      <alignment vertical="top"/>
    </xf>
    <xf numFmtId="186" fontId="174" fillId="48" borderId="377" applyAlignment="1" pivotButton="0" quotePrefix="0" xfId="79">
      <alignment vertical="top"/>
    </xf>
    <xf numFmtId="188" fontId="175" fillId="0" borderId="72" applyAlignment="1" pivotButton="0" quotePrefix="0" xfId="79">
      <alignment vertical="top" shrinkToFit="1"/>
    </xf>
    <xf numFmtId="189" fontId="175" fillId="0" borderId="372" applyAlignment="1" pivotButton="0" quotePrefix="0" xfId="79">
      <alignment horizontal="left" vertical="center" shrinkToFit="1"/>
    </xf>
    <xf numFmtId="189" fontId="175" fillId="0" borderId="371" applyAlignment="1" pivotButton="0" quotePrefix="0" xfId="79">
      <alignment vertical="center" shrinkToFit="1"/>
    </xf>
    <xf numFmtId="0" fontId="174" fillId="0" borderId="370" applyAlignment="1" pivotButton="0" quotePrefix="0" xfId="79">
      <alignment vertical="center"/>
    </xf>
    <xf numFmtId="189" fontId="175" fillId="0" borderId="373" applyAlignment="1" pivotButton="0" quotePrefix="0" xfId="79">
      <alignment vertical="center" shrinkToFit="1"/>
    </xf>
    <xf numFmtId="0" fontId="174" fillId="0" borderId="372" applyAlignment="1" pivotButton="0" quotePrefix="0" xfId="79">
      <alignment horizontal="left" vertical="top"/>
    </xf>
    <xf numFmtId="189" fontId="175" fillId="0" borderId="376" applyAlignment="1" pivotButton="0" quotePrefix="0" xfId="79">
      <alignment horizontal="left" vertical="top" shrinkToFit="1"/>
    </xf>
    <xf numFmtId="189" fontId="175" fillId="0" borderId="375" applyAlignment="1" pivotButton="0" quotePrefix="0" xfId="79">
      <alignment vertical="top" shrinkToFit="1"/>
    </xf>
    <xf numFmtId="189" fontId="175" fillId="0" borderId="377" applyAlignment="1" pivotButton="0" quotePrefix="0" xfId="79">
      <alignment vertical="top" shrinkToFit="1"/>
    </xf>
    <xf numFmtId="0" fontId="174" fillId="0" borderId="376" applyAlignment="1" pivotButton="0" quotePrefix="0" xfId="79">
      <alignment horizontal="left" vertical="top"/>
    </xf>
    <xf numFmtId="189" fontId="175" fillId="0" borderId="376" applyAlignment="1" pivotButton="0" quotePrefix="0" xfId="79">
      <alignment horizontal="left" vertical="center" shrinkToFit="1"/>
    </xf>
    <xf numFmtId="189" fontId="175" fillId="0" borderId="375" applyAlignment="1" pivotButton="0" quotePrefix="0" xfId="79">
      <alignment vertical="center" shrinkToFit="1"/>
    </xf>
    <xf numFmtId="0" fontId="174" fillId="0" borderId="374" applyAlignment="1" pivotButton="0" quotePrefix="0" xfId="79">
      <alignment vertical="center"/>
    </xf>
    <xf numFmtId="189" fontId="175" fillId="0" borderId="377" applyAlignment="1" pivotButton="0" quotePrefix="0" xfId="79">
      <alignment vertical="center" shrinkToFit="1"/>
    </xf>
    <xf numFmtId="189" fontId="175" fillId="0" borderId="370" applyAlignment="1" pivotButton="0" quotePrefix="0" xfId="79">
      <alignment vertical="top" shrinkToFit="1"/>
    </xf>
    <xf numFmtId="0" fontId="174" fillId="0" borderId="371" applyAlignment="1" pivotButton="0" quotePrefix="0" xfId="79">
      <alignment vertical="top"/>
    </xf>
    <xf numFmtId="0" fontId="174" fillId="0" borderId="373" applyAlignment="1" pivotButton="0" quotePrefix="0" xfId="79">
      <alignment vertical="top"/>
    </xf>
    <xf numFmtId="189" fontId="175" fillId="0" borderId="371" applyAlignment="1" pivotButton="0" quotePrefix="0" xfId="79">
      <alignment vertical="top" shrinkToFit="1"/>
    </xf>
    <xf numFmtId="189" fontId="175" fillId="0" borderId="373" applyAlignment="1" pivotButton="0" quotePrefix="0" xfId="79">
      <alignment vertical="top" shrinkToFit="1"/>
    </xf>
    <xf numFmtId="0" fontId="173" fillId="61" borderId="378" applyAlignment="1" pivotButton="0" quotePrefix="0" xfId="79">
      <alignment vertical="top"/>
    </xf>
    <xf numFmtId="0" fontId="158" fillId="62" borderId="72" applyAlignment="1" pivotButton="0" quotePrefix="0" xfId="79">
      <alignment vertical="top"/>
    </xf>
    <xf numFmtId="0" fontId="158" fillId="62" borderId="371" applyAlignment="1" pivotButton="0" quotePrefix="0" xfId="79">
      <alignment vertical="top"/>
    </xf>
    <xf numFmtId="0" fontId="173" fillId="61" borderId="375" applyAlignment="1" pivotButton="0" quotePrefix="0" xfId="79">
      <alignment vertical="top"/>
    </xf>
    <xf numFmtId="0" fontId="173" fillId="61" borderId="371" applyAlignment="1" pivotButton="0" quotePrefix="0" xfId="79">
      <alignment vertical="top"/>
    </xf>
    <xf numFmtId="0" fontId="173" fillId="62" borderId="371" applyAlignment="1" pivotButton="0" quotePrefix="0" xfId="79">
      <alignment vertical="top"/>
    </xf>
    <xf numFmtId="0" fontId="158" fillId="62" borderId="375" applyAlignment="1" pivotButton="0" quotePrefix="0" xfId="79">
      <alignment vertical="center"/>
    </xf>
    <xf numFmtId="0" fontId="173" fillId="62" borderId="375" applyAlignment="1" pivotButton="0" quotePrefix="0" xfId="79">
      <alignment vertical="top"/>
    </xf>
    <xf numFmtId="189" fontId="175" fillId="0" borderId="374" applyAlignment="1" pivotButton="0" quotePrefix="0" xfId="79">
      <alignment vertical="top" shrinkToFit="1"/>
    </xf>
    <xf numFmtId="1" fontId="175" fillId="0" borderId="374" applyAlignment="1" pivotButton="0" quotePrefix="0" xfId="79">
      <alignment vertical="top" shrinkToFit="1"/>
    </xf>
    <xf numFmtId="1" fontId="175" fillId="0" borderId="375" applyAlignment="1" pivotButton="0" quotePrefix="0" xfId="79">
      <alignment vertical="top" shrinkToFit="1"/>
    </xf>
    <xf numFmtId="0" fontId="173" fillId="62" borderId="378" applyAlignment="1" pivotButton="0" quotePrefix="0" xfId="79">
      <alignment vertical="top"/>
    </xf>
    <xf numFmtId="0" fontId="158" fillId="62" borderId="371" applyAlignment="1" pivotButton="0" quotePrefix="0" xfId="79">
      <alignment vertical="center"/>
    </xf>
    <xf numFmtId="173" fontId="64" fillId="0" borderId="358" applyAlignment="1" pivotButton="0" quotePrefix="0" xfId="101">
      <alignment vertical="center"/>
    </xf>
    <xf numFmtId="173" fontId="64" fillId="0" borderId="360" applyAlignment="1" pivotButton="0" quotePrefix="0" xfId="101">
      <alignment vertical="center"/>
    </xf>
    <xf numFmtId="164" fontId="33" fillId="64" borderId="329" applyAlignment="1" pivotButton="0" quotePrefix="0" xfId="80">
      <alignment horizontal="left" vertical="center"/>
    </xf>
    <xf numFmtId="0" fontId="33" fillId="64" borderId="44" applyAlignment="1" pivotButton="0" quotePrefix="0" xfId="80">
      <alignment horizontal="center" vertical="center"/>
    </xf>
    <xf numFmtId="164" fontId="33" fillId="64" borderId="44" applyAlignment="1" pivotButton="0" quotePrefix="0" xfId="80">
      <alignment horizontal="center" vertical="center"/>
    </xf>
    <xf numFmtId="173" fontId="0" fillId="0" borderId="315" applyAlignment="1" pivotButton="0" quotePrefix="0" xfId="101">
      <alignment vertical="center"/>
    </xf>
    <xf numFmtId="0" fontId="131" fillId="0" borderId="354" applyAlignment="1" pivotButton="0" quotePrefix="0" xfId="13">
      <alignment vertical="center"/>
    </xf>
    <xf numFmtId="0" fontId="131" fillId="0" borderId="76" applyAlignment="1" pivotButton="0" quotePrefix="0" xfId="13">
      <alignment vertical="center"/>
    </xf>
    <xf numFmtId="0" fontId="131" fillId="0" borderId="72" applyAlignment="1" pivotButton="0" quotePrefix="0" xfId="13">
      <alignment vertical="center"/>
    </xf>
    <xf numFmtId="172" fontId="72" fillId="0" borderId="354" applyAlignment="1" pivotButton="0" quotePrefix="1" xfId="15">
      <alignment vertical="center" wrapText="1"/>
    </xf>
    <xf numFmtId="0" fontId="69" fillId="0" borderId="76" applyAlignment="1" pivotButton="0" quotePrefix="0" xfId="13">
      <alignment vertical="center"/>
    </xf>
    <xf numFmtId="17" fontId="69" fillId="0" borderId="325" applyAlignment="1" pivotButton="0" quotePrefix="0" xfId="13">
      <alignment horizontal="left" vertical="center"/>
    </xf>
    <xf numFmtId="17" fontId="69" fillId="0" borderId="72" applyAlignment="1" pivotButton="0" quotePrefix="0" xfId="13">
      <alignment horizontal="left" vertical="center"/>
    </xf>
    <xf numFmtId="0" fontId="138" fillId="16" borderId="72" applyAlignment="1" pivotButton="0" quotePrefix="0" xfId="14">
      <alignment vertical="center"/>
    </xf>
    <xf numFmtId="0" fontId="138" fillId="16" borderId="120" applyAlignment="1" pivotButton="0" quotePrefix="0" xfId="14">
      <alignment vertical="center"/>
    </xf>
    <xf numFmtId="0" fontId="138" fillId="0" borderId="72" applyAlignment="1" pivotButton="0" quotePrefix="0" xfId="14">
      <alignment vertical="center"/>
    </xf>
    <xf numFmtId="0" fontId="170" fillId="59" borderId="356" applyAlignment="1" pivotButton="0" quotePrefix="0" xfId="107">
      <alignment horizontal="center" vertical="center"/>
    </xf>
    <xf numFmtId="0" fontId="170" fillId="59" borderId="369" applyAlignment="1" pivotButton="0" quotePrefix="0" xfId="107">
      <alignment horizontal="center" vertical="center"/>
    </xf>
    <xf numFmtId="0" fontId="170" fillId="59" borderId="199" applyAlignment="1" pivotButton="0" quotePrefix="0" xfId="107">
      <alignment horizontal="center" vertical="center"/>
    </xf>
    <xf numFmtId="0" fontId="170" fillId="59" borderId="166" applyAlignment="1" pivotButton="0" quotePrefix="0" xfId="107">
      <alignment horizontal="center" vertical="center"/>
    </xf>
    <xf numFmtId="0" fontId="9" fillId="0" borderId="88" applyAlignment="1" pivotButton="0" quotePrefix="0" xfId="107">
      <alignment vertical="center"/>
    </xf>
    <xf numFmtId="0" fontId="9" fillId="0" borderId="72" applyAlignment="1" pivotButton="0" quotePrefix="0" xfId="107">
      <alignment vertical="center"/>
    </xf>
    <xf numFmtId="0" fontId="9" fillId="0" borderId="258" applyAlignment="1" pivotButton="0" quotePrefix="0" xfId="107">
      <alignment vertical="center"/>
    </xf>
    <xf numFmtId="0" fontId="9" fillId="0" borderId="314" applyAlignment="1" pivotButton="0" quotePrefix="0" xfId="107">
      <alignment vertical="center"/>
    </xf>
    <xf numFmtId="0" fontId="9" fillId="0" borderId="379" applyAlignment="1" pivotButton="0" quotePrefix="0" xfId="107">
      <alignment vertical="center"/>
    </xf>
    <xf numFmtId="0" fontId="9" fillId="0" borderId="328" applyAlignment="1" pivotButton="0" quotePrefix="0" xfId="107">
      <alignment vertical="center"/>
    </xf>
    <xf numFmtId="173" fontId="0" fillId="0" borderId="328" applyAlignment="1" pivotButton="0" quotePrefix="0" xfId="108">
      <alignment vertical="center"/>
    </xf>
    <xf numFmtId="173" fontId="64" fillId="0" borderId="328" applyAlignment="1" pivotButton="0" quotePrefix="0" xfId="108">
      <alignment vertical="center"/>
    </xf>
    <xf numFmtId="175" fontId="0" fillId="0" borderId="357" applyAlignment="1" pivotButton="0" quotePrefix="0" xfId="109">
      <alignment vertical="center"/>
    </xf>
    <xf numFmtId="175" fontId="0" fillId="0" borderId="313" applyAlignment="1" pivotButton="0" quotePrefix="0" xfId="84">
      <alignment vertical="center"/>
    </xf>
    <xf numFmtId="173" fontId="64" fillId="0" borderId="322" applyAlignment="1" pivotButton="0" quotePrefix="0" xfId="108">
      <alignment vertical="center"/>
    </xf>
    <xf numFmtId="173" fontId="64" fillId="0" borderId="320" applyAlignment="1" pivotButton="0" quotePrefix="0" xfId="108">
      <alignment vertical="center"/>
    </xf>
    <xf numFmtId="175" fontId="64" fillId="0" borderId="313" applyAlignment="1" pivotButton="0" quotePrefix="0" xfId="84">
      <alignment vertical="center"/>
    </xf>
    <xf numFmtId="175" fontId="64" fillId="0" borderId="321" applyAlignment="1" pivotButton="0" quotePrefix="0" xfId="84">
      <alignment vertical="center"/>
    </xf>
    <xf numFmtId="0" fontId="137" fillId="0" borderId="258" applyAlignment="1" pivotButton="0" quotePrefix="0" xfId="107">
      <alignment vertical="center"/>
    </xf>
    <xf numFmtId="173" fontId="0" fillId="0" borderId="258" applyAlignment="1" pivotButton="0" quotePrefix="0" xfId="108">
      <alignment vertical="center"/>
    </xf>
    <xf numFmtId="175" fontId="0" fillId="0" borderId="258" applyAlignment="1" pivotButton="0" quotePrefix="0" xfId="109">
      <alignment vertical="center"/>
    </xf>
    <xf numFmtId="0" fontId="137" fillId="0" borderId="380" applyAlignment="1" pivotButton="0" quotePrefix="0" xfId="107">
      <alignment vertical="center"/>
    </xf>
    <xf numFmtId="0" fontId="73" fillId="0" borderId="381" applyAlignment="1" pivotButton="0" quotePrefix="0" xfId="16">
      <alignment vertical="center"/>
    </xf>
    <xf numFmtId="173" fontId="0" fillId="0" borderId="380" applyAlignment="1" pivotButton="0" quotePrefix="0" xfId="108">
      <alignment vertical="center"/>
    </xf>
    <xf numFmtId="175" fontId="0" fillId="0" borderId="380" applyAlignment="1" pivotButton="0" quotePrefix="0" xfId="109">
      <alignment vertical="center"/>
    </xf>
    <xf numFmtId="175" fontId="0" fillId="0" borderId="382" applyAlignment="1" pivotButton="0" quotePrefix="0" xfId="84">
      <alignment vertical="center"/>
    </xf>
    <xf numFmtId="0" fontId="137" fillId="0" borderId="269" applyAlignment="1" pivotButton="0" quotePrefix="0" xfId="107">
      <alignment vertical="center"/>
    </xf>
    <xf numFmtId="0" fontId="73" fillId="0" borderId="383" applyAlignment="1" pivotButton="0" quotePrefix="0" xfId="16">
      <alignment vertical="center"/>
    </xf>
    <xf numFmtId="173" fontId="0" fillId="0" borderId="269" applyAlignment="1" pivotButton="0" quotePrefix="0" xfId="108">
      <alignment vertical="center"/>
    </xf>
    <xf numFmtId="175" fontId="0" fillId="0" borderId="269" applyAlignment="1" pivotButton="0" quotePrefix="0" xfId="109">
      <alignment vertical="center"/>
    </xf>
    <xf numFmtId="175" fontId="0" fillId="0" borderId="384" applyAlignment="1" pivotButton="0" quotePrefix="0" xfId="84">
      <alignment vertical="center"/>
    </xf>
    <xf numFmtId="175" fontId="9" fillId="0" borderId="72" applyAlignment="1" pivotButton="0" quotePrefix="0" xfId="107">
      <alignment vertical="center"/>
    </xf>
    <xf numFmtId="0" fontId="157" fillId="0" borderId="72" applyAlignment="1" pivotButton="0" quotePrefix="0" xfId="107">
      <alignment horizontal="right" vertical="center"/>
    </xf>
    <xf numFmtId="0" fontId="157" fillId="0" borderId="72" applyAlignment="1" pivotButton="0" quotePrefix="0" xfId="107">
      <alignment horizontal="center" vertical="center"/>
    </xf>
    <xf numFmtId="175" fontId="157" fillId="0" borderId="72" applyAlignment="1" pivotButton="0" quotePrefix="0" xfId="84">
      <alignment vertical="center"/>
    </xf>
    <xf numFmtId="0" fontId="169" fillId="0" borderId="72" applyAlignment="1" pivotButton="0" quotePrefix="0" xfId="107">
      <alignment vertical="center"/>
    </xf>
    <xf numFmtId="175" fontId="173" fillId="61" borderId="72" applyAlignment="1" pivotButton="0" quotePrefix="0" xfId="4">
      <alignment vertical="top"/>
    </xf>
    <xf numFmtId="173" fontId="69" fillId="0" borderId="106" pivotButton="0" quotePrefix="0" xfId="89"/>
    <xf numFmtId="173" fontId="69" fillId="0" borderId="205" pivotButton="0" quotePrefix="0" xfId="89"/>
    <xf numFmtId="173" fontId="69" fillId="0" borderId="202" pivotButton="0" quotePrefix="0" xfId="89"/>
    <xf numFmtId="0" fontId="170" fillId="59" borderId="356" applyAlignment="1" pivotButton="0" quotePrefix="0" xfId="112">
      <alignment horizontal="center" vertical="center"/>
    </xf>
    <xf numFmtId="0" fontId="8" fillId="0" borderId="72" applyAlignment="1" pivotButton="0" quotePrefix="0" xfId="112">
      <alignment vertical="center"/>
    </xf>
    <xf numFmtId="0" fontId="8" fillId="60" borderId="258" applyAlignment="1" pivotButton="0" quotePrefix="0" xfId="112">
      <alignment vertical="center"/>
    </xf>
    <xf numFmtId="0" fontId="8" fillId="60" borderId="314" applyAlignment="1" pivotButton="0" quotePrefix="0" xfId="112">
      <alignment vertical="center"/>
    </xf>
    <xf numFmtId="0" fontId="8" fillId="60" borderId="328" applyAlignment="1" pivotButton="0" quotePrefix="0" xfId="112">
      <alignment vertical="center"/>
    </xf>
    <xf numFmtId="173" fontId="0" fillId="60" borderId="328" applyAlignment="1" pivotButton="0" quotePrefix="0" xfId="113">
      <alignment vertical="center"/>
    </xf>
    <xf numFmtId="173" fontId="64" fillId="60" borderId="328" applyAlignment="1" pivotButton="0" quotePrefix="0" xfId="113">
      <alignment vertical="center"/>
    </xf>
    <xf numFmtId="175" fontId="0" fillId="60" borderId="357" applyAlignment="1" pivotButton="0" quotePrefix="0" xfId="114">
      <alignment vertical="center"/>
    </xf>
    <xf numFmtId="173" fontId="0" fillId="60" borderId="313" applyAlignment="1" pivotButton="0" quotePrefix="0" xfId="113">
      <alignment vertical="center"/>
    </xf>
    <xf numFmtId="173" fontId="64" fillId="0" borderId="322" applyAlignment="1" pivotButton="0" quotePrefix="0" xfId="113">
      <alignment vertical="center"/>
    </xf>
    <xf numFmtId="173" fontId="64" fillId="0" borderId="358" applyAlignment="1" pivotButton="0" quotePrefix="0" xfId="113">
      <alignment vertical="center" wrapText="1"/>
    </xf>
    <xf numFmtId="173" fontId="64" fillId="0" borderId="258" applyAlignment="1" pivotButton="0" quotePrefix="0" xfId="113">
      <alignment vertical="center" wrapText="1"/>
    </xf>
    <xf numFmtId="173" fontId="64" fillId="0" borderId="360" applyAlignment="1" pivotButton="0" quotePrefix="0" xfId="113">
      <alignment vertical="center" wrapText="1"/>
    </xf>
    <xf numFmtId="173" fontId="64" fillId="41" borderId="358" applyAlignment="1" pivotButton="0" quotePrefix="0" xfId="113">
      <alignment vertical="center"/>
    </xf>
    <xf numFmtId="173" fontId="64" fillId="41" borderId="321" applyAlignment="1" pivotButton="0" quotePrefix="0" xfId="113">
      <alignment vertical="center"/>
    </xf>
    <xf numFmtId="0" fontId="8" fillId="0" borderId="258" applyAlignment="1" pivotButton="0" quotePrefix="0" xfId="112">
      <alignment vertical="center"/>
    </xf>
    <xf numFmtId="173" fontId="0" fillId="0" borderId="258" applyAlignment="1" pivotButton="0" quotePrefix="0" xfId="113">
      <alignment vertical="center"/>
    </xf>
    <xf numFmtId="173" fontId="0" fillId="0" borderId="269" applyAlignment="1" pivotButton="0" quotePrefix="0" xfId="113">
      <alignment vertical="center"/>
    </xf>
    <xf numFmtId="173" fontId="64" fillId="0" borderId="258" applyAlignment="1" pivotButton="0" quotePrefix="0" xfId="113">
      <alignment vertical="center"/>
    </xf>
    <xf numFmtId="175" fontId="0" fillId="0" borderId="258" applyAlignment="1" pivotButton="0" quotePrefix="0" xfId="114">
      <alignment vertical="center"/>
    </xf>
    <xf numFmtId="173" fontId="0" fillId="15" borderId="313" applyAlignment="1" pivotButton="0" quotePrefix="0" xfId="113">
      <alignment vertical="center"/>
    </xf>
    <xf numFmtId="173" fontId="64" fillId="0" borderId="320" applyAlignment="1" pivotButton="0" quotePrefix="0" xfId="113">
      <alignment vertical="center"/>
    </xf>
    <xf numFmtId="173" fontId="64" fillId="41" borderId="258" applyAlignment="1" pivotButton="0" quotePrefix="0" xfId="113">
      <alignment vertical="center"/>
    </xf>
    <xf numFmtId="173" fontId="64" fillId="41" borderId="313" applyAlignment="1" pivotButton="0" quotePrefix="0" xfId="113">
      <alignment vertical="center"/>
    </xf>
    <xf numFmtId="173" fontId="64" fillId="0" borderId="359" applyAlignment="1" pivotButton="0" quotePrefix="0" xfId="113">
      <alignment vertical="center"/>
    </xf>
    <xf numFmtId="173" fontId="64" fillId="41" borderId="360" applyAlignment="1" pivotButton="0" quotePrefix="0" xfId="113">
      <alignment vertical="center"/>
    </xf>
    <xf numFmtId="173" fontId="64" fillId="41" borderId="361" applyAlignment="1" pivotButton="0" quotePrefix="0" xfId="113">
      <alignment vertical="center"/>
    </xf>
    <xf numFmtId="0" fontId="8" fillId="60" borderId="362" applyAlignment="1" pivotButton="0" quotePrefix="0" xfId="112">
      <alignment vertical="center"/>
    </xf>
    <xf numFmtId="0" fontId="8" fillId="60" borderId="363" applyAlignment="1" pivotButton="0" quotePrefix="0" xfId="112">
      <alignment vertical="center"/>
    </xf>
    <xf numFmtId="0" fontId="8" fillId="60" borderId="364" applyAlignment="1" pivotButton="0" quotePrefix="0" xfId="112">
      <alignment vertical="center"/>
    </xf>
    <xf numFmtId="173" fontId="0" fillId="60" borderId="364" applyAlignment="1" pivotButton="0" quotePrefix="0" xfId="113">
      <alignment vertical="center"/>
    </xf>
    <xf numFmtId="173" fontId="64" fillId="60" borderId="364" applyAlignment="1" pivotButton="0" quotePrefix="0" xfId="113">
      <alignment vertical="center"/>
    </xf>
    <xf numFmtId="175" fontId="0" fillId="60" borderId="365" applyAlignment="1" pivotButton="0" quotePrefix="0" xfId="114">
      <alignment vertical="center"/>
    </xf>
    <xf numFmtId="0" fontId="8" fillId="59" borderId="72" applyAlignment="1" pivotButton="0" quotePrefix="0" xfId="112">
      <alignment vertical="center"/>
    </xf>
    <xf numFmtId="0" fontId="157" fillId="59" borderId="72" applyAlignment="1" pivotButton="0" quotePrefix="0" xfId="112">
      <alignment horizontal="right" vertical="center"/>
    </xf>
    <xf numFmtId="173" fontId="157" fillId="59" borderId="72" applyAlignment="1" pivotButton="0" quotePrefix="0" xfId="113">
      <alignment vertical="center"/>
    </xf>
    <xf numFmtId="175" fontId="8" fillId="0" borderId="72" applyAlignment="1" pivotButton="0" quotePrefix="0" xfId="10">
      <alignment vertical="center"/>
    </xf>
    <xf numFmtId="43" fontId="135" fillId="5" borderId="275" applyAlignment="1" pivotButton="0" quotePrefix="0" xfId="15">
      <alignment horizontal="center" vertical="center"/>
    </xf>
    <xf numFmtId="43" fontId="135" fillId="5" borderId="259" applyAlignment="1" pivotButton="0" quotePrefix="0" xfId="15">
      <alignment horizontal="center" vertical="center"/>
    </xf>
    <xf numFmtId="43" fontId="135" fillId="5" borderId="208" applyAlignment="1" pivotButton="0" quotePrefix="0" xfId="15">
      <alignment horizontal="center" vertical="center"/>
    </xf>
    <xf numFmtId="10" fontId="124" fillId="31" borderId="72" applyAlignment="1" pivotButton="0" quotePrefix="0" xfId="110">
      <alignment horizontal="center" vertical="center" wrapText="1"/>
    </xf>
    <xf numFmtId="10" fontId="124" fillId="31" borderId="88" applyAlignment="1" pivotButton="0" quotePrefix="0" xfId="110">
      <alignment horizontal="center" vertical="center" wrapText="1"/>
    </xf>
    <xf numFmtId="173" fontId="69" fillId="51" borderId="231" pivotButton="0" quotePrefix="0" xfId="89"/>
    <xf numFmtId="9" fontId="7" fillId="0" borderId="72" pivotButton="0" quotePrefix="0" xfId="110"/>
    <xf numFmtId="173" fontId="11" fillId="0" borderId="72" pivotButton="0" quotePrefix="0" xfId="88"/>
    <xf numFmtId="0" fontId="11" fillId="0" borderId="202" applyAlignment="1" pivotButton="0" quotePrefix="0" xfId="88">
      <alignment horizontal="center" vertical="center" wrapText="1"/>
    </xf>
    <xf numFmtId="0" fontId="11" fillId="0" borderId="202" applyAlignment="1" pivotButton="0" quotePrefix="0" xfId="88">
      <alignment horizontal="center" vertical="center"/>
    </xf>
    <xf numFmtId="190" fontId="119" fillId="4" borderId="150" applyAlignment="1" pivotButton="0" quotePrefix="0" xfId="29">
      <alignment vertical="center" wrapText="1"/>
    </xf>
    <xf numFmtId="190" fontId="69" fillId="0" borderId="72" pivotButton="0" quotePrefix="0" xfId="29"/>
    <xf numFmtId="0" fontId="53" fillId="3" borderId="103" applyAlignment="1" pivotButton="0" quotePrefix="0" xfId="67">
      <alignment vertical="center"/>
    </xf>
    <xf numFmtId="0" fontId="53" fillId="3" borderId="104" applyAlignment="1" pivotButton="0" quotePrefix="0" xfId="67">
      <alignment vertical="center"/>
    </xf>
    <xf numFmtId="0" fontId="53" fillId="3" borderId="105" applyAlignment="1" pivotButton="0" quotePrefix="0" xfId="67">
      <alignment vertical="center"/>
    </xf>
    <xf numFmtId="0" fontId="156" fillId="0" borderId="106" applyAlignment="1" pivotButton="0" quotePrefix="0" xfId="29">
      <alignment horizontal="center" vertical="center" wrapText="1"/>
    </xf>
    <xf numFmtId="191" fontId="156" fillId="0" borderId="153" applyAlignment="1" pivotButton="0" quotePrefix="0" xfId="29">
      <alignment horizontal="center"/>
    </xf>
    <xf numFmtId="0" fontId="156" fillId="0" borderId="161" applyAlignment="1" pivotButton="0" quotePrefix="0" xfId="29">
      <alignment horizontal="center" vertical="center" wrapText="1"/>
    </xf>
    <xf numFmtId="191" fontId="156" fillId="0" borderId="162" applyAlignment="1" pivotButton="0" quotePrefix="0" xfId="29">
      <alignment horizontal="center"/>
    </xf>
    <xf numFmtId="192" fontId="38" fillId="15" borderId="16" applyAlignment="1" pivotButton="0" quotePrefix="0" xfId="4">
      <alignment horizontal="left" vertical="center"/>
    </xf>
    <xf numFmtId="0" fontId="156" fillId="0" borderId="152" applyAlignment="1" pivotButton="0" quotePrefix="0" xfId="29">
      <alignment horizontal="center" vertical="center" wrapText="1"/>
    </xf>
    <xf numFmtId="0" fontId="156" fillId="0" borderId="160" applyAlignment="1" pivotButton="0" quotePrefix="0" xfId="29">
      <alignment horizontal="center" vertical="center" wrapText="1"/>
    </xf>
    <xf numFmtId="0" fontId="69" fillId="0" borderId="72" applyAlignment="1" pivotButton="0" quotePrefix="0" xfId="29">
      <alignment horizontal="center"/>
    </xf>
    <xf numFmtId="0" fontId="156" fillId="0" borderId="72" applyAlignment="1" pivotButton="0" quotePrefix="0" xfId="29">
      <alignment horizontal="center" vertical="center" wrapText="1"/>
    </xf>
    <xf numFmtId="191" fontId="156" fillId="0" borderId="72" applyAlignment="1" pivotButton="0" quotePrefix="0" xfId="29">
      <alignment horizontal="center"/>
    </xf>
    <xf numFmtId="175" fontId="31" fillId="0" borderId="72" applyAlignment="1" pivotButton="0" quotePrefix="0" xfId="4">
      <alignment vertical="center"/>
    </xf>
    <xf numFmtId="175" fontId="64" fillId="41" borderId="351" applyAlignment="1" pivotButton="0" quotePrefix="0" xfId="4">
      <alignment vertical="center"/>
    </xf>
    <xf numFmtId="175" fontId="64" fillId="41" borderId="386" applyAlignment="1" pivotButton="0" quotePrefix="0" xfId="4">
      <alignment vertical="center"/>
    </xf>
    <xf numFmtId="175" fontId="64" fillId="41" borderId="387" applyAlignment="1" pivotButton="0" quotePrefix="0" xfId="4">
      <alignment vertical="center"/>
    </xf>
    <xf numFmtId="10" fontId="31" fillId="0" borderId="72" applyAlignment="1" pivotButton="0" quotePrefix="0" xfId="110">
      <alignment vertical="center"/>
    </xf>
    <xf numFmtId="175" fontId="31" fillId="0" borderId="72" applyAlignment="1" pivotButton="0" quotePrefix="0" xfId="29">
      <alignment vertical="center"/>
    </xf>
    <xf numFmtId="0" fontId="138" fillId="16" borderId="72" applyAlignment="1" pivotButton="0" quotePrefix="0" xfId="14">
      <alignment horizontal="center" vertical="center"/>
    </xf>
    <xf numFmtId="175" fontId="8" fillId="0" borderId="72" applyAlignment="1" pivotButton="0" quotePrefix="0" xfId="112">
      <alignment vertical="center"/>
    </xf>
    <xf numFmtId="0" fontId="8" fillId="0" borderId="74" applyAlignment="1" pivotButton="0" quotePrefix="0" xfId="112">
      <alignment horizontal="center" vertical="center"/>
    </xf>
    <xf numFmtId="175" fontId="8" fillId="0" borderId="74" applyAlignment="1" pivotButton="0" quotePrefix="0" xfId="112">
      <alignment horizontal="center" vertical="center"/>
    </xf>
    <xf numFmtId="0" fontId="8" fillId="0" borderId="80" applyAlignment="1" pivotButton="0" quotePrefix="0" xfId="112">
      <alignment horizontal="center" vertical="center"/>
    </xf>
    <xf numFmtId="0" fontId="8" fillId="0" borderId="73" applyAlignment="1" pivotButton="0" quotePrefix="0" xfId="112">
      <alignment horizontal="center" vertical="center"/>
    </xf>
    <xf numFmtId="175" fontId="8" fillId="0" borderId="73" applyAlignment="1" pivotButton="0" quotePrefix="0" xfId="112">
      <alignment horizontal="center" vertical="center"/>
    </xf>
    <xf numFmtId="175" fontId="8" fillId="0" borderId="81" applyAlignment="1" pivotButton="0" quotePrefix="0" xfId="112">
      <alignment horizontal="center" vertical="center"/>
    </xf>
    <xf numFmtId="0" fontId="8" fillId="0" borderId="82" applyAlignment="1" pivotButton="0" quotePrefix="0" xfId="112">
      <alignment horizontal="center" vertical="center"/>
    </xf>
    <xf numFmtId="175" fontId="8" fillId="0" borderId="83" applyAlignment="1" pivotButton="0" quotePrefix="0" xfId="112">
      <alignment horizontal="center" vertical="center"/>
    </xf>
    <xf numFmtId="0" fontId="8" fillId="0" borderId="90" applyAlignment="1" pivotButton="0" quotePrefix="0" xfId="112">
      <alignment horizontal="center" vertical="center"/>
    </xf>
    <xf numFmtId="0" fontId="8" fillId="0" borderId="91" applyAlignment="1" pivotButton="0" quotePrefix="0" xfId="112">
      <alignment horizontal="center" vertical="center"/>
    </xf>
    <xf numFmtId="175" fontId="8" fillId="0" borderId="91" applyAlignment="1" pivotButton="0" quotePrefix="0" xfId="112">
      <alignment horizontal="center" vertical="center"/>
    </xf>
    <xf numFmtId="175" fontId="8" fillId="0" borderId="92" applyAlignment="1" pivotButton="0" quotePrefix="0" xfId="112">
      <alignment horizontal="center" vertical="center"/>
    </xf>
    <xf numFmtId="0" fontId="7" fillId="0" borderId="105" applyAlignment="1" pivotButton="0" quotePrefix="0" xfId="112">
      <alignment horizontal="center" vertical="center"/>
    </xf>
    <xf numFmtId="0" fontId="7" fillId="0" borderId="385" applyAlignment="1" pivotButton="0" quotePrefix="0" xfId="112">
      <alignment horizontal="center" vertical="center"/>
    </xf>
    <xf numFmtId="173" fontId="64" fillId="0" borderId="93" applyAlignment="1" pivotButton="0" quotePrefix="0" xfId="113">
      <alignment horizontal="center" vertical="center" wrapText="1"/>
    </xf>
    <xf numFmtId="173" fontId="64" fillId="0" borderId="259" applyAlignment="1" pivotButton="0" quotePrefix="0" xfId="113">
      <alignment horizontal="center" vertical="center" wrapText="1"/>
    </xf>
    <xf numFmtId="175" fontId="8" fillId="0" borderId="103" applyAlignment="1" pivotButton="0" quotePrefix="0" xfId="4">
      <alignment vertical="center"/>
    </xf>
    <xf numFmtId="175" fontId="8" fillId="0" borderId="104" applyAlignment="1" pivotButton="0" quotePrefix="0" xfId="4">
      <alignment vertical="center"/>
    </xf>
    <xf numFmtId="175" fontId="8" fillId="0" borderId="105" applyAlignment="1" pivotButton="0" quotePrefix="0" xfId="4">
      <alignment vertical="center"/>
    </xf>
    <xf numFmtId="173" fontId="135" fillId="41" borderId="289" applyAlignment="1" pivotButton="0" quotePrefix="0" xfId="75">
      <alignment horizontal="center"/>
    </xf>
    <xf numFmtId="173" fontId="145" fillId="0" borderId="56" applyAlignment="1" pivotButton="0" quotePrefix="0" xfId="75">
      <alignment horizontal="center" vertical="center"/>
    </xf>
    <xf numFmtId="0" fontId="177" fillId="0" borderId="72" pivotButton="0" quotePrefix="0" xfId="115"/>
    <xf numFmtId="0" fontId="177" fillId="0" borderId="88" pivotButton="0" quotePrefix="0" xfId="115"/>
    <xf numFmtId="0" fontId="176" fillId="0" borderId="72" pivotButton="0" quotePrefix="0" xfId="115"/>
    <xf numFmtId="0" fontId="93" fillId="0" borderId="72" pivotButton="0" quotePrefix="0" xfId="115"/>
    <xf numFmtId="0" fontId="93" fillId="0" borderId="88" pivotButton="0" quotePrefix="0" xfId="115"/>
    <xf numFmtId="169" fontId="66" fillId="0" borderId="72" applyAlignment="1" pivotButton="0" quotePrefix="0" xfId="5">
      <alignment horizontal="left" vertical="center"/>
    </xf>
    <xf numFmtId="170" fontId="66" fillId="0" borderId="72" applyAlignment="1" pivotButton="0" quotePrefix="0" xfId="5">
      <alignment horizontal="left" vertical="center"/>
    </xf>
    <xf numFmtId="170" fontId="66" fillId="0" borderId="88" applyAlignment="1" pivotButton="0" quotePrefix="0" xfId="5">
      <alignment horizontal="left" vertical="center"/>
    </xf>
    <xf numFmtId="49" fontId="180" fillId="0" borderId="89" applyAlignment="1" pivotButton="0" quotePrefix="0" xfId="115">
      <alignment horizontal="center" vertical="center"/>
    </xf>
    <xf numFmtId="49" fontId="180" fillId="0" borderId="391" applyAlignment="1" pivotButton="0" quotePrefix="0" xfId="115">
      <alignment horizontal="center" vertical="center" wrapText="1"/>
    </xf>
    <xf numFmtId="0" fontId="180" fillId="0" borderId="88" applyAlignment="1" pivotButton="0" quotePrefix="0" xfId="115">
      <alignment horizontal="center" vertical="center" wrapText="1"/>
    </xf>
    <xf numFmtId="49" fontId="170" fillId="0" borderId="392" applyAlignment="1" pivotButton="0" quotePrefix="0" xfId="115">
      <alignment horizontal="left" vertical="center"/>
    </xf>
    <xf numFmtId="0" fontId="181" fillId="0" borderId="393" applyAlignment="1" pivotButton="0" quotePrefix="1" xfId="5">
      <alignment horizontal="left" vertical="center"/>
    </xf>
    <xf numFmtId="0" fontId="182" fillId="0" borderId="394" applyAlignment="1" pivotButton="0" quotePrefix="0" xfId="115">
      <alignment horizontal="left" vertical="center" wrapText="1"/>
    </xf>
    <xf numFmtId="49" fontId="184" fillId="0" borderId="392" applyAlignment="1" pivotButton="0" quotePrefix="0" xfId="115">
      <alignment horizontal="left" vertical="center"/>
    </xf>
    <xf numFmtId="0" fontId="184" fillId="0" borderId="394" applyAlignment="1" pivotButton="0" quotePrefix="0" xfId="115">
      <alignment horizontal="left" vertical="center" wrapText="1"/>
    </xf>
    <xf numFmtId="49" fontId="185" fillId="0" borderId="392" applyAlignment="1" pivotButton="0" quotePrefix="0" xfId="115">
      <alignment horizontal="left" vertical="center"/>
    </xf>
    <xf numFmtId="0" fontId="185" fillId="0" borderId="394" applyAlignment="1" pivotButton="0" quotePrefix="0" xfId="115">
      <alignment horizontal="left" vertical="center" wrapText="1"/>
    </xf>
    <xf numFmtId="0" fontId="183" fillId="0" borderId="394" applyAlignment="1" pivotButton="0" quotePrefix="0" xfId="115">
      <alignment vertical="center"/>
    </xf>
    <xf numFmtId="0" fontId="58" fillId="0" borderId="394" applyAlignment="1" pivotButton="0" quotePrefix="0" xfId="115">
      <alignment vertical="center"/>
    </xf>
    <xf numFmtId="0" fontId="170" fillId="0" borderId="394" applyAlignment="1" pivotButton="0" quotePrefix="0" xfId="115">
      <alignment horizontal="left" vertical="center" wrapText="1"/>
    </xf>
    <xf numFmtId="0" fontId="100" fillId="0" borderId="394" applyAlignment="1" pivotButton="0" quotePrefix="0" xfId="115">
      <alignment vertical="center"/>
    </xf>
    <xf numFmtId="0" fontId="186" fillId="0" borderId="394" applyAlignment="1" pivotButton="0" quotePrefix="0" xfId="115">
      <alignment vertical="center"/>
    </xf>
    <xf numFmtId="49" fontId="183" fillId="0" borderId="395" applyAlignment="1" pivotButton="0" quotePrefix="1" xfId="115">
      <alignment vertical="center"/>
    </xf>
    <xf numFmtId="0" fontId="181" fillId="0" borderId="396" applyAlignment="1" pivotButton="0" quotePrefix="1" xfId="5">
      <alignment horizontal="left" vertical="center"/>
    </xf>
    <xf numFmtId="0" fontId="185" fillId="0" borderId="397" applyAlignment="1" pivotButton="0" quotePrefix="0" xfId="115">
      <alignment horizontal="left" vertical="center" wrapText="1"/>
    </xf>
    <xf numFmtId="0" fontId="187" fillId="0" borderId="72" applyAlignment="1" pivotButton="0" quotePrefix="0" xfId="5">
      <alignment vertical="center"/>
    </xf>
    <xf numFmtId="0" fontId="187" fillId="0" borderId="72" applyAlignment="1" pivotButton="0" quotePrefix="0" xfId="5">
      <alignment horizontal="left" vertical="center"/>
    </xf>
    <xf numFmtId="0" fontId="181" fillId="0" borderId="72" applyAlignment="1" pivotButton="0" quotePrefix="0" xfId="5">
      <alignment vertical="center"/>
    </xf>
    <xf numFmtId="0" fontId="31" fillId="0" borderId="72" pivotButton="0" quotePrefix="0" xfId="5"/>
    <xf numFmtId="0" fontId="162" fillId="0" borderId="72" pivotButton="0" quotePrefix="0" xfId="116"/>
    <xf numFmtId="0" fontId="162" fillId="0" borderId="258" pivotButton="0" quotePrefix="0" xfId="116"/>
    <xf numFmtId="0" fontId="162" fillId="0" borderId="258" applyAlignment="1" pivotButton="0" quotePrefix="0" xfId="116">
      <alignment horizontal="left"/>
    </xf>
    <xf numFmtId="0" fontId="162" fillId="0" borderId="269" pivotButton="0" quotePrefix="0" xfId="116"/>
    <xf numFmtId="17" fontId="162" fillId="0" borderId="269" applyAlignment="1" pivotButton="0" quotePrefix="0" xfId="116">
      <alignment horizontal="left"/>
    </xf>
    <xf numFmtId="0" fontId="162" fillId="15" borderId="270" pivotButton="0" quotePrefix="0" xfId="116"/>
    <xf numFmtId="0" fontId="162" fillId="0" borderId="268" pivotButton="0" quotePrefix="0" xfId="116"/>
    <xf numFmtId="0" fontId="162" fillId="0" borderId="268" applyAlignment="1" pivotButton="0" quotePrefix="0" xfId="116">
      <alignment horizontal="left"/>
    </xf>
    <xf numFmtId="0" fontId="162" fillId="0" borderId="269" applyAlignment="1" pivotButton="0" quotePrefix="0" xfId="116">
      <alignment horizontal="left"/>
    </xf>
    <xf numFmtId="0" fontId="141" fillId="14" borderId="257" applyAlignment="1" applyProtection="1" pivotButton="0" quotePrefix="0" xfId="116">
      <alignment horizontal="center" vertical="center"/>
      <protection locked="1" hidden="1"/>
    </xf>
    <xf numFmtId="0" fontId="79" fillId="43" borderId="256" applyAlignment="1" applyProtection="1" pivotButton="0" quotePrefix="0" xfId="116">
      <alignment horizontal="center" vertical="center"/>
      <protection locked="1" hidden="1"/>
    </xf>
    <xf numFmtId="0" fontId="59" fillId="4" borderId="158" applyAlignment="1" pivotButton="0" quotePrefix="0" xfId="117">
      <alignment horizontal="center" vertical="center" wrapText="1"/>
    </xf>
    <xf numFmtId="0" fontId="59" fillId="4" borderId="267" applyAlignment="1" pivotButton="0" quotePrefix="0" xfId="117">
      <alignment horizontal="center" vertical="center" wrapText="1"/>
    </xf>
    <xf numFmtId="164" fontId="58" fillId="4" borderId="267" applyAlignment="1" pivotButton="0" quotePrefix="0" xfId="117">
      <alignment horizontal="left" vertical="center" wrapText="1"/>
    </xf>
    <xf numFmtId="0" fontId="58" fillId="4" borderId="267" applyAlignment="1" pivotButton="0" quotePrefix="0" xfId="117">
      <alignment horizontal="center" vertical="center" wrapText="1"/>
    </xf>
    <xf numFmtId="0" fontId="58" fillId="4" borderId="266" applyAlignment="1" pivotButton="0" quotePrefix="0" xfId="118">
      <alignment horizontal="left" vertical="center" wrapText="1"/>
    </xf>
    <xf numFmtId="0" fontId="100" fillId="12" borderId="265" applyAlignment="1" pivotButton="0" quotePrefix="0" xfId="117">
      <alignment vertical="center" wrapText="1"/>
    </xf>
    <xf numFmtId="0" fontId="79" fillId="42" borderId="256" applyAlignment="1" applyProtection="1" pivotButton="0" quotePrefix="0" xfId="116">
      <alignment horizontal="center" vertical="center"/>
      <protection locked="1" hidden="1"/>
    </xf>
    <xf numFmtId="0" fontId="59" fillId="4" borderId="264" applyAlignment="1" pivotButton="0" quotePrefix="0" xfId="117">
      <alignment horizontal="center" vertical="center" wrapText="1"/>
    </xf>
    <xf numFmtId="0" fontId="59" fillId="4" borderId="59" applyAlignment="1" pivotButton="0" quotePrefix="0" xfId="117">
      <alignment horizontal="center" vertical="center" wrapText="1"/>
    </xf>
    <xf numFmtId="164" fontId="58" fillId="4" borderId="59" applyAlignment="1" pivotButton="0" quotePrefix="0" xfId="117">
      <alignment horizontal="left" vertical="center" wrapText="1"/>
    </xf>
    <xf numFmtId="0" fontId="58" fillId="4" borderId="59" applyAlignment="1" pivotButton="0" quotePrefix="0" xfId="117">
      <alignment horizontal="center" vertical="center" wrapText="1"/>
    </xf>
    <xf numFmtId="0" fontId="58" fillId="4" borderId="58" applyAlignment="1" pivotButton="0" quotePrefix="0" xfId="118">
      <alignment horizontal="left" vertical="center" wrapText="1"/>
    </xf>
    <xf numFmtId="0" fontId="100" fillId="12" borderId="263" applyAlignment="1" pivotButton="0" quotePrefix="0" xfId="117">
      <alignment vertical="center" wrapText="1"/>
    </xf>
    <xf numFmtId="0" fontId="63" fillId="0" borderId="256" applyAlignment="1" pivotButton="0" quotePrefix="0" xfId="116">
      <alignment horizontal="center" vertical="center"/>
    </xf>
    <xf numFmtId="0" fontId="59" fillId="4" borderId="262" applyAlignment="1" pivotButton="0" quotePrefix="0" xfId="117">
      <alignment horizontal="center" vertical="center" wrapText="1"/>
    </xf>
    <xf numFmtId="0" fontId="59" fillId="4" borderId="69" applyAlignment="1" pivotButton="0" quotePrefix="0" xfId="117">
      <alignment horizontal="center" vertical="center" wrapText="1"/>
    </xf>
    <xf numFmtId="164" fontId="58" fillId="4" borderId="69" applyAlignment="1" pivotButton="0" quotePrefix="0" xfId="117">
      <alignment horizontal="left" vertical="center" wrapText="1"/>
    </xf>
    <xf numFmtId="0" fontId="58" fillId="4" borderId="69" applyAlignment="1" pivotButton="0" quotePrefix="0" xfId="117">
      <alignment horizontal="center" vertical="center" wrapText="1"/>
    </xf>
    <xf numFmtId="168" fontId="58" fillId="4" borderId="57" applyAlignment="1" pivotButton="0" quotePrefix="0" xfId="118">
      <alignment horizontal="left" vertical="center" wrapText="1"/>
    </xf>
    <xf numFmtId="0" fontId="100" fillId="12" borderId="261" applyAlignment="1" pivotButton="0" quotePrefix="0" xfId="117">
      <alignment vertical="center" wrapText="1"/>
    </xf>
    <xf numFmtId="0" fontId="140" fillId="41" borderId="255" applyAlignment="1" applyProtection="1" pivotButton="0" quotePrefix="0" xfId="116">
      <alignment horizontal="center" vertical="center"/>
      <protection locked="1" hidden="1"/>
    </xf>
    <xf numFmtId="0" fontId="181" fillId="0" borderId="393" applyAlignment="1" pivotButton="0" quotePrefix="0" xfId="118">
      <alignment horizontal="left" vertical="center"/>
    </xf>
    <xf numFmtId="170" fontId="66" fillId="0" borderId="72" applyAlignment="1" pivotButton="0" quotePrefix="0" xfId="118">
      <alignment horizontal="left" vertical="center"/>
    </xf>
    <xf numFmtId="169" fontId="66" fillId="0" borderId="72" applyAlignment="1" pivotButton="0" quotePrefix="0" xfId="118">
      <alignment horizontal="left" vertical="center"/>
    </xf>
    <xf numFmtId="49" fontId="185" fillId="0" borderId="392" applyAlignment="1" pivotButton="0" quotePrefix="1" xfId="115">
      <alignment horizontal="left" vertical="center"/>
    </xf>
    <xf numFmtId="0" fontId="5" fillId="0" borderId="72" pivotButton="0" quotePrefix="0" xfId="126"/>
    <xf numFmtId="173" fontId="5" fillId="15" borderId="313" applyAlignment="1" pivotButton="0" quotePrefix="0" xfId="126">
      <alignment vertical="center"/>
    </xf>
    <xf numFmtId="175" fontId="5" fillId="0" borderId="258" applyAlignment="1" pivotButton="0" quotePrefix="0" xfId="126">
      <alignment vertical="center"/>
    </xf>
    <xf numFmtId="173" fontId="5" fillId="0" borderId="258" applyAlignment="1" pivotButton="0" quotePrefix="0" xfId="126">
      <alignment vertical="center"/>
    </xf>
    <xf numFmtId="173" fontId="64" fillId="0" borderId="258" applyAlignment="1" pivotButton="0" quotePrefix="0" xfId="126">
      <alignment vertical="center"/>
    </xf>
    <xf numFmtId="173" fontId="5" fillId="0" borderId="269" applyAlignment="1" pivotButton="0" quotePrefix="0" xfId="126">
      <alignment vertical="center"/>
    </xf>
    <xf numFmtId="0" fontId="5" fillId="0" borderId="258" applyAlignment="1" pivotButton="0" quotePrefix="0" xfId="126">
      <alignment vertical="center"/>
    </xf>
    <xf numFmtId="0" fontId="5" fillId="0" borderId="119" pivotButton="0" quotePrefix="0" xfId="126"/>
    <xf numFmtId="0" fontId="5" fillId="0" borderId="354" pivotButton="0" quotePrefix="0" xfId="126"/>
    <xf numFmtId="3" fontId="189" fillId="65" borderId="399" pivotButton="0" quotePrefix="0" xfId="126"/>
    <xf numFmtId="3" fontId="189" fillId="66" borderId="399" pivotButton="0" quotePrefix="0" xfId="126"/>
    <xf numFmtId="3" fontId="189" fillId="67" borderId="399" pivotButton="0" quotePrefix="0" xfId="126"/>
    <xf numFmtId="0" fontId="189" fillId="0" borderId="72" pivotButton="0" quotePrefix="0" xfId="126"/>
    <xf numFmtId="3" fontId="190" fillId="65" borderId="399" pivotButton="0" quotePrefix="0" xfId="126"/>
    <xf numFmtId="3" fontId="190" fillId="66" borderId="399" pivotButton="0" quotePrefix="0" xfId="126"/>
    <xf numFmtId="3" fontId="190" fillId="67" borderId="399" pivotButton="0" quotePrefix="0" xfId="126"/>
    <xf numFmtId="0" fontId="190" fillId="0" borderId="399" pivotButton="0" quotePrefix="0" xfId="126"/>
    <xf numFmtId="3" fontId="190" fillId="65" borderId="399" applyAlignment="1" pivotButton="0" quotePrefix="0" xfId="126">
      <alignment horizontal="center" vertical="center" wrapText="1"/>
    </xf>
    <xf numFmtId="3" fontId="191" fillId="66" borderId="399" applyAlignment="1" pivotButton="0" quotePrefix="0" xfId="126">
      <alignment horizontal="center" vertical="center" wrapText="1"/>
    </xf>
    <xf numFmtId="3" fontId="192" fillId="67" borderId="399" applyAlignment="1" pivotButton="0" quotePrefix="0" xfId="126">
      <alignment horizontal="center" vertical="center" wrapText="1"/>
    </xf>
    <xf numFmtId="0" fontId="5" fillId="12" borderId="399" applyAlignment="1" pivotButton="0" quotePrefix="0" xfId="126">
      <alignment horizontal="center" vertical="center" wrapText="1"/>
    </xf>
    <xf numFmtId="3" fontId="193" fillId="12" borderId="399" applyAlignment="1" pivotButton="0" quotePrefix="0" xfId="126">
      <alignment horizontal="center" vertical="center" wrapText="1"/>
    </xf>
    <xf numFmtId="0" fontId="193" fillId="12" borderId="399" applyAlignment="1" pivotButton="0" quotePrefix="0" xfId="126">
      <alignment horizontal="center" vertical="center" wrapText="1"/>
    </xf>
    <xf numFmtId="0" fontId="194" fillId="12" borderId="399" applyAlignment="1" pivotButton="0" quotePrefix="0" xfId="126">
      <alignment horizontal="left" vertical="center" wrapText="1"/>
    </xf>
    <xf numFmtId="3" fontId="193" fillId="10" borderId="399" applyAlignment="1" pivotButton="0" quotePrefix="0" xfId="126">
      <alignment horizontal="center" vertical="center" wrapText="1"/>
    </xf>
    <xf numFmtId="0" fontId="193" fillId="10" borderId="399" applyAlignment="1" pivotButton="0" quotePrefix="0" xfId="126">
      <alignment horizontal="center" vertical="center" wrapText="1"/>
    </xf>
    <xf numFmtId="0" fontId="194" fillId="10" borderId="399" applyAlignment="1" pivotButton="0" quotePrefix="0" xfId="126">
      <alignment horizontal="left" vertical="center" wrapText="1"/>
    </xf>
    <xf numFmtId="3" fontId="196" fillId="10" borderId="399" applyAlignment="1" pivotButton="0" quotePrefix="0" xfId="126">
      <alignment horizontal="center" vertical="center" wrapText="1"/>
    </xf>
    <xf numFmtId="3" fontId="196" fillId="12" borderId="399" applyAlignment="1" pivotButton="0" quotePrefix="0" xfId="126">
      <alignment horizontal="center" vertical="center" wrapText="1"/>
    </xf>
    <xf numFmtId="0" fontId="5" fillId="10" borderId="399" pivotButton="0" quotePrefix="0" xfId="126"/>
    <xf numFmtId="0" fontId="197" fillId="10" borderId="399" applyAlignment="1" pivotButton="0" quotePrefix="0" xfId="126">
      <alignment horizontal="center" vertical="center" wrapText="1"/>
    </xf>
    <xf numFmtId="0" fontId="197" fillId="10" borderId="399" pivotButton="0" quotePrefix="0" xfId="126"/>
    <xf numFmtId="0" fontId="195" fillId="72" borderId="399" applyAlignment="1" pivotButton="0" quotePrefix="0" xfId="126">
      <alignment horizontal="center" vertical="center" wrapText="1"/>
    </xf>
    <xf numFmtId="0" fontId="5" fillId="72" borderId="72" pivotButton="0" quotePrefix="0" xfId="126"/>
    <xf numFmtId="0" fontId="5" fillId="72" borderId="399" pivotButton="0" quotePrefix="0" xfId="126"/>
    <xf numFmtId="0" fontId="5" fillId="0" borderId="399" pivotButton="0" quotePrefix="0" xfId="126"/>
    <xf numFmtId="0" fontId="190" fillId="12" borderId="72" pivotButton="0" quotePrefix="0" xfId="126"/>
    <xf numFmtId="0" fontId="200" fillId="0" borderId="72" pivotButton="0" quotePrefix="0" xfId="126"/>
    <xf numFmtId="4" fontId="201" fillId="0" borderId="72" pivotButton="0" quotePrefix="0" xfId="126"/>
    <xf numFmtId="0" fontId="201" fillId="0" borderId="72" pivotButton="0" quotePrefix="0" xfId="126"/>
    <xf numFmtId="193" fontId="30" fillId="0" borderId="310" pivotButton="0" quotePrefix="0" xfId="126"/>
    <xf numFmtId="4" fontId="30" fillId="0" borderId="5" applyAlignment="1" pivotButton="0" quotePrefix="0" xfId="126">
      <alignment horizontal="center"/>
    </xf>
    <xf numFmtId="173" fontId="30" fillId="0" borderId="5" applyAlignment="1" pivotButton="0" quotePrefix="0" xfId="126">
      <alignment horizontal="center"/>
    </xf>
    <xf numFmtId="0" fontId="33" fillId="0" borderId="309" applyAlignment="1" pivotButton="0" quotePrefix="0" xfId="126">
      <alignment horizontal="left"/>
    </xf>
    <xf numFmtId="193" fontId="30" fillId="15" borderId="312" pivotButton="0" quotePrefix="0" xfId="126"/>
    <xf numFmtId="4" fontId="30" fillId="15" borderId="123" pivotButton="0" quotePrefix="0" xfId="126"/>
    <xf numFmtId="173" fontId="30" fillId="15" borderId="123" applyAlignment="1" pivotButton="0" quotePrefix="0" xfId="126">
      <alignment horizontal="center"/>
    </xf>
    <xf numFmtId="0" fontId="33" fillId="15" borderId="123" pivotButton="0" quotePrefix="0" xfId="126"/>
    <xf numFmtId="0" fontId="201" fillId="15" borderId="311" applyAlignment="1" pivotButton="0" quotePrefix="0" xfId="126">
      <alignment horizontal="left"/>
    </xf>
    <xf numFmtId="173" fontId="35" fillId="9" borderId="169" applyAlignment="1" pivotButton="0" quotePrefix="0" xfId="126">
      <alignment horizontal="center" vertical="center" wrapText="1"/>
    </xf>
    <xf numFmtId="193" fontId="35" fillId="9" borderId="308" applyAlignment="1" pivotButton="0" quotePrefix="0" xfId="126">
      <alignment horizontal="center" vertical="center"/>
    </xf>
    <xf numFmtId="173" fontId="35" fillId="9" borderId="308" applyAlignment="1" pivotButton="0" quotePrefix="0" xfId="126">
      <alignment horizontal="center" vertical="center"/>
    </xf>
    <xf numFmtId="0" fontId="35" fillId="9" borderId="308" applyAlignment="1" pivotButton="0" quotePrefix="0" xfId="126">
      <alignment horizontal="center" vertical="center" wrapText="1"/>
    </xf>
    <xf numFmtId="0" fontId="35" fillId="9" borderId="307" applyAlignment="1" pivotButton="0" quotePrefix="0" xfId="126">
      <alignment horizontal="center" vertical="center" wrapText="1"/>
    </xf>
    <xf numFmtId="0" fontId="5" fillId="0" borderId="306" pivotButton="0" quotePrefix="0" xfId="126"/>
    <xf numFmtId="0" fontId="5" fillId="0" borderId="305" pivotButton="0" quotePrefix="0" xfId="126"/>
    <xf numFmtId="164" fontId="201" fillId="2" borderId="400" applyAlignment="1" pivotButton="0" quotePrefix="0" xfId="126">
      <alignment horizontal="center" vertical="center"/>
    </xf>
    <xf numFmtId="0" fontId="30" fillId="4" borderId="304" applyAlignment="1" pivotButton="0" quotePrefix="0" xfId="126">
      <alignment vertical="center"/>
    </xf>
    <xf numFmtId="17" fontId="30" fillId="4" borderId="303" applyAlignment="1" pivotButton="0" quotePrefix="0" xfId="126">
      <alignment vertical="center"/>
    </xf>
    <xf numFmtId="0" fontId="29" fillId="4" borderId="302" applyAlignment="1" pivotButton="0" quotePrefix="0" xfId="126">
      <alignment vertical="center"/>
    </xf>
    <xf numFmtId="17" fontId="30" fillId="4" borderId="31" applyAlignment="1" pivotButton="0" quotePrefix="0" xfId="126">
      <alignment horizontal="left" vertical="center"/>
    </xf>
    <xf numFmtId="0" fontId="30" fillId="4" borderId="46" applyAlignment="1" pivotButton="0" quotePrefix="0" xfId="126">
      <alignment vertical="center"/>
    </xf>
    <xf numFmtId="0" fontId="30" fillId="4" borderId="45" applyAlignment="1" pivotButton="0" quotePrefix="0" xfId="126">
      <alignment vertical="center"/>
    </xf>
    <xf numFmtId="0" fontId="29" fillId="4" borderId="301" applyAlignment="1" pivotButton="0" quotePrefix="0" xfId="126">
      <alignment vertical="center"/>
    </xf>
    <xf numFmtId="0" fontId="30" fillId="4" borderId="33" applyAlignment="1" pivotButton="0" quotePrefix="0" xfId="126">
      <alignment vertical="center"/>
    </xf>
    <xf numFmtId="0" fontId="198" fillId="76" borderId="72" pivotButton="0" quotePrefix="0" xfId="126"/>
    <xf numFmtId="0" fontId="138" fillId="16" borderId="87" applyAlignment="1" pivotButton="0" quotePrefix="0" xfId="126">
      <alignment horizontal="center" vertical="center"/>
    </xf>
    <xf numFmtId="0" fontId="69" fillId="0" borderId="45" applyAlignment="1" pivotButton="0" quotePrefix="0" xfId="126">
      <alignment vertical="center"/>
    </xf>
    <xf numFmtId="0" fontId="124" fillId="0" borderId="71" applyAlignment="1" pivotButton="0" quotePrefix="0" xfId="126">
      <alignment vertical="center"/>
    </xf>
    <xf numFmtId="0" fontId="69" fillId="0" borderId="354" applyAlignment="1" pivotButton="0" quotePrefix="0" xfId="126">
      <alignment horizontal="left" vertical="center"/>
    </xf>
    <xf numFmtId="0" fontId="69" fillId="0" borderId="326" applyAlignment="1" pivotButton="0" quotePrefix="0" xfId="126">
      <alignment horizontal="left" vertical="center"/>
    </xf>
    <xf numFmtId="0" fontId="72" fillId="0" borderId="354" applyAlignment="1" pivotButton="0" quotePrefix="0" xfId="126">
      <alignment horizontal="left" vertical="center" wrapText="1"/>
    </xf>
    <xf numFmtId="0" fontId="69" fillId="0" borderId="72" applyAlignment="1" pivotButton="0" quotePrefix="0" xfId="126">
      <alignment vertical="center"/>
    </xf>
    <xf numFmtId="0" fontId="69" fillId="0" borderId="2" applyAlignment="1" pivotButton="0" quotePrefix="0" xfId="126">
      <alignment vertical="center"/>
    </xf>
    <xf numFmtId="0" fontId="72" fillId="0" borderId="325" applyAlignment="1" pivotButton="0" quotePrefix="0" xfId="126">
      <alignment horizontal="left" vertical="center"/>
    </xf>
    <xf numFmtId="0" fontId="131" fillId="0" borderId="45" applyAlignment="1" pivotButton="0" quotePrefix="0" xfId="126">
      <alignment vertical="center"/>
    </xf>
    <xf numFmtId="0" fontId="131" fillId="0" borderId="47" applyAlignment="1" pivotButton="0" quotePrefix="0" xfId="126">
      <alignment vertical="center"/>
    </xf>
    <xf numFmtId="0" fontId="131" fillId="0" borderId="18" applyAlignment="1" pivotButton="0" quotePrefix="0" xfId="126">
      <alignment vertical="center"/>
    </xf>
    <xf numFmtId="0" fontId="195" fillId="77" borderId="356" applyAlignment="1" pivotButton="0" quotePrefix="0" xfId="126">
      <alignment horizontal="center" vertical="center"/>
    </xf>
    <xf numFmtId="0" fontId="198" fillId="78" borderId="401" pivotButton="0" quotePrefix="0" xfId="126"/>
    <xf numFmtId="0" fontId="202" fillId="79" borderId="72" applyAlignment="1" pivotButton="0" quotePrefix="0" xfId="126">
      <alignment vertical="center"/>
    </xf>
    <xf numFmtId="0" fontId="203" fillId="80" borderId="72" applyAlignment="1" pivotButton="0" quotePrefix="0" xfId="126">
      <alignment vertical="center"/>
    </xf>
    <xf numFmtId="0" fontId="204" fillId="81" borderId="72" applyAlignment="1" pivotButton="0" quotePrefix="0" xfId="126">
      <alignment vertical="center"/>
    </xf>
    <xf numFmtId="0" fontId="206" fillId="82" borderId="72" applyAlignment="1" pivotButton="0" quotePrefix="0" xfId="126">
      <alignment vertical="center"/>
    </xf>
    <xf numFmtId="4" fontId="202" fillId="79" borderId="72" applyAlignment="1" pivotButton="0" quotePrefix="0" xfId="126">
      <alignment horizontal="center" vertical="center"/>
    </xf>
    <xf numFmtId="4" fontId="206" fillId="82" borderId="72" applyAlignment="1" pivotButton="0" quotePrefix="0" xfId="126">
      <alignment horizontal="center" vertical="center"/>
    </xf>
    <xf numFmtId="4" fontId="203" fillId="80" borderId="72" applyAlignment="1" pivotButton="0" quotePrefix="0" xfId="126">
      <alignment horizontal="center" vertical="center"/>
    </xf>
    <xf numFmtId="4" fontId="204" fillId="81" borderId="72" applyAlignment="1" pivotButton="0" quotePrefix="0" xfId="126">
      <alignment horizontal="center" vertical="center"/>
    </xf>
    <xf numFmtId="173" fontId="202" fillId="79" borderId="72" applyAlignment="1" pivotButton="0" quotePrefix="0" xfId="126">
      <alignment horizontal="center" vertical="center"/>
    </xf>
    <xf numFmtId="173" fontId="206" fillId="82" borderId="72" applyAlignment="1" pivotButton="0" quotePrefix="0" xfId="126">
      <alignment horizontal="center" vertical="center"/>
    </xf>
    <xf numFmtId="173" fontId="203" fillId="80" borderId="72" applyAlignment="1" pivotButton="0" quotePrefix="0" xfId="126">
      <alignment horizontal="center" vertical="center"/>
    </xf>
    <xf numFmtId="173" fontId="204" fillId="81" borderId="72" applyAlignment="1" pivotButton="0" quotePrefix="0" xfId="126">
      <alignment horizontal="center" vertical="center"/>
    </xf>
    <xf numFmtId="0" fontId="202" fillId="79" borderId="72" applyAlignment="1" pivotButton="0" quotePrefix="0" xfId="126">
      <alignment horizontal="left" vertical="center"/>
    </xf>
    <xf numFmtId="0" fontId="206" fillId="82" borderId="72" applyAlignment="1" pivotButton="0" quotePrefix="0" xfId="126">
      <alignment horizontal="left" vertical="center"/>
    </xf>
    <xf numFmtId="0" fontId="203" fillId="80" borderId="72" applyAlignment="1" pivotButton="0" quotePrefix="0" xfId="126">
      <alignment horizontal="left" vertical="center"/>
    </xf>
    <xf numFmtId="0" fontId="204" fillId="81" borderId="72" applyAlignment="1" pivotButton="0" quotePrefix="0" xfId="126">
      <alignment horizontal="left" vertical="center"/>
    </xf>
    <xf numFmtId="0" fontId="198" fillId="78" borderId="402" pivotButton="0" quotePrefix="0" xfId="126"/>
    <xf numFmtId="4" fontId="202" fillId="79" borderId="403" applyAlignment="1" pivotButton="0" quotePrefix="0" xfId="126">
      <alignment horizontal="right" vertical="center"/>
    </xf>
    <xf numFmtId="4" fontId="203" fillId="80" borderId="403" applyAlignment="1" pivotButton="0" quotePrefix="0" xfId="126">
      <alignment horizontal="right" vertical="center"/>
    </xf>
    <xf numFmtId="4" fontId="204" fillId="81" borderId="403" applyAlignment="1" pivotButton="0" quotePrefix="0" xfId="126">
      <alignment horizontal="right" vertical="center"/>
    </xf>
    <xf numFmtId="0" fontId="198" fillId="78" borderId="404" pivotButton="0" quotePrefix="0" xfId="126"/>
    <xf numFmtId="0" fontId="202" fillId="79" borderId="405" applyAlignment="1" pivotButton="0" quotePrefix="0" xfId="126">
      <alignment horizontal="left" vertical="center"/>
    </xf>
    <xf numFmtId="0" fontId="206" fillId="82" borderId="405" applyAlignment="1" pivotButton="0" quotePrefix="0" xfId="126">
      <alignment horizontal="left" vertical="center"/>
    </xf>
    <xf numFmtId="0" fontId="203" fillId="80" borderId="405" applyAlignment="1" pivotButton="0" quotePrefix="0" xfId="126">
      <alignment horizontal="left" vertical="center"/>
    </xf>
    <xf numFmtId="0" fontId="204" fillId="81" borderId="405" applyAlignment="1" pivotButton="0" quotePrefix="0" xfId="126">
      <alignment horizontal="left" vertical="center"/>
    </xf>
    <xf numFmtId="0" fontId="206" fillId="82" borderId="406" applyAlignment="1" pivotButton="0" quotePrefix="0" xfId="126">
      <alignment vertical="center"/>
    </xf>
    <xf numFmtId="0" fontId="205" fillId="82" borderId="72" applyAlignment="1" pivotButton="0" quotePrefix="0" xfId="126">
      <alignment vertical="center"/>
    </xf>
    <xf numFmtId="0" fontId="206" fillId="82" borderId="72" applyAlignment="1" pivotButton="0" quotePrefix="0" xfId="126">
      <alignment horizontal="left" vertical="center" wrapText="1"/>
    </xf>
    <xf numFmtId="0" fontId="206" fillId="82" borderId="72" pivotButton="0" quotePrefix="0" xfId="126"/>
    <xf numFmtId="0" fontId="138" fillId="16" borderId="259" applyAlignment="1" pivotButton="0" quotePrefix="0" xfId="126">
      <alignment horizontal="center" vertical="center"/>
    </xf>
    <xf numFmtId="0" fontId="200" fillId="82" borderId="72" applyAlignment="1" pivotButton="0" quotePrefix="0" xfId="126">
      <alignment vertical="center"/>
    </xf>
    <xf numFmtId="0" fontId="207" fillId="82" borderId="72" applyAlignment="1" pivotButton="0" quotePrefix="0" xfId="126">
      <alignment vertical="center"/>
    </xf>
    <xf numFmtId="0" fontId="203" fillId="82" borderId="72" applyAlignment="1" pivotButton="0" quotePrefix="0" xfId="126">
      <alignment vertical="center"/>
    </xf>
    <xf numFmtId="0" fontId="203" fillId="82" borderId="406" applyAlignment="1" pivotButton="0" quotePrefix="0" xfId="126">
      <alignment horizontal="left" vertical="center"/>
    </xf>
    <xf numFmtId="0" fontId="205" fillId="82" borderId="406" applyAlignment="1" pivotButton="0" quotePrefix="0" xfId="126">
      <alignment horizontal="left" vertical="center"/>
    </xf>
    <xf numFmtId="0" fontId="200" fillId="82" borderId="406" applyAlignment="1" pivotButton="0" quotePrefix="0" xfId="126">
      <alignment vertical="center"/>
    </xf>
    <xf numFmtId="0" fontId="205" fillId="82" borderId="406" applyAlignment="1" pivotButton="0" quotePrefix="0" xfId="126">
      <alignment vertical="center"/>
    </xf>
    <xf numFmtId="4" fontId="206" fillId="84" borderId="403" applyAlignment="1" pivotButton="0" quotePrefix="0" xfId="126">
      <alignment horizontal="right" vertical="center"/>
    </xf>
    <xf numFmtId="0" fontId="206" fillId="83" borderId="407" applyAlignment="1" pivotButton="0" quotePrefix="0" xfId="126">
      <alignment horizontal="left" vertical="center"/>
    </xf>
    <xf numFmtId="0" fontId="206" fillId="83" borderId="408" applyAlignment="1" pivotButton="0" quotePrefix="0" xfId="126">
      <alignment horizontal="left" vertical="center"/>
    </xf>
    <xf numFmtId="0" fontId="206" fillId="83" borderId="408" applyAlignment="1" pivotButton="0" quotePrefix="0" xfId="126">
      <alignment vertical="center"/>
    </xf>
    <xf numFmtId="4" fontId="206" fillId="83" borderId="408" applyAlignment="1" pivotButton="0" quotePrefix="0" xfId="126">
      <alignment horizontal="center" vertical="center"/>
    </xf>
    <xf numFmtId="173" fontId="206" fillId="83" borderId="408" applyAlignment="1" pivotButton="0" quotePrefix="0" xfId="126">
      <alignment horizontal="center" vertical="center"/>
    </xf>
    <xf numFmtId="4" fontId="206" fillId="85" borderId="409" applyAlignment="1" pivotButton="0" quotePrefix="0" xfId="126">
      <alignment horizontal="right" vertical="center"/>
    </xf>
    <xf numFmtId="0" fontId="206" fillId="83" borderId="410" applyAlignment="1" pivotButton="0" quotePrefix="0" xfId="126">
      <alignment horizontal="left" vertical="center"/>
    </xf>
    <xf numFmtId="0" fontId="206" fillId="83" borderId="411" applyAlignment="1" pivotButton="0" quotePrefix="0" xfId="126">
      <alignment horizontal="left" vertical="center"/>
    </xf>
    <xf numFmtId="0" fontId="206" fillId="83" borderId="411" applyAlignment="1" pivotButton="0" quotePrefix="0" xfId="126">
      <alignment vertical="center"/>
    </xf>
    <xf numFmtId="4" fontId="206" fillId="83" borderId="411" applyAlignment="1" pivotButton="0" quotePrefix="0" xfId="126">
      <alignment horizontal="center" vertical="center"/>
    </xf>
    <xf numFmtId="173" fontId="206" fillId="83" borderId="411" applyAlignment="1" pivotButton="0" quotePrefix="0" xfId="126">
      <alignment horizontal="center" vertical="center"/>
    </xf>
    <xf numFmtId="4" fontId="206" fillId="85" borderId="412" applyAlignment="1" pivotButton="0" quotePrefix="0" xfId="126">
      <alignment horizontal="right" vertical="center"/>
    </xf>
    <xf numFmtId="0" fontId="206" fillId="82" borderId="407" applyAlignment="1" pivotButton="0" quotePrefix="0" xfId="126">
      <alignment horizontal="left" vertical="center"/>
    </xf>
    <xf numFmtId="0" fontId="206" fillId="82" borderId="408" applyAlignment="1" pivotButton="0" quotePrefix="0" xfId="126">
      <alignment horizontal="left" vertical="center"/>
    </xf>
    <xf numFmtId="0" fontId="206" fillId="82" borderId="408" applyAlignment="1" pivotButton="0" quotePrefix="0" xfId="126">
      <alignment vertical="center"/>
    </xf>
    <xf numFmtId="4" fontId="206" fillId="82" borderId="408" applyAlignment="1" pivotButton="0" quotePrefix="0" xfId="126">
      <alignment horizontal="center" vertical="center"/>
    </xf>
    <xf numFmtId="173" fontId="206" fillId="82" borderId="408" applyAlignment="1" pivotButton="0" quotePrefix="0" xfId="126">
      <alignment horizontal="center" vertical="center"/>
    </xf>
    <xf numFmtId="4" fontId="206" fillId="84" borderId="409" applyAlignment="1" pivotButton="0" quotePrefix="0" xfId="126">
      <alignment horizontal="right" vertical="center"/>
    </xf>
    <xf numFmtId="0" fontId="206" fillId="82" borderId="410" applyAlignment="1" pivotButton="0" quotePrefix="0" xfId="126">
      <alignment horizontal="left" vertical="center"/>
    </xf>
    <xf numFmtId="0" fontId="206" fillId="82" borderId="411" applyAlignment="1" pivotButton="0" quotePrefix="0" xfId="126">
      <alignment horizontal="left" vertical="center"/>
    </xf>
    <xf numFmtId="0" fontId="206" fillId="82" borderId="411" applyAlignment="1" pivotButton="0" quotePrefix="0" xfId="126">
      <alignment vertical="center"/>
    </xf>
    <xf numFmtId="4" fontId="206" fillId="82" borderId="411" applyAlignment="1" pivotButton="0" quotePrefix="0" xfId="126">
      <alignment horizontal="center" vertical="center"/>
    </xf>
    <xf numFmtId="173" fontId="206" fillId="82" borderId="411" applyAlignment="1" pivotButton="0" quotePrefix="0" xfId="126">
      <alignment horizontal="center" vertical="center"/>
    </xf>
    <xf numFmtId="4" fontId="206" fillId="84" borderId="412" applyAlignment="1" pivotButton="0" quotePrefix="0" xfId="126">
      <alignment horizontal="right" vertical="center"/>
    </xf>
    <xf numFmtId="0" fontId="208" fillId="78" borderId="405" applyAlignment="1" pivotButton="0" quotePrefix="0" xfId="126">
      <alignment horizontal="left"/>
    </xf>
    <xf numFmtId="0" fontId="208" fillId="78" borderId="72" applyAlignment="1" pivotButton="0" quotePrefix="0" xfId="126">
      <alignment horizontal="left"/>
    </xf>
    <xf numFmtId="0" fontId="208" fillId="78" borderId="72" pivotButton="0" quotePrefix="0" xfId="126"/>
    <xf numFmtId="4" fontId="208" fillId="78" borderId="72" applyAlignment="1" pivotButton="0" quotePrefix="0" xfId="126">
      <alignment horizontal="center"/>
    </xf>
    <xf numFmtId="0" fontId="208" fillId="78" borderId="72" applyAlignment="1" pivotButton="0" quotePrefix="0" xfId="126">
      <alignment horizontal="center"/>
    </xf>
    <xf numFmtId="4" fontId="208" fillId="78" borderId="403" applyAlignment="1" pivotButton="0" quotePrefix="0" xfId="126">
      <alignment horizontal="right"/>
    </xf>
    <xf numFmtId="0" fontId="5" fillId="82" borderId="72" pivotButton="0" quotePrefix="0" xfId="126"/>
    <xf numFmtId="194" fontId="202" fillId="79" borderId="72" applyAlignment="1" pivotButton="0" quotePrefix="0" xfId="126">
      <alignment horizontal="right" vertical="center"/>
    </xf>
    <xf numFmtId="194" fontId="206" fillId="82" borderId="72" applyAlignment="1" pivotButton="0" quotePrefix="0" xfId="126">
      <alignment horizontal="right" vertical="center"/>
    </xf>
    <xf numFmtId="194" fontId="206" fillId="83" borderId="411" applyAlignment="1" pivotButton="0" quotePrefix="0" xfId="126">
      <alignment horizontal="right" vertical="center"/>
    </xf>
    <xf numFmtId="194" fontId="206" fillId="82" borderId="411" applyAlignment="1" pivotButton="0" quotePrefix="0" xfId="126">
      <alignment horizontal="right" vertical="center"/>
    </xf>
    <xf numFmtId="194" fontId="206" fillId="83" borderId="408" applyAlignment="1" pivotButton="0" quotePrefix="0" xfId="126">
      <alignment horizontal="right" vertical="center"/>
    </xf>
    <xf numFmtId="194" fontId="206" fillId="82" borderId="408" applyAlignment="1" pivotButton="0" quotePrefix="0" xfId="126">
      <alignment horizontal="right" vertical="center"/>
    </xf>
    <xf numFmtId="194" fontId="203" fillId="80" borderId="72" applyAlignment="1" pivotButton="0" quotePrefix="0" xfId="126">
      <alignment horizontal="right" vertical="center"/>
    </xf>
    <xf numFmtId="194" fontId="204" fillId="81" borderId="72" applyAlignment="1" pivotButton="0" quotePrefix="0" xfId="126">
      <alignment horizontal="right" vertical="center"/>
    </xf>
    <xf numFmtId="194" fontId="208" fillId="78" borderId="72" applyAlignment="1" pivotButton="0" quotePrefix="0" xfId="126">
      <alignment horizontal="right"/>
    </xf>
    <xf numFmtId="195" fontId="202" fillId="79" borderId="72" applyAlignment="1" pivotButton="0" quotePrefix="0" xfId="126">
      <alignment horizontal="center" vertical="center"/>
    </xf>
    <xf numFmtId="195" fontId="206" fillId="82" borderId="72" applyAlignment="1" pivotButton="0" quotePrefix="0" xfId="126">
      <alignment horizontal="center" vertical="center"/>
    </xf>
    <xf numFmtId="195" fontId="206" fillId="83" borderId="411" applyAlignment="1" pivotButton="0" quotePrefix="0" xfId="126">
      <alignment horizontal="center" vertical="center"/>
    </xf>
    <xf numFmtId="195" fontId="206" fillId="82" borderId="411" applyAlignment="1" pivotButton="0" quotePrefix="0" xfId="126">
      <alignment horizontal="center" vertical="center"/>
    </xf>
    <xf numFmtId="195" fontId="206" fillId="83" borderId="408" applyAlignment="1" pivotButton="0" quotePrefix="0" xfId="126">
      <alignment horizontal="center" vertical="center"/>
    </xf>
    <xf numFmtId="195" fontId="206" fillId="82" borderId="408" applyAlignment="1" pivotButton="0" quotePrefix="0" xfId="126">
      <alignment horizontal="center" vertical="center"/>
    </xf>
    <xf numFmtId="195" fontId="203" fillId="80" borderId="72" applyAlignment="1" pivotButton="0" quotePrefix="0" xfId="126">
      <alignment horizontal="center" vertical="center"/>
    </xf>
    <xf numFmtId="195" fontId="204" fillId="81" borderId="72" applyAlignment="1" pivotButton="0" quotePrefix="0" xfId="126">
      <alignment horizontal="center" vertical="center"/>
    </xf>
    <xf numFmtId="195" fontId="208" fillId="78" borderId="72" applyAlignment="1" pivotButton="0" quotePrefix="0" xfId="126">
      <alignment horizontal="center"/>
    </xf>
    <xf numFmtId="0" fontId="209" fillId="65" borderId="72" pivotButton="0" quotePrefix="0" xfId="126"/>
    <xf numFmtId="0" fontId="195" fillId="74" borderId="356" applyAlignment="1" pivotButton="0" quotePrefix="0" xfId="126">
      <alignment horizontal="center" vertical="center" wrapText="1"/>
    </xf>
    <xf numFmtId="0" fontId="3" fillId="0" borderId="72" pivotButton="0" quotePrefix="0" xfId="131"/>
    <xf numFmtId="0" fontId="211" fillId="0" borderId="72" pivotButton="0" quotePrefix="0" xfId="131"/>
    <xf numFmtId="0" fontId="212" fillId="0" borderId="72" pivotButton="0" quotePrefix="0" xfId="131"/>
    <xf numFmtId="0" fontId="213" fillId="0" borderId="72" pivotButton="0" quotePrefix="0" xfId="131"/>
    <xf numFmtId="4" fontId="214" fillId="2" borderId="413" pivotButton="0" quotePrefix="0" xfId="131"/>
    <xf numFmtId="0" fontId="214" fillId="2" borderId="413" pivotButton="0" quotePrefix="0" xfId="131"/>
    <xf numFmtId="4" fontId="215" fillId="86" borderId="413" pivotButton="0" quotePrefix="0" xfId="131"/>
    <xf numFmtId="0" fontId="215" fillId="86" borderId="413" pivotButton="0" quotePrefix="0" xfId="131"/>
    <xf numFmtId="0" fontId="215" fillId="86" borderId="413" applyAlignment="1" pivotButton="0" quotePrefix="0" xfId="131">
      <alignment horizontal="right"/>
    </xf>
    <xf numFmtId="4" fontId="216" fillId="87" borderId="413" pivotButton="0" quotePrefix="0" xfId="131"/>
    <xf numFmtId="0" fontId="216" fillId="87" borderId="413" pivotButton="0" quotePrefix="0" xfId="131"/>
    <xf numFmtId="0" fontId="216" fillId="87" borderId="413" applyAlignment="1" pivotButton="0" quotePrefix="0" xfId="131">
      <alignment horizontal="right"/>
    </xf>
    <xf numFmtId="4" fontId="211" fillId="0" borderId="413" pivotButton="0" quotePrefix="0" xfId="131"/>
    <xf numFmtId="0" fontId="211" fillId="0" borderId="413" pivotButton="0" quotePrefix="0" xfId="131"/>
    <xf numFmtId="0" fontId="215" fillId="88" borderId="413" pivotButton="0" quotePrefix="0" xfId="131"/>
    <xf numFmtId="4" fontId="211" fillId="0" borderId="72" pivotButton="0" quotePrefix="0" xfId="131"/>
    <xf numFmtId="0" fontId="210" fillId="89" borderId="413" applyAlignment="1" pivotButton="0" quotePrefix="0" xfId="131">
      <alignment horizontal="center" vertical="center" wrapText="1"/>
    </xf>
    <xf numFmtId="0" fontId="217" fillId="0" borderId="72" pivotButton="0" quotePrefix="0" xfId="131"/>
    <xf numFmtId="0" fontId="218" fillId="0" borderId="72" pivotButton="0" quotePrefix="0" xfId="131"/>
    <xf numFmtId="0" fontId="2" fillId="0" borderId="72" pivotButton="0" quotePrefix="0" xfId="132"/>
    <xf numFmtId="173" fontId="2" fillId="15" borderId="313" applyAlignment="1" pivotButton="0" quotePrefix="0" xfId="132">
      <alignment vertical="center"/>
    </xf>
    <xf numFmtId="175" fontId="2" fillId="0" borderId="258" applyAlignment="1" pivotButton="0" quotePrefix="0" xfId="132">
      <alignment vertical="center"/>
    </xf>
    <xf numFmtId="173" fontId="2" fillId="0" borderId="258" applyAlignment="1" pivotButton="0" quotePrefix="0" xfId="132">
      <alignment vertical="center"/>
    </xf>
    <xf numFmtId="173" fontId="64" fillId="0" borderId="258" applyAlignment="1" pivotButton="0" quotePrefix="0" xfId="132">
      <alignment vertical="center"/>
    </xf>
    <xf numFmtId="173" fontId="2" fillId="0" borderId="269" applyAlignment="1" pivotButton="0" quotePrefix="0" xfId="132">
      <alignment vertical="center"/>
    </xf>
    <xf numFmtId="0" fontId="2" fillId="0" borderId="258" applyAlignment="1" pivotButton="0" quotePrefix="0" xfId="132">
      <alignment vertical="center"/>
    </xf>
    <xf numFmtId="173" fontId="2" fillId="60" borderId="313" applyAlignment="1" pivotButton="0" quotePrefix="0" xfId="132">
      <alignment vertical="center"/>
    </xf>
    <xf numFmtId="175" fontId="2" fillId="60" borderId="357" applyAlignment="1" pivotButton="0" quotePrefix="0" xfId="132">
      <alignment vertical="center"/>
    </xf>
    <xf numFmtId="173" fontId="2" fillId="60" borderId="328" applyAlignment="1" pivotButton="0" quotePrefix="0" xfId="132">
      <alignment vertical="center"/>
    </xf>
    <xf numFmtId="173" fontId="64" fillId="60" borderId="328" applyAlignment="1" pivotButton="0" quotePrefix="0" xfId="132">
      <alignment vertical="center"/>
    </xf>
    <xf numFmtId="0" fontId="2" fillId="60" borderId="328" applyAlignment="1" pivotButton="0" quotePrefix="0" xfId="132">
      <alignment vertical="center"/>
    </xf>
    <xf numFmtId="0" fontId="2" fillId="60" borderId="314" applyAlignment="1" pivotButton="0" quotePrefix="0" xfId="132">
      <alignment vertical="center"/>
    </xf>
    <xf numFmtId="0" fontId="2" fillId="60" borderId="258" applyAlignment="1" pivotButton="0" quotePrefix="0" xfId="132">
      <alignment vertical="center"/>
    </xf>
    <xf numFmtId="173" fontId="217" fillId="0" borderId="72" applyAlignment="1" pivotButton="0" quotePrefix="0" xfId="132">
      <alignment horizontal="center" vertical="center"/>
    </xf>
    <xf numFmtId="0" fontId="217" fillId="0" borderId="72" applyAlignment="1" pivotButton="0" quotePrefix="0" xfId="132">
      <alignment horizontal="center" vertical="center"/>
    </xf>
    <xf numFmtId="0" fontId="170" fillId="59" borderId="356" applyAlignment="1" pivotButton="0" quotePrefix="0" xfId="132">
      <alignment horizontal="center" vertical="center" wrapText="1"/>
    </xf>
    <xf numFmtId="0" fontId="170" fillId="59" borderId="356" applyAlignment="1" pivotButton="0" quotePrefix="0" xfId="132">
      <alignment horizontal="center" vertical="center"/>
    </xf>
    <xf numFmtId="0" fontId="170" fillId="59" borderId="199" applyAlignment="1" pivotButton="0" quotePrefix="0" xfId="132">
      <alignment horizontal="center" vertical="center"/>
    </xf>
    <xf numFmtId="0" fontId="69" fillId="0" borderId="45" applyAlignment="1" pivotButton="0" quotePrefix="0" xfId="132">
      <alignment vertical="center"/>
    </xf>
    <xf numFmtId="0" fontId="217" fillId="0" borderId="45" applyAlignment="1" pivotButton="0" quotePrefix="0" xfId="132">
      <alignment vertical="center"/>
    </xf>
    <xf numFmtId="0" fontId="218" fillId="0" borderId="71" applyAlignment="1" pivotButton="0" quotePrefix="0" xfId="132">
      <alignment vertical="center"/>
    </xf>
    <xf numFmtId="17" fontId="69" fillId="0" borderId="354" applyAlignment="1" pivotButton="0" quotePrefix="0" xfId="132">
      <alignment horizontal="left" vertical="center"/>
    </xf>
    <xf numFmtId="17" fontId="69" fillId="0" borderId="326" applyAlignment="1" pivotButton="0" quotePrefix="0" xfId="132">
      <alignment horizontal="left" vertical="center"/>
    </xf>
    <xf numFmtId="0" fontId="69" fillId="0" borderId="72" applyAlignment="1" pivotButton="0" quotePrefix="0" xfId="132">
      <alignment vertical="center"/>
    </xf>
    <xf numFmtId="0" fontId="69" fillId="0" borderId="2" applyAlignment="1" pivotButton="0" quotePrefix="0" xfId="132">
      <alignment vertical="center"/>
    </xf>
    <xf numFmtId="172" fontId="72" fillId="0" borderId="325" applyAlignment="1" pivotButton="0" quotePrefix="0" xfId="132">
      <alignment horizontal="left" vertical="center"/>
    </xf>
    <xf numFmtId="172" fontId="219" fillId="0" borderId="325" applyAlignment="1" pivotButton="0" quotePrefix="0" xfId="132">
      <alignment horizontal="left" vertical="center"/>
    </xf>
    <xf numFmtId="0" fontId="131" fillId="0" borderId="45" applyAlignment="1" pivotButton="0" quotePrefix="0" xfId="132">
      <alignment vertical="center"/>
    </xf>
    <xf numFmtId="0" fontId="131" fillId="0" borderId="47" applyAlignment="1" pivotButton="0" quotePrefix="0" xfId="132">
      <alignment vertical="center"/>
    </xf>
    <xf numFmtId="0" fontId="131" fillId="0" borderId="18" applyAlignment="1" pivotButton="0" quotePrefix="0" xfId="132">
      <alignment vertical="center"/>
    </xf>
    <xf numFmtId="0" fontId="220" fillId="0" borderId="72" pivotButton="0" quotePrefix="0" xfId="132"/>
    <xf numFmtId="0" fontId="200" fillId="0" borderId="72" pivotButton="0" quotePrefix="0" xfId="132"/>
    <xf numFmtId="0" fontId="221" fillId="0" borderId="72" pivotButton="0" quotePrefix="0" xfId="132"/>
    <xf numFmtId="0" fontId="2" fillId="0" borderId="74" pivotButton="0" quotePrefix="0" xfId="132"/>
    <xf numFmtId="0" fontId="203" fillId="0" borderId="74" pivotButton="0" quotePrefix="0" xfId="132"/>
    <xf numFmtId="4" fontId="205" fillId="0" borderId="74" pivotButton="0" quotePrefix="0" xfId="132"/>
    <xf numFmtId="0" fontId="205" fillId="0" borderId="74" pivotButton="0" quotePrefix="0" xfId="132"/>
    <xf numFmtId="9" fontId="205" fillId="0" borderId="74" pivotButton="0" quotePrefix="0" xfId="132"/>
    <xf numFmtId="0" fontId="2" fillId="65" borderId="74" pivotButton="0" quotePrefix="0" xfId="132"/>
    <xf numFmtId="0" fontId="200" fillId="65" borderId="74" pivotButton="0" quotePrefix="0" xfId="132"/>
    <xf numFmtId="0" fontId="195" fillId="76" borderId="74" applyAlignment="1" pivotButton="0" quotePrefix="0" xfId="132">
      <alignment horizontal="center" vertical="center" wrapText="1"/>
    </xf>
    <xf numFmtId="0" fontId="222" fillId="0" borderId="72" pivotButton="0" quotePrefix="0" xfId="132"/>
    <xf numFmtId="0" fontId="205" fillId="0" borderId="72" pivotButton="0" quotePrefix="0" xfId="132"/>
    <xf numFmtId="0" fontId="74" fillId="3" borderId="142" applyAlignment="1" pivotButton="0" quotePrefix="0" xfId="29">
      <alignment horizontal="center" vertical="center"/>
    </xf>
    <xf numFmtId="17" fontId="75" fillId="16" borderId="260" applyAlignment="1" pivotButton="0" quotePrefix="0" xfId="13">
      <alignment horizontal="center" vertical="center"/>
    </xf>
    <xf numFmtId="17" fontId="75" fillId="16" borderId="143" applyAlignment="1" pivotButton="0" quotePrefix="0" xfId="13">
      <alignment horizontal="center" vertical="center"/>
    </xf>
    <xf numFmtId="0" fontId="33" fillId="0" borderId="72" applyAlignment="1" pivotButton="0" quotePrefix="0" xfId="97">
      <alignment horizontal="center"/>
    </xf>
    <xf numFmtId="0" fontId="129" fillId="16" borderId="76" applyAlignment="1" pivotButton="0" quotePrefix="0" xfId="14">
      <alignment horizontal="center" vertical="center"/>
    </xf>
    <xf numFmtId="0" fontId="33" fillId="4" borderId="58" applyAlignment="1" pivotButton="0" quotePrefix="0" xfId="80">
      <alignment horizontal="left" vertical="center"/>
    </xf>
    <xf numFmtId="0" fontId="98" fillId="0" borderId="59" pivotButton="0" quotePrefix="0" xfId="80"/>
    <xf numFmtId="164" fontId="154" fillId="2" borderId="38" applyAlignment="1" pivotButton="0" quotePrefix="0" xfId="80">
      <alignment horizontal="center" vertical="center"/>
    </xf>
    <xf numFmtId="0" fontId="98" fillId="0" borderId="40" pivotButton="0" quotePrefix="0" xfId="80"/>
    <xf numFmtId="172" fontId="219" fillId="0" borderId="354" applyAlignment="1" pivotButton="0" quotePrefix="0" xfId="132">
      <alignment horizontal="left" vertical="center" wrapText="1"/>
    </xf>
    <xf numFmtId="0" fontId="2" fillId="0" borderId="354" pivotButton="0" quotePrefix="0" xfId="132"/>
    <xf numFmtId="0" fontId="214" fillId="2" borderId="72" pivotButton="0" quotePrefix="0" xfId="132"/>
    <xf numFmtId="0" fontId="2" fillId="2" borderId="72" pivotButton="0" quotePrefix="0" xfId="132"/>
    <xf numFmtId="0" fontId="223" fillId="0" borderId="72" applyAlignment="1" pivotButton="0" quotePrefix="0" xfId="16">
      <alignment vertical="center"/>
    </xf>
    <xf numFmtId="0" fontId="63" fillId="0" borderId="0" pivotButton="0" quotePrefix="0" xfId="0"/>
    <xf numFmtId="4" fontId="225" fillId="90" borderId="43" applyAlignment="1" pivotButton="0" quotePrefix="0" xfId="0">
      <alignment horizontal="center" vertical="center" wrapText="1"/>
    </xf>
    <xf numFmtId="4" fontId="226" fillId="91" borderId="43" applyAlignment="1" pivotButton="0" quotePrefix="0" xfId="0">
      <alignment horizontal="center" vertical="center" wrapText="1"/>
    </xf>
    <xf numFmtId="4" fontId="226" fillId="92" borderId="43" applyAlignment="1" pivotButton="0" quotePrefix="0" xfId="0">
      <alignment horizontal="center" vertical="center" wrapText="1"/>
    </xf>
    <xf numFmtId="4" fontId="224" fillId="42" borderId="43" applyAlignment="1" pivotButton="0" quotePrefix="0" xfId="0">
      <alignment horizontal="center" vertical="center" wrapText="1"/>
    </xf>
    <xf numFmtId="4" fontId="226" fillId="91" borderId="44" applyAlignment="1" pivotButton="0" quotePrefix="0" xfId="0">
      <alignment horizontal="left" vertical="center"/>
    </xf>
    <xf numFmtId="4" fontId="225" fillId="90" borderId="44" applyAlignment="1" pivotButton="0" quotePrefix="0" xfId="0">
      <alignment horizontal="left" vertical="center"/>
    </xf>
    <xf numFmtId="4" fontId="227" fillId="90" borderId="122" applyAlignment="1" pivotButton="0" quotePrefix="0" xfId="16">
      <alignment horizontal="center" vertical="center" wrapText="1"/>
    </xf>
    <xf numFmtId="4" fontId="229" fillId="91" borderId="122" applyAlignment="1" pivotButton="0" quotePrefix="0" xfId="16">
      <alignment horizontal="center" vertical="center" wrapText="1"/>
    </xf>
    <xf numFmtId="49" fontId="225" fillId="90" borderId="42" applyAlignment="1" pivotButton="0" quotePrefix="0" xfId="0">
      <alignment horizontal="left" vertical="center" wrapText="1"/>
    </xf>
    <xf numFmtId="49" fontId="225" fillId="90" borderId="44" applyAlignment="1" pivotButton="0" quotePrefix="0" xfId="0">
      <alignment horizontal="left" vertical="center"/>
    </xf>
    <xf numFmtId="49" fontId="225" fillId="90" borderId="44" applyAlignment="1" pivotButton="0" quotePrefix="0" xfId="0">
      <alignment horizontal="left" vertical="center" wrapText="1"/>
    </xf>
    <xf numFmtId="0" fontId="225" fillId="90" borderId="44" applyAlignment="1" pivotButton="0" quotePrefix="0" xfId="0">
      <alignment vertical="center"/>
    </xf>
    <xf numFmtId="0" fontId="225" fillId="90" borderId="44" applyAlignment="1" pivotButton="0" quotePrefix="0" xfId="0">
      <alignment horizontal="center" vertical="center" wrapText="1"/>
    </xf>
    <xf numFmtId="4" fontId="225" fillId="90" borderId="44" applyAlignment="1" pivotButton="0" quotePrefix="0" xfId="0">
      <alignment horizontal="center" vertical="center" wrapText="1"/>
    </xf>
    <xf numFmtId="4" fontId="225" fillId="90" borderId="44" applyAlignment="1" pivotButton="0" quotePrefix="0" xfId="0">
      <alignment horizontal="right" vertical="center" wrapText="1"/>
    </xf>
    <xf numFmtId="49" fontId="226" fillId="91" borderId="42" applyAlignment="1" pivotButton="0" quotePrefix="0" xfId="0">
      <alignment horizontal="left" vertical="center" wrapText="1"/>
    </xf>
    <xf numFmtId="49" fontId="226" fillId="91" borderId="44" applyAlignment="1" pivotButton="0" quotePrefix="0" xfId="0">
      <alignment horizontal="left" vertical="center"/>
    </xf>
    <xf numFmtId="49" fontId="226" fillId="91" borderId="44" applyAlignment="1" pivotButton="0" quotePrefix="0" xfId="0">
      <alignment horizontal="left" vertical="center" wrapText="1"/>
    </xf>
    <xf numFmtId="0" fontId="226" fillId="91" borderId="44" applyAlignment="1" pivotButton="0" quotePrefix="0" xfId="0">
      <alignment vertical="center"/>
    </xf>
    <xf numFmtId="0" fontId="226" fillId="91" borderId="44" applyAlignment="1" pivotButton="0" quotePrefix="0" xfId="0">
      <alignment horizontal="center" vertical="center" wrapText="1"/>
    </xf>
    <xf numFmtId="4" fontId="226" fillId="91" borderId="44" applyAlignment="1" pivotButton="0" quotePrefix="0" xfId="0">
      <alignment horizontal="center" vertical="center" wrapText="1"/>
    </xf>
    <xf numFmtId="4" fontId="226" fillId="91" borderId="44" applyAlignment="1" pivotButton="0" quotePrefix="0" xfId="0">
      <alignment horizontal="right" vertical="center" wrapText="1"/>
    </xf>
    <xf numFmtId="49" fontId="226" fillId="92" borderId="42" applyAlignment="1" pivotButton="0" quotePrefix="0" xfId="0">
      <alignment horizontal="left" vertical="center" wrapText="1"/>
    </xf>
    <xf numFmtId="49" fontId="226" fillId="92" borderId="44" applyAlignment="1" pivotButton="0" quotePrefix="0" xfId="0">
      <alignment horizontal="left" vertical="center"/>
    </xf>
    <xf numFmtId="49" fontId="226" fillId="92" borderId="44" applyAlignment="1" pivotButton="0" quotePrefix="0" xfId="0">
      <alignment horizontal="left" vertical="center" wrapText="1"/>
    </xf>
    <xf numFmtId="0" fontId="226" fillId="92" borderId="44" applyAlignment="1" pivotButton="0" quotePrefix="0" xfId="0">
      <alignment vertical="center"/>
    </xf>
    <xf numFmtId="0" fontId="226" fillId="92" borderId="44" applyAlignment="1" pivotButton="0" quotePrefix="0" xfId="0">
      <alignment horizontal="center" vertical="center" wrapText="1"/>
    </xf>
    <xf numFmtId="4" fontId="226" fillId="92" borderId="44" applyAlignment="1" pivotButton="0" quotePrefix="0" xfId="0">
      <alignment horizontal="center" vertical="center" wrapText="1"/>
    </xf>
    <xf numFmtId="4" fontId="226" fillId="92" borderId="44" applyAlignment="1" pivotButton="0" quotePrefix="0" xfId="0">
      <alignment horizontal="right" vertical="center" wrapText="1"/>
    </xf>
    <xf numFmtId="4" fontId="226" fillId="92" borderId="44" applyAlignment="1" pivotButton="0" quotePrefix="0" xfId="0">
      <alignment horizontal="left" vertical="center"/>
    </xf>
    <xf numFmtId="49" fontId="51" fillId="82" borderId="42" applyAlignment="1" pivotButton="0" quotePrefix="0" xfId="0">
      <alignment horizontal="left" vertical="center"/>
    </xf>
    <xf numFmtId="49" fontId="51" fillId="82" borderId="44" applyAlignment="1" pivotButton="0" quotePrefix="0" xfId="0">
      <alignment horizontal="left" vertical="center"/>
    </xf>
    <xf numFmtId="49" fontId="51" fillId="82" borderId="44" applyAlignment="1" pivotButton="0" quotePrefix="0" xfId="0">
      <alignment horizontal="left" vertical="center" wrapText="1"/>
    </xf>
    <xf numFmtId="0" fontId="51" fillId="82" borderId="44" applyAlignment="1" pivotButton="0" quotePrefix="0" xfId="0">
      <alignment vertical="center"/>
    </xf>
    <xf numFmtId="0" fontId="51" fillId="82" borderId="44" applyAlignment="1" pivotButton="0" quotePrefix="0" xfId="0">
      <alignment horizontal="center" vertical="center" wrapText="1"/>
    </xf>
    <xf numFmtId="4" fontId="51" fillId="82" borderId="44" applyAlignment="1" pivotButton="0" quotePrefix="0" xfId="0">
      <alignment horizontal="center" vertical="center" wrapText="1"/>
    </xf>
    <xf numFmtId="4" fontId="51" fillId="82" borderId="44" applyAlignment="1" pivotButton="0" quotePrefix="0" xfId="0">
      <alignment horizontal="right" vertical="center" wrapText="1"/>
    </xf>
    <xf numFmtId="4" fontId="51" fillId="82" borderId="44" applyAlignment="1" pivotButton="0" quotePrefix="0" xfId="0">
      <alignment horizontal="left" vertical="center"/>
    </xf>
    <xf numFmtId="0" fontId="229" fillId="91" borderId="86" applyAlignment="1" pivotButton="0" quotePrefix="0" xfId="16">
      <alignment vertical="center"/>
    </xf>
    <xf numFmtId="0" fontId="229" fillId="91" borderId="86" applyAlignment="1" pivotButton="0" quotePrefix="0" xfId="16">
      <alignment horizontal="center" vertical="center" wrapText="1"/>
    </xf>
    <xf numFmtId="0" fontId="229" fillId="92" borderId="86" applyAlignment="1" pivotButton="0" quotePrefix="0" xfId="16">
      <alignment vertical="center"/>
    </xf>
    <xf numFmtId="0" fontId="229" fillId="92" borderId="86" applyAlignment="1" pivotButton="0" quotePrefix="0" xfId="16">
      <alignment horizontal="center" vertical="center" wrapText="1"/>
    </xf>
    <xf numFmtId="0" fontId="228" fillId="82" borderId="86" applyAlignment="1" pivotButton="0" quotePrefix="0" xfId="16">
      <alignment vertical="center"/>
    </xf>
    <xf numFmtId="4" fontId="228" fillId="82" borderId="86" applyAlignment="1" pivotButton="0" quotePrefix="0" xfId="33">
      <alignment horizontal="center" vertical="center" wrapText="1"/>
    </xf>
    <xf numFmtId="4" fontId="229" fillId="92" borderId="86" applyAlignment="1" pivotButton="0" quotePrefix="0" xfId="33">
      <alignment horizontal="center" vertical="center" wrapText="1"/>
    </xf>
    <xf numFmtId="49" fontId="226" fillId="91" borderId="42" applyAlignment="1" pivotButton="0" quotePrefix="0" xfId="0">
      <alignment horizontal="left" vertical="center"/>
    </xf>
    <xf numFmtId="49" fontId="226" fillId="92" borderId="42" applyAlignment="1" pivotButton="0" quotePrefix="0" xfId="0">
      <alignment horizontal="left" vertical="center"/>
    </xf>
    <xf numFmtId="4" fontId="51" fillId="82" borderId="44" applyAlignment="1" pivotButton="0" quotePrefix="0" xfId="0">
      <alignment horizontal="left" vertical="center" wrapText="1"/>
    </xf>
    <xf numFmtId="49" fontId="225" fillId="90" borderId="17" applyAlignment="1" pivotButton="0" quotePrefix="0" xfId="0">
      <alignment horizontal="left" vertical="center"/>
    </xf>
    <xf numFmtId="49" fontId="225" fillId="90" borderId="17" applyAlignment="1" pivotButton="0" quotePrefix="0" xfId="0">
      <alignment horizontal="left" vertical="center" wrapText="1"/>
    </xf>
    <xf numFmtId="0" fontId="225" fillId="90" borderId="17" applyAlignment="1" pivotButton="0" quotePrefix="0" xfId="0">
      <alignment horizontal="center" vertical="center" wrapText="1"/>
    </xf>
    <xf numFmtId="4" fontId="225" fillId="90" borderId="17" applyAlignment="1" pivotButton="0" quotePrefix="0" xfId="0">
      <alignment horizontal="center" vertical="center" wrapText="1"/>
    </xf>
    <xf numFmtId="4" fontId="225" fillId="90" borderId="17" applyAlignment="1" pivotButton="0" quotePrefix="0" xfId="0">
      <alignment horizontal="left" vertical="center"/>
    </xf>
    <xf numFmtId="49" fontId="226" fillId="91" borderId="17" applyAlignment="1" pivotButton="0" quotePrefix="0" xfId="0">
      <alignment horizontal="left" vertical="center"/>
    </xf>
    <xf numFmtId="49" fontId="226" fillId="91" borderId="17" applyAlignment="1" pivotButton="0" quotePrefix="0" xfId="0">
      <alignment horizontal="left" vertical="center" wrapText="1"/>
    </xf>
    <xf numFmtId="0" fontId="226" fillId="91" borderId="17" applyAlignment="1" pivotButton="0" quotePrefix="0" xfId="0">
      <alignment vertical="center"/>
    </xf>
    <xf numFmtId="0" fontId="226" fillId="91" borderId="17" applyAlignment="1" pivotButton="0" quotePrefix="0" xfId="0">
      <alignment horizontal="center" vertical="center" wrapText="1"/>
    </xf>
    <xf numFmtId="4" fontId="226" fillId="91" borderId="17" applyAlignment="1" pivotButton="0" quotePrefix="0" xfId="0">
      <alignment horizontal="center" vertical="center" wrapText="1"/>
    </xf>
    <xf numFmtId="4" fontId="226" fillId="91" borderId="17" applyAlignment="1" pivotButton="0" quotePrefix="0" xfId="0">
      <alignment horizontal="left" vertical="center"/>
    </xf>
    <xf numFmtId="49" fontId="226" fillId="92" borderId="17" applyAlignment="1" pivotButton="0" quotePrefix="0" xfId="0">
      <alignment horizontal="left" vertical="center"/>
    </xf>
    <xf numFmtId="49" fontId="226" fillId="92" borderId="17" applyAlignment="1" pivotButton="0" quotePrefix="0" xfId="0">
      <alignment horizontal="left" vertical="center" wrapText="1"/>
    </xf>
    <xf numFmtId="0" fontId="226" fillId="92" borderId="17" applyAlignment="1" pivotButton="0" quotePrefix="0" xfId="0">
      <alignment vertical="center"/>
    </xf>
    <xf numFmtId="0" fontId="226" fillId="92" borderId="17" applyAlignment="1" pivotButton="0" quotePrefix="0" xfId="0">
      <alignment horizontal="center" vertical="center" wrapText="1"/>
    </xf>
    <xf numFmtId="4" fontId="226" fillId="92" borderId="17" applyAlignment="1" pivotButton="0" quotePrefix="0" xfId="0">
      <alignment horizontal="center" vertical="center" wrapText="1"/>
    </xf>
    <xf numFmtId="4" fontId="226" fillId="92" borderId="17" applyAlignment="1" pivotButton="0" quotePrefix="0" xfId="0">
      <alignment horizontal="left" vertical="center"/>
    </xf>
    <xf numFmtId="49" fontId="51" fillId="82" borderId="17" applyAlignment="1" pivotButton="0" quotePrefix="0" xfId="0">
      <alignment horizontal="left" vertical="center"/>
    </xf>
    <xf numFmtId="49" fontId="51" fillId="82" borderId="17" applyAlignment="1" pivotButton="0" quotePrefix="0" xfId="0">
      <alignment horizontal="left" vertical="center" wrapText="1"/>
    </xf>
    <xf numFmtId="0" fontId="51" fillId="82" borderId="17" applyAlignment="1" pivotButton="0" quotePrefix="0" xfId="0">
      <alignment vertical="center"/>
    </xf>
    <xf numFmtId="0" fontId="51" fillId="82" borderId="17" applyAlignment="1" pivotButton="0" quotePrefix="0" xfId="0">
      <alignment horizontal="center" vertical="center" wrapText="1"/>
    </xf>
    <xf numFmtId="4" fontId="51" fillId="82" borderId="17" applyAlignment="1" pivotButton="0" quotePrefix="0" xfId="0">
      <alignment horizontal="center" vertical="center" wrapText="1"/>
    </xf>
    <xf numFmtId="4" fontId="51" fillId="82" borderId="17" applyAlignment="1" pivotButton="0" quotePrefix="0" xfId="0">
      <alignment horizontal="left" vertical="center"/>
    </xf>
    <xf numFmtId="0" fontId="230" fillId="92" borderId="17" applyAlignment="1" pivotButton="0" quotePrefix="0" xfId="0">
      <alignment vertical="center"/>
    </xf>
    <xf numFmtId="49" fontId="51" fillId="82" borderId="42" applyAlignment="1" pivotButton="0" quotePrefix="0" xfId="0">
      <alignment horizontal="left" vertical="center" wrapText="1"/>
    </xf>
    <xf numFmtId="49" fontId="225" fillId="90" borderId="42" applyAlignment="1" pivotButton="0" quotePrefix="0" xfId="0">
      <alignment horizontal="left" vertical="center"/>
    </xf>
    <xf numFmtId="4" fontId="229" fillId="91" borderId="86" applyAlignment="1" pivotButton="0" quotePrefix="0" xfId="33">
      <alignment horizontal="center" vertical="center" wrapText="1"/>
    </xf>
    <xf numFmtId="4" fontId="226" fillId="92" borderId="44" applyAlignment="1" pivotButton="0" quotePrefix="0" xfId="0">
      <alignment horizontal="left" vertical="center" wrapText="1"/>
    </xf>
    <xf numFmtId="0" fontId="225" fillId="90" borderId="42" applyAlignment="1" pivotButton="0" quotePrefix="0" xfId="0">
      <alignment horizontal="left" vertical="center"/>
    </xf>
    <xf numFmtId="0" fontId="225" fillId="90" borderId="17" applyAlignment="1" pivotButton="0" quotePrefix="0" xfId="0">
      <alignment vertical="center"/>
    </xf>
    <xf numFmtId="0" fontId="226" fillId="91" borderId="42" applyAlignment="1" pivotButton="0" quotePrefix="0" xfId="0">
      <alignment horizontal="left" vertical="center"/>
    </xf>
    <xf numFmtId="0" fontId="226" fillId="92" borderId="42" applyAlignment="1" pivotButton="0" quotePrefix="0" xfId="0">
      <alignment horizontal="left" vertical="center"/>
    </xf>
    <xf numFmtId="0" fontId="51" fillId="82" borderId="42" applyAlignment="1" pivotButton="0" quotePrefix="0" xfId="0">
      <alignment horizontal="left" vertical="center"/>
    </xf>
    <xf numFmtId="3" fontId="181" fillId="0" borderId="393" applyAlignment="1" pivotButton="0" quotePrefix="1" xfId="5">
      <alignment horizontal="left" vertical="center"/>
    </xf>
    <xf numFmtId="49" fontId="181" fillId="0" borderId="393" applyAlignment="1" pivotButton="0" quotePrefix="1" xfId="5">
      <alignment horizontal="left" vertical="center"/>
    </xf>
    <xf numFmtId="0" fontId="130" fillId="32" borderId="72" applyAlignment="1" pivotButton="0" quotePrefix="0" xfId="28">
      <alignment horizontal="center"/>
    </xf>
    <xf numFmtId="0" fontId="130" fillId="32" borderId="74" applyAlignment="1" pivotButton="0" quotePrefix="0" xfId="28">
      <alignment horizontal="center" vertical="center"/>
    </xf>
    <xf numFmtId="0" fontId="31" fillId="32" borderId="414" applyAlignment="1" pivotButton="0" quotePrefix="0" xfId="28">
      <alignment horizontal="center" vertical="center"/>
    </xf>
    <xf numFmtId="196" fontId="0" fillId="32" borderId="414" applyAlignment="1" pivotButton="0" quotePrefix="0" xfId="6">
      <alignment horizontal="center" vertical="center"/>
    </xf>
    <xf numFmtId="197" fontId="0" fillId="32" borderId="414" applyAlignment="1" pivotButton="0" quotePrefix="0" xfId="133">
      <alignment vertical="center"/>
    </xf>
    <xf numFmtId="0" fontId="31" fillId="32" borderId="415" applyAlignment="1" pivotButton="0" quotePrefix="0" xfId="28">
      <alignment vertical="center" wrapText="1"/>
    </xf>
    <xf numFmtId="0" fontId="31" fillId="32" borderId="207" applyAlignment="1" pivotButton="0" quotePrefix="0" xfId="28">
      <alignment horizontal="center" vertical="center"/>
    </xf>
    <xf numFmtId="0" fontId="31" fillId="32" borderId="207" applyAlignment="1" pivotButton="0" quotePrefix="0" xfId="28">
      <alignment horizontal="center" vertical="center" wrapText="1"/>
    </xf>
    <xf numFmtId="0" fontId="31" fillId="32" borderId="207" applyAlignment="1" pivotButton="0" quotePrefix="0" xfId="28">
      <alignment horizontal="left" vertical="center"/>
    </xf>
    <xf numFmtId="0" fontId="31" fillId="33" borderId="414" applyAlignment="1" pivotButton="0" quotePrefix="0" xfId="28">
      <alignment horizontal="center" vertical="center"/>
    </xf>
    <xf numFmtId="196" fontId="0" fillId="33" borderId="414" applyAlignment="1" pivotButton="0" quotePrefix="0" xfId="6">
      <alignment horizontal="center" vertical="center"/>
    </xf>
    <xf numFmtId="197" fontId="0" fillId="33" borderId="414" applyAlignment="1" pivotButton="0" quotePrefix="0" xfId="133">
      <alignment vertical="center"/>
    </xf>
    <xf numFmtId="0" fontId="31" fillId="33" borderId="416" applyAlignment="1" pivotButton="0" quotePrefix="0" xfId="28">
      <alignment vertical="center" wrapText="1"/>
    </xf>
    <xf numFmtId="0" fontId="31" fillId="33" borderId="417" applyAlignment="1" pivotButton="0" quotePrefix="0" xfId="28">
      <alignment horizontal="center" vertical="center"/>
    </xf>
    <xf numFmtId="0" fontId="31" fillId="33" borderId="417" applyAlignment="1" pivotButton="0" quotePrefix="0" xfId="28">
      <alignment horizontal="center" vertical="center" wrapText="1"/>
    </xf>
    <xf numFmtId="0" fontId="31" fillId="33" borderId="207" applyAlignment="1" pivotButton="0" quotePrefix="0" xfId="28">
      <alignment horizontal="left" vertical="center"/>
    </xf>
    <xf numFmtId="0" fontId="31" fillId="34" borderId="414" applyAlignment="1" pivotButton="0" quotePrefix="0" xfId="28">
      <alignment horizontal="center" vertical="center"/>
    </xf>
    <xf numFmtId="196" fontId="0" fillId="34" borderId="414" applyAlignment="1" pivotButton="0" quotePrefix="0" xfId="6">
      <alignment horizontal="center" vertical="center"/>
    </xf>
    <xf numFmtId="197" fontId="0" fillId="34" borderId="414" applyAlignment="1" pivotButton="0" quotePrefix="0" xfId="133">
      <alignment vertical="center"/>
    </xf>
    <xf numFmtId="0" fontId="31" fillId="34" borderId="416" applyAlignment="1" pivotButton="0" quotePrefix="0" xfId="28">
      <alignment horizontal="left" vertical="center" wrapText="1"/>
    </xf>
    <xf numFmtId="0" fontId="31" fillId="47" borderId="414" applyAlignment="1" pivotButton="0" quotePrefix="0" xfId="28">
      <alignment horizontal="center" vertical="center"/>
    </xf>
    <xf numFmtId="196" fontId="0" fillId="47" borderId="414" applyAlignment="1" pivotButton="0" quotePrefix="0" xfId="6">
      <alignment horizontal="center" vertical="center"/>
    </xf>
    <xf numFmtId="197" fontId="0" fillId="47" borderId="414" applyAlignment="1" pivotButton="0" quotePrefix="0" xfId="133">
      <alignment vertical="center"/>
    </xf>
    <xf numFmtId="0" fontId="31" fillId="47" borderId="416" applyAlignment="1" pivotButton="0" quotePrefix="0" xfId="28">
      <alignment horizontal="left" vertical="center" wrapText="1"/>
    </xf>
    <xf numFmtId="0" fontId="31" fillId="47" borderId="415" applyAlignment="1" pivotButton="0" quotePrefix="0" xfId="28">
      <alignment horizontal="left" vertical="center" wrapText="1"/>
    </xf>
    <xf numFmtId="0" fontId="31" fillId="47" borderId="327" applyAlignment="1" pivotButton="0" quotePrefix="0" xfId="28">
      <alignment horizontal="left" vertical="center"/>
    </xf>
    <xf numFmtId="0" fontId="129" fillId="35" borderId="414" applyAlignment="1" pivotButton="0" quotePrefix="0" xfId="28">
      <alignment horizontal="center" vertical="center"/>
    </xf>
    <xf numFmtId="196" fontId="129" fillId="35" borderId="414" applyAlignment="1" pivotButton="0" quotePrefix="0" xfId="6">
      <alignment horizontal="center" vertical="center"/>
    </xf>
    <xf numFmtId="197" fontId="129" fillId="35" borderId="414" applyAlignment="1" pivotButton="0" quotePrefix="0" xfId="133">
      <alignment vertical="center"/>
    </xf>
    <xf numFmtId="0" fontId="129" fillId="35" borderId="418" applyAlignment="1" pivotButton="0" quotePrefix="0" xfId="28">
      <alignment horizontal="left" vertical="center" wrapText="1"/>
    </xf>
    <xf numFmtId="0" fontId="129" fillId="35" borderId="419" applyAlignment="1" pivotButton="0" quotePrefix="0" xfId="28">
      <alignment horizontal="left" vertical="center" wrapText="1"/>
    </xf>
    <xf numFmtId="0" fontId="129" fillId="35" borderId="207" applyAlignment="1" pivotButton="0" quotePrefix="0" xfId="28">
      <alignment horizontal="left" vertical="center"/>
    </xf>
    <xf numFmtId="0" fontId="52" fillId="32" borderId="72" applyAlignment="1" pivotButton="0" quotePrefix="0" xfId="28">
      <alignment vertical="center"/>
    </xf>
    <xf numFmtId="0" fontId="31" fillId="93" borderId="420" applyAlignment="1" pivotButton="0" quotePrefix="0" xfId="28">
      <alignment horizontal="left"/>
    </xf>
    <xf numFmtId="0" fontId="130" fillId="32" borderId="420" applyAlignment="1" pivotButton="0" quotePrefix="0" xfId="28">
      <alignment horizontal="center" vertical="center"/>
    </xf>
    <xf numFmtId="0" fontId="130" fillId="32" borderId="72" applyAlignment="1" pivotButton="0" quotePrefix="0" xfId="28">
      <alignment horizontal="center" vertical="center"/>
    </xf>
    <xf numFmtId="0" fontId="31" fillId="32" borderId="72" applyAlignment="1" pivotButton="0" quotePrefix="0" xfId="28">
      <alignment horizontal="left"/>
    </xf>
    <xf numFmtId="0" fontId="130" fillId="32" borderId="72" pivotButton="0" quotePrefix="0" xfId="28"/>
    <xf numFmtId="0" fontId="130" fillId="32" borderId="423" applyAlignment="1" pivotButton="0" quotePrefix="0" xfId="28">
      <alignment horizontal="center" vertical="center"/>
    </xf>
    <xf numFmtId="0" fontId="130" fillId="32" borderId="424" applyAlignment="1" pivotButton="0" quotePrefix="0" xfId="28">
      <alignment horizontal="center"/>
    </xf>
    <xf numFmtId="0" fontId="130" fillId="41" borderId="420" pivotButton="0" quotePrefix="0" xfId="28"/>
    <xf numFmtId="0" fontId="130" fillId="32" borderId="426" applyAlignment="1" pivotButton="0" quotePrefix="0" xfId="28">
      <alignment horizontal="center" vertical="center"/>
    </xf>
    <xf numFmtId="0" fontId="130" fillId="32" borderId="427" applyAlignment="1" pivotButton="0" quotePrefix="0" xfId="28">
      <alignment horizontal="center"/>
    </xf>
    <xf numFmtId="0" fontId="130" fillId="32" borderId="420" pivotButton="0" quotePrefix="0" xfId="28"/>
    <xf numFmtId="0" fontId="31" fillId="32" borderId="72" applyAlignment="1" pivotButton="0" quotePrefix="0" xfId="28">
      <alignment horizontal="center" vertical="center"/>
    </xf>
    <xf numFmtId="0" fontId="31" fillId="32" borderId="426" applyAlignment="1" pivotButton="0" quotePrefix="0" xfId="28">
      <alignment horizontal="center" vertical="center"/>
    </xf>
    <xf numFmtId="0" fontId="31" fillId="32" borderId="427" applyAlignment="1" pivotButton="0" quotePrefix="0" xfId="28">
      <alignment horizontal="center"/>
    </xf>
    <xf numFmtId="9" fontId="0" fillId="32" borderId="72" applyAlignment="1" pivotButton="0" quotePrefix="0" xfId="6">
      <alignment horizontal="center" vertical="center"/>
    </xf>
    <xf numFmtId="9" fontId="0" fillId="32" borderId="428" applyAlignment="1" pivotButton="0" quotePrefix="0" xfId="6">
      <alignment horizontal="center" vertical="center"/>
    </xf>
    <xf numFmtId="0" fontId="130" fillId="32" borderId="429" applyAlignment="1" pivotButton="0" quotePrefix="0" xfId="28">
      <alignment horizontal="center"/>
    </xf>
    <xf numFmtId="196" fontId="0" fillId="33" borderId="414" applyAlignment="1" pivotButton="0" quotePrefix="0" xfId="6">
      <alignment horizontal="left" vertical="top" wrapText="1"/>
    </xf>
    <xf numFmtId="0" fontId="31" fillId="33" borderId="430" applyAlignment="1" pivotButton="0" quotePrefix="0" xfId="28">
      <alignment vertical="center" wrapText="1"/>
    </xf>
    <xf numFmtId="0" fontId="31" fillId="33" borderId="431" applyAlignment="1" pivotButton="0" quotePrefix="0" xfId="28">
      <alignment horizontal="center" vertical="center" wrapText="1"/>
    </xf>
    <xf numFmtId="0" fontId="31" fillId="33" borderId="432" applyAlignment="1" pivotButton="0" quotePrefix="0" xfId="28">
      <alignment horizontal="center" vertical="center" wrapText="1"/>
    </xf>
    <xf numFmtId="0" fontId="31" fillId="33" borderId="415" applyAlignment="1" pivotButton="0" quotePrefix="0" xfId="28">
      <alignment horizontal="left" vertical="center"/>
    </xf>
    <xf numFmtId="196" fontId="0" fillId="32" borderId="414" applyAlignment="1" pivotButton="0" quotePrefix="0" xfId="6">
      <alignment horizontal="left" vertical="top" wrapText="1"/>
    </xf>
    <xf numFmtId="0" fontId="31" fillId="32" borderId="433" applyAlignment="1" pivotButton="0" quotePrefix="0" xfId="28">
      <alignment vertical="center" wrapText="1"/>
    </xf>
    <xf numFmtId="0" fontId="31" fillId="32" borderId="434" applyAlignment="1" pivotButton="0" quotePrefix="0" xfId="28">
      <alignment horizontal="center" vertical="center" wrapText="1"/>
    </xf>
    <xf numFmtId="0" fontId="31" fillId="32" borderId="435" applyAlignment="1" pivotButton="0" quotePrefix="0" xfId="28">
      <alignment horizontal="center" vertical="center" wrapText="1"/>
    </xf>
    <xf numFmtId="0" fontId="31" fillId="32" borderId="415" applyAlignment="1" pivotButton="0" quotePrefix="0" xfId="28">
      <alignment horizontal="left" vertical="center"/>
    </xf>
    <xf numFmtId="196" fontId="0" fillId="94" borderId="414" applyAlignment="1" pivotButton="0" quotePrefix="0" xfId="6">
      <alignment horizontal="left" vertical="top" wrapText="1"/>
    </xf>
    <xf numFmtId="0" fontId="31" fillId="94" borderId="87" applyAlignment="1" pivotButton="0" quotePrefix="0" xfId="28">
      <alignment horizontal="left" vertical="center" wrapText="1"/>
    </xf>
    <xf numFmtId="196" fontId="0" fillId="94" borderId="414" applyAlignment="1" pivotButton="0" quotePrefix="0" xfId="6">
      <alignment horizontal="center" vertical="center"/>
    </xf>
    <xf numFmtId="197" fontId="0" fillId="94" borderId="414" applyAlignment="1" pivotButton="0" quotePrefix="0" xfId="133">
      <alignment vertical="center"/>
    </xf>
    <xf numFmtId="0" fontId="31" fillId="94" borderId="414" applyAlignment="1" pivotButton="0" quotePrefix="0" xfId="28">
      <alignment horizontal="center" vertical="center"/>
    </xf>
    <xf numFmtId="0" fontId="31" fillId="94" borderId="436" applyAlignment="1" pivotButton="0" quotePrefix="0" xfId="28">
      <alignment horizontal="center" vertical="center"/>
    </xf>
    <xf numFmtId="0" fontId="31" fillId="94" borderId="120" applyAlignment="1" pivotButton="0" quotePrefix="0" xfId="28">
      <alignment horizontal="center" vertical="center" wrapText="1"/>
    </xf>
    <xf numFmtId="0" fontId="31" fillId="94" borderId="437" applyAlignment="1" pivotButton="0" quotePrefix="0" xfId="28">
      <alignment horizontal="center" vertical="center" wrapText="1"/>
    </xf>
    <xf numFmtId="0" fontId="31" fillId="94" borderId="415" applyAlignment="1" pivotButton="0" quotePrefix="0" xfId="28">
      <alignment horizontal="left" vertical="center"/>
    </xf>
    <xf numFmtId="0" fontId="31" fillId="33" borderId="430" applyAlignment="1" pivotButton="0" quotePrefix="0" xfId="28">
      <alignment horizontal="left" vertical="center" wrapText="1"/>
    </xf>
    <xf numFmtId="0" fontId="31" fillId="33" borderId="435" applyAlignment="1" pivotButton="0" quotePrefix="0" xfId="28">
      <alignment horizontal="center" vertical="center" wrapText="1"/>
    </xf>
    <xf numFmtId="0" fontId="31" fillId="32" borderId="430" applyAlignment="1" pivotButton="0" quotePrefix="0" xfId="28">
      <alignment horizontal="left" vertical="center" wrapText="1"/>
    </xf>
    <xf numFmtId="0" fontId="130" fillId="32" borderId="442" pivotButton="0" quotePrefix="0" xfId="28"/>
    <xf numFmtId="0" fontId="130" fillId="32" borderId="445" pivotButton="0" quotePrefix="0" xfId="28"/>
    <xf numFmtId="0" fontId="130" fillId="41" borderId="445" pivotButton="0" quotePrefix="0" xfId="28"/>
    <xf numFmtId="198" fontId="71" fillId="0" borderId="205" applyAlignment="1" pivotButton="0" quotePrefix="0" xfId="26">
      <alignment vertical="center" wrapText="1"/>
    </xf>
    <xf numFmtId="0" fontId="1" fillId="0" borderId="72" pivotButton="0" quotePrefix="0" xfId="134"/>
    <xf numFmtId="0" fontId="231" fillId="2" borderId="72" pivotButton="0" quotePrefix="0" xfId="134"/>
    <xf numFmtId="0" fontId="1" fillId="2" borderId="72" pivotButton="0" quotePrefix="0" xfId="134"/>
    <xf numFmtId="0" fontId="195" fillId="74" borderId="72" applyAlignment="1" pivotButton="0" quotePrefix="0" xfId="134">
      <alignment horizontal="center" wrapText="1"/>
    </xf>
    <xf numFmtId="0" fontId="198" fillId="76" borderId="72" pivotButton="0" quotePrefix="0" xfId="134"/>
    <xf numFmtId="0" fontId="205" fillId="0" borderId="74" pivotButton="0" quotePrefix="0" xfId="134"/>
    <xf numFmtId="173" fontId="205" fillId="0" borderId="74" pivotButton="0" quotePrefix="0" xfId="134"/>
    <xf numFmtId="175" fontId="205" fillId="0" borderId="74" pivotButton="0" quotePrefix="0" xfId="134"/>
    <xf numFmtId="0" fontId="200" fillId="65" borderId="72" pivotButton="0" quotePrefix="0" xfId="134"/>
    <xf numFmtId="175" fontId="200" fillId="65" borderId="72" pivotButton="0" quotePrefix="0" xfId="134"/>
    <xf numFmtId="0" fontId="198" fillId="73" borderId="72" pivotButton="0" quotePrefix="0" xfId="134"/>
    <xf numFmtId="0" fontId="198" fillId="71" borderId="72" pivotButton="0" quotePrefix="0" xfId="134"/>
    <xf numFmtId="0" fontId="198" fillId="68" borderId="72" pivotButton="0" quotePrefix="0" xfId="134"/>
    <xf numFmtId="0" fontId="198" fillId="69" borderId="72" pivotButton="0" quotePrefix="0" xfId="134"/>
    <xf numFmtId="0" fontId="198" fillId="95" borderId="72" pivotButton="0" quotePrefix="0" xfId="134"/>
    <xf numFmtId="0" fontId="198" fillId="96" borderId="72" pivotButton="0" quotePrefix="0" xfId="134"/>
    <xf numFmtId="0" fontId="198" fillId="97" borderId="72" pivotButton="0" quotePrefix="0" xfId="134"/>
    <xf numFmtId="0" fontId="232" fillId="0" borderId="74" pivotButton="0" quotePrefix="0" xfId="134"/>
    <xf numFmtId="0" fontId="233" fillId="0" borderId="72" pivotButton="0" quotePrefix="0" xfId="134"/>
    <xf numFmtId="175" fontId="233" fillId="0" borderId="72" pivotButton="0" quotePrefix="0" xfId="134"/>
    <xf numFmtId="49" fontId="45" fillId="2" borderId="34" applyAlignment="1" pivotButton="0" quotePrefix="0" xfId="0">
      <alignment horizontal="center" vertical="center" wrapText="1"/>
    </xf>
    <xf numFmtId="0" fontId="31" fillId="0" borderId="35" pivotButton="0" quotePrefix="0" xfId="0"/>
    <xf numFmtId="0" fontId="31" fillId="0" borderId="36" pivotButton="0" quotePrefix="0" xfId="0"/>
    <xf numFmtId="0" fontId="52" fillId="36" borderId="422" applyAlignment="1" pivotButton="0" quotePrefix="0" xfId="28">
      <alignment horizontal="center" vertical="center"/>
    </xf>
    <xf numFmtId="0" fontId="52" fillId="36" borderId="421" applyAlignment="1" pivotButton="0" quotePrefix="0" xfId="28">
      <alignment horizontal="center" vertical="center"/>
    </xf>
    <xf numFmtId="197" fontId="0" fillId="93" borderId="420" applyAlignment="1" pivotButton="0" quotePrefix="0" xfId="133">
      <alignment horizontal="center" vertical="center"/>
    </xf>
    <xf numFmtId="0" fontId="130" fillId="32" borderId="74" applyAlignment="1" pivotButton="0" quotePrefix="0" xfId="28">
      <alignment horizontal="center" vertical="center"/>
    </xf>
    <xf numFmtId="197" fontId="0" fillId="93" borderId="420" applyAlignment="1" pivotButton="0" quotePrefix="0" xfId="133">
      <alignment horizontal="left" vertical="center"/>
    </xf>
    <xf numFmtId="0" fontId="31" fillId="41" borderId="213" applyAlignment="1" pivotButton="0" quotePrefix="0" xfId="28">
      <alignment horizontal="left"/>
    </xf>
    <xf numFmtId="0" fontId="31" fillId="41" borderId="425" applyAlignment="1" pivotButton="0" quotePrefix="0" xfId="28">
      <alignment horizontal="left"/>
    </xf>
    <xf numFmtId="0" fontId="31" fillId="32" borderId="213" applyAlignment="1" pivotButton="0" quotePrefix="0" xfId="28">
      <alignment horizontal="left"/>
    </xf>
    <xf numFmtId="0" fontId="31" fillId="32" borderId="425" applyAlignment="1" pivotButton="0" quotePrefix="0" xfId="28">
      <alignment horizontal="left"/>
    </xf>
    <xf numFmtId="0" fontId="130" fillId="32" borderId="87" applyAlignment="1" pivotButton="0" quotePrefix="0" xfId="28">
      <alignment horizontal="center" vertical="center" wrapText="1"/>
    </xf>
    <xf numFmtId="0" fontId="130" fillId="32" borderId="208" applyAlignment="1" pivotButton="0" quotePrefix="0" xfId="28">
      <alignment horizontal="center" vertical="center" wrapText="1"/>
    </xf>
    <xf numFmtId="0" fontId="130" fillId="32" borderId="208" applyAlignment="1" pivotButton="0" quotePrefix="0" xfId="28">
      <alignment horizontal="center" vertical="center"/>
    </xf>
    <xf numFmtId="0" fontId="130" fillId="32" borderId="420" applyAlignment="1" pivotButton="0" quotePrefix="0" xfId="28">
      <alignment horizontal="center" vertical="center"/>
    </xf>
    <xf numFmtId="0" fontId="52" fillId="36" borderId="76" applyAlignment="1" pivotButton="0" quotePrefix="0" xfId="28">
      <alignment horizontal="center" vertical="center"/>
    </xf>
    <xf numFmtId="0" fontId="52" fillId="36" borderId="72" applyAlignment="1" pivotButton="0" quotePrefix="0" xfId="28">
      <alignment horizontal="center" vertical="center"/>
    </xf>
    <xf numFmtId="0" fontId="52" fillId="36" borderId="77" applyAlignment="1" pivotButton="0" quotePrefix="0" xfId="28">
      <alignment horizontal="center" vertical="center"/>
    </xf>
    <xf numFmtId="0" fontId="52" fillId="36" borderId="78" applyAlignment="1" pivotButton="0" quotePrefix="0" xfId="28">
      <alignment horizontal="center" vertical="center"/>
    </xf>
    <xf numFmtId="0" fontId="52" fillId="36" borderId="447" applyAlignment="1" pivotButton="0" quotePrefix="0" xfId="28">
      <alignment horizontal="center" vertical="center"/>
    </xf>
    <xf numFmtId="0" fontId="52" fillId="36" borderId="448" applyAlignment="1" pivotButton="0" quotePrefix="0" xfId="28">
      <alignment horizontal="center" vertical="center"/>
    </xf>
    <xf numFmtId="0" fontId="52" fillId="36" borderId="446" applyAlignment="1" pivotButton="0" quotePrefix="0" xfId="28">
      <alignment horizontal="center" vertical="center"/>
    </xf>
    <xf numFmtId="0" fontId="31" fillId="41" borderId="427" applyAlignment="1" pivotButton="0" quotePrefix="0" xfId="28">
      <alignment horizontal="left"/>
    </xf>
    <xf numFmtId="0" fontId="31" fillId="41" borderId="72" applyAlignment="1" pivotButton="0" quotePrefix="0" xfId="28">
      <alignment horizontal="left"/>
    </xf>
    <xf numFmtId="9" fontId="0" fillId="32" borderId="447" applyAlignment="1" pivotButton="0" quotePrefix="0" xfId="6">
      <alignment horizontal="center" vertical="center"/>
    </xf>
    <xf numFmtId="9" fontId="0" fillId="32" borderId="446" applyAlignment="1" pivotButton="0" quotePrefix="0" xfId="6">
      <alignment horizontal="center" vertical="center"/>
    </xf>
    <xf numFmtId="9" fontId="0" fillId="32" borderId="444" applyAlignment="1" pivotButton="0" quotePrefix="0" xfId="6">
      <alignment horizontal="center" vertical="center"/>
    </xf>
    <xf numFmtId="9" fontId="0" fillId="32" borderId="443" applyAlignment="1" pivotButton="0" quotePrefix="0" xfId="6">
      <alignment horizontal="center" vertical="center"/>
    </xf>
    <xf numFmtId="9" fontId="0" fillId="32" borderId="439" applyAlignment="1" pivotButton="0" quotePrefix="0" xfId="6">
      <alignment horizontal="center" vertical="center"/>
    </xf>
    <xf numFmtId="9" fontId="0" fillId="32" borderId="438" applyAlignment="1" pivotButton="0" quotePrefix="0" xfId="6">
      <alignment horizontal="center" vertical="center"/>
    </xf>
    <xf numFmtId="0" fontId="31" fillId="32" borderId="427" applyAlignment="1" pivotButton="0" quotePrefix="0" xfId="28">
      <alignment horizontal="left"/>
    </xf>
    <xf numFmtId="0" fontId="31" fillId="32" borderId="72" applyAlignment="1" pivotButton="0" quotePrefix="0" xfId="28">
      <alignment horizontal="left"/>
    </xf>
    <xf numFmtId="0" fontId="31" fillId="32" borderId="441" applyAlignment="1" pivotButton="0" quotePrefix="0" xfId="28">
      <alignment horizontal="left"/>
    </xf>
    <xf numFmtId="0" fontId="31" fillId="32" borderId="440" applyAlignment="1" pivotButton="0" quotePrefix="0" xfId="28">
      <alignment horizontal="left"/>
    </xf>
    <xf numFmtId="0" fontId="79" fillId="16" borderId="259" applyAlignment="1" pivotButton="0" quotePrefix="0" xfId="14">
      <alignment horizontal="center" vertical="center" wrapText="1"/>
    </xf>
    <xf numFmtId="0" fontId="162" fillId="0" borderId="259" pivotButton="0" quotePrefix="0" xfId="116"/>
    <xf numFmtId="0" fontId="126" fillId="16" borderId="259" applyAlignment="1" pivotButton="0" quotePrefix="0" xfId="14">
      <alignment horizontal="center" vertical="center"/>
    </xf>
    <xf numFmtId="49" fontId="79" fillId="16" borderId="74" applyAlignment="1" pivotButton="0" quotePrefix="0" xfId="16">
      <alignment horizontal="center" vertical="center" wrapText="1"/>
    </xf>
    <xf numFmtId="0" fontId="178" fillId="0" borderId="142" applyAlignment="1" pivotButton="0" quotePrefix="0" xfId="115">
      <alignment horizontal="left" vertical="center"/>
    </xf>
    <xf numFmtId="0" fontId="178" fillId="0" borderId="109" applyAlignment="1" pivotButton="0" quotePrefix="0" xfId="115">
      <alignment horizontal="left" vertical="center"/>
    </xf>
    <xf numFmtId="0" fontId="178" fillId="0" borderId="151" applyAlignment="1" pivotButton="0" quotePrefix="0" xfId="115">
      <alignment horizontal="left" vertical="center"/>
    </xf>
    <xf numFmtId="0" fontId="178" fillId="0" borderId="89" applyAlignment="1" pivotButton="0" quotePrefix="0" xfId="115">
      <alignment horizontal="left" vertical="center"/>
    </xf>
    <xf numFmtId="0" fontId="178" fillId="0" borderId="72" applyAlignment="1" pivotButton="0" quotePrefix="0" xfId="115">
      <alignment horizontal="left" vertical="center"/>
    </xf>
    <xf numFmtId="0" fontId="178" fillId="0" borderId="88" applyAlignment="1" pivotButton="0" quotePrefix="0" xfId="115">
      <alignment horizontal="left" vertical="center"/>
    </xf>
    <xf numFmtId="0" fontId="179" fillId="0" borderId="388" applyAlignment="1" pivotButton="0" quotePrefix="0" xfId="115">
      <alignment horizontal="left" vertical="center"/>
    </xf>
    <xf numFmtId="0" fontId="179" fillId="0" borderId="389" applyAlignment="1" pivotButton="0" quotePrefix="0" xfId="115">
      <alignment horizontal="left" vertical="center"/>
    </xf>
    <xf numFmtId="0" fontId="179" fillId="0" borderId="390" applyAlignment="1" pivotButton="0" quotePrefix="0" xfId="115">
      <alignment horizontal="left" vertical="center"/>
    </xf>
    <xf numFmtId="0" fontId="178" fillId="0" borderId="368" applyAlignment="1" pivotButton="0" quotePrefix="0" xfId="115">
      <alignment horizontal="left" vertical="center"/>
    </xf>
    <xf numFmtId="0" fontId="6" fillId="0" borderId="109" pivotButton="0" quotePrefix="0" xfId="118"/>
    <xf numFmtId="0" fontId="6" fillId="0" borderId="151" pivotButton="0" quotePrefix="0" xfId="118"/>
    <xf numFmtId="0" fontId="6" fillId="0" borderId="89" pivotButton="0" quotePrefix="0" xfId="118"/>
    <xf numFmtId="0" fontId="176" fillId="0" borderId="72" pivotButton="0" quotePrefix="0" xfId="115"/>
    <xf numFmtId="0" fontId="6" fillId="0" borderId="88" pivotButton="0" quotePrefix="0" xfId="118"/>
    <xf numFmtId="0" fontId="179" fillId="0" borderId="398" applyAlignment="1" pivotButton="0" quotePrefix="0" xfId="115">
      <alignment horizontal="left" vertical="center"/>
    </xf>
    <xf numFmtId="0" fontId="6" fillId="0" borderId="389" pivotButton="0" quotePrefix="0" xfId="118"/>
    <xf numFmtId="0" fontId="6" fillId="0" borderId="390" pivotButton="0" quotePrefix="0" xfId="118"/>
    <xf numFmtId="0" fontId="101" fillId="3" borderId="124" applyAlignment="1" pivotButton="0" quotePrefix="0" xfId="94">
      <alignment horizontal="center" vertical="center"/>
    </xf>
    <xf numFmtId="0" fontId="98" fillId="0" borderId="125" pivotButton="0" quotePrefix="0" xfId="94"/>
    <xf numFmtId="0" fontId="98" fillId="0" borderId="126" pivotButton="0" quotePrefix="0" xfId="94"/>
    <xf numFmtId="0" fontId="103" fillId="23" borderId="48" applyAlignment="1" pivotButton="0" quotePrefix="0" xfId="97">
      <alignment horizontal="center" vertical="center" wrapText="1"/>
    </xf>
    <xf numFmtId="0" fontId="98" fillId="0" borderId="49" pivotButton="0" quotePrefix="0" xfId="97"/>
    <xf numFmtId="0" fontId="98" fillId="0" borderId="132" pivotButton="0" quotePrefix="0" xfId="97"/>
    <xf numFmtId="0" fontId="33" fillId="0" borderId="72" applyAlignment="1" pivotButton="0" quotePrefix="0" xfId="97">
      <alignment horizontal="center"/>
    </xf>
    <xf numFmtId="0" fontId="10" fillId="0" borderId="72" pivotButton="0" quotePrefix="0" xfId="97"/>
    <xf numFmtId="0" fontId="101" fillId="3" borderId="124" applyAlignment="1" pivotButton="0" quotePrefix="0" xfId="97">
      <alignment horizontal="center" vertical="center"/>
    </xf>
    <xf numFmtId="0" fontId="101" fillId="3" borderId="125" applyAlignment="1" pivotButton="0" quotePrefix="0" xfId="97">
      <alignment horizontal="center" vertical="center"/>
    </xf>
    <xf numFmtId="0" fontId="101" fillId="3" borderId="126" applyAlignment="1" pivotButton="0" quotePrefix="0" xfId="97">
      <alignment horizontal="center" vertical="center"/>
    </xf>
    <xf numFmtId="0" fontId="103" fillId="23" borderId="163" applyAlignment="1" pivotButton="0" quotePrefix="0" xfId="97">
      <alignment horizontal="center" vertical="center" wrapText="1"/>
    </xf>
    <xf numFmtId="0" fontId="98" fillId="0" borderId="164" pivotButton="0" quotePrefix="0" xfId="97"/>
    <xf numFmtId="0" fontId="122" fillId="27" borderId="134" applyAlignment="1" pivotButton="0" quotePrefix="0" xfId="94">
      <alignment horizontal="left" vertical="center" wrapText="1"/>
    </xf>
    <xf numFmtId="0" fontId="122" fillId="27" borderId="135" applyAlignment="1" pivotButton="0" quotePrefix="0" xfId="94">
      <alignment horizontal="left" vertical="center" wrapText="1"/>
    </xf>
    <xf numFmtId="0" fontId="101" fillId="3" borderId="163" applyAlignment="1" pivotButton="0" quotePrefix="0" xfId="97">
      <alignment horizontal="center" vertical="center"/>
    </xf>
    <xf numFmtId="0" fontId="101" fillId="3" borderId="164" applyAlignment="1" pivotButton="0" quotePrefix="0" xfId="97">
      <alignment horizontal="center" vertical="center"/>
    </xf>
    <xf numFmtId="0" fontId="101" fillId="3" borderId="165" applyAlignment="1" pivotButton="0" quotePrefix="0" xfId="97">
      <alignment horizontal="center" vertical="center"/>
    </xf>
    <xf numFmtId="43" fontId="135" fillId="5" borderId="281" applyAlignment="1" pivotButton="0" quotePrefix="0" xfId="15">
      <alignment horizontal="center" vertical="center" wrapText="1"/>
    </xf>
    <xf numFmtId="43" fontId="135" fillId="5" borderId="284" applyAlignment="1" pivotButton="0" quotePrefix="0" xfId="15">
      <alignment horizontal="center" vertical="center"/>
    </xf>
    <xf numFmtId="43" fontId="135" fillId="5" borderId="282" applyAlignment="1" pivotButton="0" quotePrefix="0" xfId="15">
      <alignment horizontal="center" vertical="center" wrapText="1"/>
    </xf>
    <xf numFmtId="43" fontId="135" fillId="5" borderId="285" applyAlignment="1" pivotButton="0" quotePrefix="0" xfId="15">
      <alignment horizontal="center" vertical="center"/>
    </xf>
    <xf numFmtId="0" fontId="139" fillId="3" borderId="70" applyAlignment="1" pivotButton="0" quotePrefix="0" xfId="72">
      <alignment horizontal="left" vertical="center"/>
    </xf>
    <xf numFmtId="0" fontId="139" fillId="3" borderId="72" applyAlignment="1" pivotButton="0" quotePrefix="0" xfId="72">
      <alignment horizontal="left" vertical="center"/>
    </xf>
    <xf numFmtId="43" fontId="135" fillId="5" borderId="274" applyAlignment="1" pivotButton="0" quotePrefix="0" xfId="15">
      <alignment horizontal="center" vertical="center"/>
    </xf>
    <xf numFmtId="43" fontId="135" fillId="5" borderId="278" applyAlignment="1" pivotButton="0" quotePrefix="0" xfId="15">
      <alignment horizontal="center" vertical="center"/>
    </xf>
    <xf numFmtId="43" fontId="135" fillId="5" borderId="283" applyAlignment="1" pivotButton="0" quotePrefix="0" xfId="15">
      <alignment horizontal="center" vertical="center"/>
    </xf>
    <xf numFmtId="43" fontId="135" fillId="5" borderId="275" applyAlignment="1" pivotButton="0" quotePrefix="0" xfId="15">
      <alignment horizontal="center" vertical="center"/>
    </xf>
    <xf numFmtId="43" fontId="135" fillId="5" borderId="259" applyAlignment="1" pivotButton="0" quotePrefix="0" xfId="15">
      <alignment horizontal="center" vertical="center"/>
    </xf>
    <xf numFmtId="43" fontId="135" fillId="5" borderId="208" applyAlignment="1" pivotButton="0" quotePrefix="0" xfId="15">
      <alignment horizontal="center" vertical="center"/>
    </xf>
    <xf numFmtId="173" fontId="135" fillId="5" borderId="275" applyAlignment="1" pivotButton="0" quotePrefix="0" xfId="74">
      <alignment horizontal="center" vertical="center"/>
    </xf>
    <xf numFmtId="173" fontId="135" fillId="5" borderId="259" applyAlignment="1" pivotButton="0" quotePrefix="0" xfId="74">
      <alignment horizontal="center" vertical="center"/>
    </xf>
    <xf numFmtId="173" fontId="135" fillId="5" borderId="208" applyAlignment="1" pivotButton="0" quotePrefix="0" xfId="74">
      <alignment horizontal="center" vertical="center"/>
    </xf>
    <xf numFmtId="173" fontId="135" fillId="5" borderId="276" applyAlignment="1" pivotButton="0" quotePrefix="0" xfId="74">
      <alignment horizontal="center" vertical="center"/>
    </xf>
    <xf numFmtId="173" fontId="135" fillId="5" borderId="76" applyAlignment="1" pivotButton="0" quotePrefix="0" xfId="74">
      <alignment horizontal="center" vertical="center"/>
    </xf>
    <xf numFmtId="173" fontId="135" fillId="5" borderId="77" applyAlignment="1" pivotButton="0" quotePrefix="0" xfId="74">
      <alignment horizontal="center" vertical="center"/>
    </xf>
    <xf numFmtId="0" fontId="138" fillId="44" borderId="159" applyAlignment="1" pivotButton="0" quotePrefix="0" xfId="75">
      <alignment horizontal="center" vertical="center" wrapText="1"/>
    </xf>
    <xf numFmtId="0" fontId="138" fillId="44" borderId="113" applyAlignment="1" pivotButton="0" quotePrefix="0" xfId="75">
      <alignment horizontal="center" vertical="center" wrapText="1"/>
    </xf>
    <xf numFmtId="0" fontId="138" fillId="44" borderId="277" applyAlignment="1" pivotButton="0" quotePrefix="0" xfId="75">
      <alignment horizontal="center" vertical="center" wrapText="1"/>
    </xf>
    <xf numFmtId="43" fontId="138" fillId="44" borderId="159" applyAlignment="1" pivotButton="0" quotePrefix="0" xfId="15">
      <alignment horizontal="center" vertical="center" wrapText="1"/>
    </xf>
    <xf numFmtId="43" fontId="138" fillId="44" borderId="113" applyAlignment="1" pivotButton="0" quotePrefix="0" xfId="15">
      <alignment horizontal="center" vertical="center" wrapText="1"/>
    </xf>
    <xf numFmtId="43" fontId="138" fillId="44" borderId="277" applyAlignment="1" pivotButton="0" quotePrefix="0" xfId="15">
      <alignment horizontal="center" vertical="center" wrapText="1"/>
    </xf>
    <xf numFmtId="43" fontId="135" fillId="5" borderId="284" applyAlignment="1" pivotButton="0" quotePrefix="0" xfId="15">
      <alignment horizontal="center" vertical="center" wrapText="1"/>
    </xf>
    <xf numFmtId="43" fontId="135" fillId="5" borderId="285" applyAlignment="1" pivotButton="0" quotePrefix="0" xfId="15">
      <alignment horizontal="center" vertical="center" wrapText="1"/>
    </xf>
    <xf numFmtId="4" fontId="71" fillId="0" borderId="108" applyAlignment="1" pivotButton="0" quotePrefix="0" xfId="26">
      <alignment horizontal="center" vertical="center" wrapText="1"/>
    </xf>
    <xf numFmtId="4" fontId="71" fillId="0" borderId="238" applyAlignment="1" pivotButton="0" quotePrefix="0" xfId="26">
      <alignment horizontal="center" vertical="center" wrapText="1"/>
    </xf>
    <xf numFmtId="4" fontId="71" fillId="38" borderId="108" applyAlignment="1" pivotButton="0" quotePrefix="0" xfId="26">
      <alignment horizontal="center" vertical="center" wrapText="1"/>
    </xf>
    <xf numFmtId="4" fontId="71" fillId="38" borderId="107" applyAlignment="1" pivotButton="0" quotePrefix="0" xfId="26">
      <alignment horizontal="center" vertical="center" wrapText="1"/>
    </xf>
    <xf numFmtId="0" fontId="126" fillId="16" borderId="247" applyAlignment="1" pivotButton="0" quotePrefix="0" xfId="14">
      <alignment horizontal="center" vertical="center"/>
    </xf>
    <xf numFmtId="0" fontId="126" fillId="16" borderId="250" applyAlignment="1" pivotButton="0" quotePrefix="0" xfId="14">
      <alignment horizontal="center" vertical="center"/>
    </xf>
    <xf numFmtId="0" fontId="83" fillId="16" borderId="248" applyAlignment="1" pivotButton="0" quotePrefix="0" xfId="14">
      <alignment horizontal="center" vertical="center" wrapText="1"/>
    </xf>
    <xf numFmtId="0" fontId="83" fillId="16" borderId="251" applyAlignment="1" pivotButton="0" quotePrefix="0" xfId="14">
      <alignment horizontal="center" vertical="center" wrapText="1"/>
    </xf>
    <xf numFmtId="0" fontId="83" fillId="16" borderId="249" applyAlignment="1" pivotButton="0" quotePrefix="0" xfId="14">
      <alignment horizontal="center" vertical="center" wrapText="1"/>
    </xf>
    <xf numFmtId="0" fontId="83" fillId="16" borderId="247" applyAlignment="1" pivotButton="0" quotePrefix="0" xfId="14">
      <alignment horizontal="center" vertical="center" wrapText="1"/>
    </xf>
    <xf numFmtId="0" fontId="125" fillId="0" borderId="74" applyAlignment="1" pivotButton="0" quotePrefix="0" xfId="73">
      <alignment horizontal="center"/>
    </xf>
    <xf numFmtId="164" fontId="88" fillId="13" borderId="58" applyAlignment="1" pivotButton="0" quotePrefix="0" xfId="73">
      <alignment horizontal="center"/>
    </xf>
    <xf numFmtId="0" fontId="31" fillId="0" borderId="59" pivotButton="0" quotePrefix="0" xfId="73"/>
    <xf numFmtId="0" fontId="31" fillId="0" borderId="39" pivotButton="0" quotePrefix="0" xfId="73"/>
    <xf numFmtId="0" fontId="59" fillId="4" borderId="76" applyAlignment="1" pivotButton="0" quotePrefix="0" xfId="93">
      <alignment horizontal="center" vertical="center" wrapText="1"/>
    </xf>
    <xf numFmtId="0" fontId="59" fillId="4" borderId="61" applyAlignment="1" pivotButton="0" quotePrefix="0" xfId="93">
      <alignment horizontal="center" vertical="center" wrapText="1"/>
    </xf>
    <xf numFmtId="0" fontId="59" fillId="4" borderId="184" applyAlignment="1" pivotButton="0" quotePrefix="0" xfId="93">
      <alignment horizontal="center" vertical="center" wrapText="1"/>
    </xf>
    <xf numFmtId="0" fontId="59" fillId="4" borderId="28" applyAlignment="1" pivotButton="0" quotePrefix="0" xfId="93">
      <alignment horizontal="center" vertical="center" wrapText="1"/>
    </xf>
    <xf numFmtId="0" fontId="53" fillId="29" borderId="48" applyAlignment="1" pivotButton="0" quotePrefix="0" xfId="73">
      <alignment horizontal="center" vertical="center"/>
    </xf>
    <xf numFmtId="0" fontId="31" fillId="17" borderId="49" applyAlignment="1" pivotButton="0" quotePrefix="0" xfId="73">
      <alignment vertical="center"/>
    </xf>
    <xf numFmtId="0" fontId="31" fillId="17" borderId="50" applyAlignment="1" pivotButton="0" quotePrefix="0" xfId="73">
      <alignment vertical="center"/>
    </xf>
    <xf numFmtId="0" fontId="88" fillId="13" borderId="51" applyAlignment="1" pivotButton="0" quotePrefix="0" xfId="73">
      <alignment horizontal="center" vertical="center"/>
    </xf>
    <xf numFmtId="0" fontId="31" fillId="0" borderId="53" pivotButton="0" quotePrefix="0" xfId="73"/>
    <xf numFmtId="164" fontId="88" fillId="13" borderId="51" applyAlignment="1" pivotButton="0" quotePrefix="0" xfId="73">
      <alignment horizontal="center" vertical="center"/>
    </xf>
    <xf numFmtId="164" fontId="88" fillId="13" borderId="31" applyAlignment="1" pivotButton="0" quotePrefix="0" xfId="73">
      <alignment horizontal="center" vertical="center"/>
    </xf>
    <xf numFmtId="0" fontId="31" fillId="0" borderId="7" pivotButton="0" quotePrefix="0" xfId="73"/>
    <xf numFmtId="0" fontId="31" fillId="0" borderId="32" pivotButton="0" quotePrefix="0" xfId="73"/>
    <xf numFmtId="0" fontId="130" fillId="32" borderId="74" applyAlignment="1" pivotButton="0" quotePrefix="0" xfId="0">
      <alignment horizontal="center" vertical="center"/>
    </xf>
    <xf numFmtId="0" fontId="130" fillId="32" borderId="74" applyAlignment="1" pivotButton="0" quotePrefix="0" xfId="28">
      <alignment horizontal="center" vertical="center" wrapText="1"/>
    </xf>
    <xf numFmtId="0" fontId="130" fillId="32" borderId="210" applyAlignment="1" pivotButton="0" quotePrefix="0" xfId="28">
      <alignment horizontal="center"/>
    </xf>
    <xf numFmtId="0" fontId="130" fillId="32" borderId="72" applyAlignment="1" pivotButton="0" quotePrefix="0" xfId="28">
      <alignment horizontal="center"/>
    </xf>
    <xf numFmtId="0" fontId="130" fillId="32" borderId="209" applyAlignment="1" pivotButton="0" quotePrefix="0" xfId="28">
      <alignment horizontal="center"/>
    </xf>
    <xf numFmtId="0" fontId="188" fillId="0" borderId="72" pivotButton="0" quotePrefix="0" xfId="126"/>
    <xf numFmtId="0" fontId="5" fillId="0" borderId="72" pivotButton="0" quotePrefix="0" xfId="126"/>
    <xf numFmtId="0" fontId="195" fillId="72" borderId="399" applyAlignment="1" pivotButton="0" quotePrefix="0" xfId="126">
      <alignment horizontal="center" vertical="center" wrapText="1"/>
    </xf>
    <xf numFmtId="0" fontId="5" fillId="72" borderId="399" pivotButton="0" quotePrefix="0" xfId="126"/>
    <xf numFmtId="0" fontId="193" fillId="12" borderId="72" pivotButton="0" quotePrefix="0" xfId="126"/>
    <xf numFmtId="0" fontId="5" fillId="12" borderId="72" pivotButton="0" quotePrefix="0" xfId="126"/>
    <xf numFmtId="0" fontId="195" fillId="69" borderId="399" applyAlignment="1" pivotButton="0" quotePrefix="0" xfId="126">
      <alignment horizontal="left" vertical="center" wrapText="1"/>
    </xf>
    <xf numFmtId="0" fontId="5" fillId="69" borderId="399" pivotButton="0" quotePrefix="0" xfId="126"/>
    <xf numFmtId="0" fontId="199" fillId="75" borderId="72" applyAlignment="1" pivotButton="0" quotePrefix="0" xfId="126">
      <alignment horizontal="center" vertical="center" wrapText="1"/>
    </xf>
    <xf numFmtId="0" fontId="5" fillId="75" borderId="72" pivotButton="0" quotePrefix="0" xfId="126"/>
    <xf numFmtId="0" fontId="195" fillId="68" borderId="399" applyAlignment="1" pivotButton="0" quotePrefix="0" xfId="126">
      <alignment horizontal="left" vertical="center" wrapText="1"/>
    </xf>
    <xf numFmtId="0" fontId="5" fillId="68" borderId="399" pivotButton="0" quotePrefix="0" xfId="126"/>
    <xf numFmtId="0" fontId="195" fillId="70" borderId="399" applyAlignment="1" pivotButton="0" quotePrefix="0" xfId="126">
      <alignment horizontal="left" vertical="center" wrapText="1"/>
    </xf>
    <xf numFmtId="0" fontId="5" fillId="70" borderId="399" pivotButton="0" quotePrefix="0" xfId="126"/>
    <xf numFmtId="0" fontId="195" fillId="71" borderId="399" applyAlignment="1" pivotButton="0" quotePrefix="0" xfId="126">
      <alignment horizontal="left" vertical="center" wrapText="1"/>
    </xf>
    <xf numFmtId="0" fontId="5" fillId="71" borderId="399" pivotButton="0" quotePrefix="0" xfId="126"/>
    <xf numFmtId="0" fontId="198" fillId="74" borderId="399" applyAlignment="1" pivotButton="0" quotePrefix="0" xfId="126">
      <alignment horizontal="center" vertical="center" wrapText="1"/>
    </xf>
    <xf numFmtId="0" fontId="5" fillId="74" borderId="399" pivotButton="0" quotePrefix="0" xfId="126"/>
    <xf numFmtId="0" fontId="198" fillId="73" borderId="399" applyAlignment="1" pivotButton="0" quotePrefix="0" xfId="126">
      <alignment horizontal="center" vertical="center" wrapText="1"/>
    </xf>
    <xf numFmtId="0" fontId="5" fillId="73" borderId="399" pivotButton="0" quotePrefix="0" xfId="126"/>
    <xf numFmtId="0" fontId="214" fillId="2" borderId="72" applyAlignment="1" pivotButton="0" quotePrefix="0" xfId="131">
      <alignment horizontal="center" vertical="center"/>
    </xf>
    <xf numFmtId="0" fontId="3" fillId="0" borderId="72" pivotButton="0" quotePrefix="0" xfId="131"/>
    <xf numFmtId="172" fontId="72" fillId="0" borderId="354" applyAlignment="1" pivotButton="0" quotePrefix="1" xfId="15">
      <alignment horizontal="left" vertical="center" wrapText="1"/>
    </xf>
    <xf numFmtId="0" fontId="138" fillId="16" borderId="75" applyAlignment="1" pivotButton="0" quotePrefix="0" xfId="14">
      <alignment horizontal="center" vertical="center"/>
    </xf>
    <xf numFmtId="0" fontId="138" fillId="16" borderId="119" applyAlignment="1" pivotButton="0" quotePrefix="0" xfId="14">
      <alignment horizontal="center" vertical="center"/>
    </xf>
    <xf numFmtId="0" fontId="138" fillId="16" borderId="120" applyAlignment="1" pivotButton="0" quotePrefix="0" xfId="14">
      <alignment horizontal="center" vertical="center"/>
    </xf>
    <xf numFmtId="172" fontId="72" fillId="0" borderId="111" applyAlignment="1" pivotButton="0" quotePrefix="1" xfId="15">
      <alignment horizontal="left" vertical="center"/>
    </xf>
    <xf numFmtId="176" fontId="119" fillId="4" borderId="150" applyAlignment="1" pivotButton="0" quotePrefix="0" xfId="29">
      <alignment vertical="center" wrapText="1"/>
    </xf>
    <xf numFmtId="177" fontId="119" fillId="4" borderId="150" applyAlignment="1" pivotButton="0" quotePrefix="0" xfId="29">
      <alignment vertical="center" wrapText="1"/>
    </xf>
    <xf numFmtId="190" fontId="119" fillId="4" borderId="150" applyAlignment="1" pivotButton="0" quotePrefix="0" xfId="29">
      <alignment vertical="center" wrapText="1"/>
    </xf>
    <xf numFmtId="190" fontId="69" fillId="0" borderId="72" pivotButton="0" quotePrefix="0" xfId="29"/>
    <xf numFmtId="191" fontId="156" fillId="0" borderId="153" applyAlignment="1" pivotButton="0" quotePrefix="0" xfId="29">
      <alignment horizontal="center"/>
    </xf>
    <xf numFmtId="191" fontId="156" fillId="0" borderId="162" applyAlignment="1" pivotButton="0" quotePrefix="0" xfId="29">
      <alignment horizontal="center"/>
    </xf>
    <xf numFmtId="191" fontId="156" fillId="0" borderId="72" applyAlignment="1" pivotButton="0" quotePrefix="0" xfId="29">
      <alignment horizontal="center"/>
    </xf>
    <xf numFmtId="0" fontId="0" fillId="0" borderId="453" pivotButton="0" quotePrefix="0" xfId="0"/>
    <xf numFmtId="0" fontId="0" fillId="0" borderId="151" pivotButton="0" quotePrefix="0" xfId="0"/>
    <xf numFmtId="0" fontId="0" fillId="0" borderId="89" pivotButton="0" quotePrefix="0" xfId="0"/>
    <xf numFmtId="0" fontId="0" fillId="0" borderId="88" pivotButton="0" quotePrefix="0" xfId="0"/>
    <xf numFmtId="0" fontId="0" fillId="0" borderId="389" pivotButton="0" quotePrefix="0" xfId="0"/>
    <xf numFmtId="0" fontId="0" fillId="0" borderId="390" pivotButton="0" quotePrefix="0" xfId="0"/>
    <xf numFmtId="168" fontId="58" fillId="4" borderId="57" applyAlignment="1" pivotButton="0" quotePrefix="0" xfId="94">
      <alignment horizontal="left" vertical="center" wrapText="1"/>
    </xf>
    <xf numFmtId="164" fontId="58" fillId="4" borderId="69" applyAlignment="1" pivotButton="0" quotePrefix="0" xfId="94">
      <alignment horizontal="left" vertical="center" wrapText="1"/>
    </xf>
    <xf numFmtId="164" fontId="58" fillId="4" borderId="59" applyAlignment="1" pivotButton="0" quotePrefix="0" xfId="94">
      <alignment horizontal="left" vertical="center" wrapText="1"/>
    </xf>
    <xf numFmtId="0" fontId="101" fillId="3" borderId="454" applyAlignment="1" pivotButton="0" quotePrefix="0" xfId="94">
      <alignment horizontal="center" vertical="center"/>
    </xf>
    <xf numFmtId="0" fontId="0" fillId="0" borderId="125" pivotButton="0" quotePrefix="0" xfId="0"/>
    <xf numFmtId="0" fontId="0" fillId="0" borderId="126" pivotButton="0" quotePrefix="0" xfId="0"/>
    <xf numFmtId="164" fontId="102" fillId="4" borderId="7" applyAlignment="1" pivotButton="0" quotePrefix="0" xfId="94">
      <alignment horizontal="center"/>
    </xf>
    <xf numFmtId="164" fontId="33" fillId="0" borderId="4" pivotButton="0" quotePrefix="0" xfId="94"/>
    <xf numFmtId="164" fontId="102" fillId="4" borderId="72" applyAlignment="1" pivotButton="0" quotePrefix="0" xfId="94">
      <alignment horizontal="center"/>
    </xf>
    <xf numFmtId="164" fontId="103" fillId="3" borderId="10" applyAlignment="1" pivotButton="0" quotePrefix="0" xfId="94">
      <alignment horizontal="center" vertical="center" wrapText="1"/>
    </xf>
    <xf numFmtId="164" fontId="59" fillId="4" borderId="5" applyAlignment="1" pivotButton="0" quotePrefix="0" xfId="94">
      <alignment horizontal="center" vertical="center" wrapText="1"/>
    </xf>
    <xf numFmtId="164" fontId="59" fillId="4" borderId="67" applyAlignment="1" pivotButton="0" quotePrefix="0" xfId="94">
      <alignment vertical="center" wrapText="1"/>
    </xf>
    <xf numFmtId="164" fontId="103" fillId="22" borderId="14" applyAlignment="1" pivotButton="0" quotePrefix="0" xfId="94">
      <alignment horizontal="center" vertical="center" wrapText="1"/>
    </xf>
    <xf numFmtId="164" fontId="103" fillId="22" borderId="15" applyAlignment="1" pivotButton="0" quotePrefix="0" xfId="94">
      <alignment vertical="center" wrapText="1"/>
    </xf>
    <xf numFmtId="164" fontId="103" fillId="3" borderId="63" applyAlignment="1" pivotButton="0" quotePrefix="0" xfId="94">
      <alignment horizontal="center" vertical="center" wrapText="1"/>
    </xf>
    <xf numFmtId="164" fontId="105" fillId="4" borderId="65" applyAlignment="1" pivotButton="0" quotePrefix="0" xfId="94">
      <alignment horizontal="center" vertical="center" wrapText="1"/>
    </xf>
    <xf numFmtId="164" fontId="105" fillId="0" borderId="66" applyAlignment="1" pivotButton="0" quotePrefix="0" xfId="94">
      <alignment vertical="center" wrapText="1"/>
    </xf>
    <xf numFmtId="164" fontId="103" fillId="22" borderId="37" applyAlignment="1" pivotButton="0" quotePrefix="0" xfId="94">
      <alignment horizontal="center" vertical="center" wrapText="1"/>
    </xf>
    <xf numFmtId="164" fontId="103" fillId="22" borderId="130" applyAlignment="1" pivotButton="0" quotePrefix="0" xfId="94">
      <alignment vertical="center" wrapText="1"/>
    </xf>
    <xf numFmtId="164" fontId="40" fillId="4" borderId="65" applyAlignment="1" pivotButton="0" quotePrefix="0" xfId="94">
      <alignment horizontal="center" vertical="center" wrapText="1"/>
    </xf>
    <xf numFmtId="164" fontId="40" fillId="4" borderId="66" applyAlignment="1" pivotButton="0" quotePrefix="0" xfId="94">
      <alignment vertical="center" wrapText="1"/>
    </xf>
    <xf numFmtId="164" fontId="40" fillId="4" borderId="97" applyAlignment="1" pivotButton="0" quotePrefix="0" xfId="94">
      <alignment horizontal="center" vertical="center" wrapText="1"/>
    </xf>
    <xf numFmtId="164" fontId="48" fillId="4" borderId="98" applyAlignment="1" pivotButton="0" quotePrefix="0" xfId="94">
      <alignment vertical="center" wrapText="1"/>
    </xf>
    <xf numFmtId="164" fontId="35" fillId="22" borderId="4" applyAlignment="1" pivotButton="0" quotePrefix="0" xfId="94">
      <alignment horizontal="center" vertical="center" wrapText="1"/>
    </xf>
    <xf numFmtId="164" fontId="35" fillId="22" borderId="12" applyAlignment="1" pivotButton="0" quotePrefix="0" xfId="94">
      <alignment vertical="center" wrapText="1"/>
    </xf>
    <xf numFmtId="164" fontId="59" fillId="4" borderId="72" applyAlignment="1" pivotButton="0" quotePrefix="0" xfId="94">
      <alignment horizontal="center"/>
    </xf>
    <xf numFmtId="164" fontId="105" fillId="4" borderId="22" applyAlignment="1" pivotButton="0" quotePrefix="0" xfId="94">
      <alignment vertical="center" wrapText="1"/>
    </xf>
    <xf numFmtId="164" fontId="103" fillId="22" borderId="97" applyAlignment="1" pivotButton="0" quotePrefix="0" xfId="94">
      <alignment horizontal="center" vertical="center" wrapText="1"/>
    </xf>
    <xf numFmtId="164" fontId="103" fillId="22" borderId="98" applyAlignment="1" pivotButton="0" quotePrefix="0" xfId="94">
      <alignment vertical="center" wrapText="1"/>
    </xf>
    <xf numFmtId="164" fontId="59" fillId="4" borderId="65" applyAlignment="1" pivotButton="0" quotePrefix="0" xfId="94">
      <alignment horizontal="center" vertical="center" wrapText="1"/>
    </xf>
    <xf numFmtId="164" fontId="59" fillId="4" borderId="98" applyAlignment="1" pivotButton="0" quotePrefix="0" xfId="94">
      <alignment vertical="center" wrapText="1"/>
    </xf>
    <xf numFmtId="164" fontId="103" fillId="22" borderId="4" applyAlignment="1" pivotButton="0" quotePrefix="0" xfId="94">
      <alignment horizontal="center" vertical="center" wrapText="1"/>
    </xf>
    <xf numFmtId="164" fontId="103" fillId="22" borderId="12" applyAlignment="1" pivotButton="0" quotePrefix="0" xfId="94">
      <alignment vertical="center" wrapText="1"/>
    </xf>
    <xf numFmtId="164" fontId="59" fillId="4" borderId="22" applyAlignment="1" pivotButton="0" quotePrefix="0" xfId="94">
      <alignment vertical="center" wrapText="1"/>
    </xf>
    <xf numFmtId="164" fontId="102" fillId="4" borderId="27" applyAlignment="1" pivotButton="0" quotePrefix="0" xfId="94">
      <alignment horizontal="center"/>
    </xf>
    <xf numFmtId="164" fontId="59" fillId="4" borderId="66" applyAlignment="1" pivotButton="0" quotePrefix="0" xfId="94">
      <alignment vertical="center" wrapText="1"/>
    </xf>
    <xf numFmtId="164" fontId="59" fillId="4" borderId="97" applyAlignment="1" pivotButton="0" quotePrefix="0" xfId="94">
      <alignment horizontal="center" vertical="center" wrapText="1"/>
    </xf>
    <xf numFmtId="164" fontId="104" fillId="4" borderId="22" applyAlignment="1" pivotButton="0" quotePrefix="0" xfId="94">
      <alignment vertical="center" wrapText="1"/>
    </xf>
    <xf numFmtId="168" fontId="43" fillId="0" borderId="3" applyAlignment="1" pivotButton="0" quotePrefix="1" xfId="0">
      <alignment horizontal="left" vertical="center"/>
    </xf>
    <xf numFmtId="168" fontId="43" fillId="0" borderId="33" applyAlignment="1" pivotButton="0" quotePrefix="1" xfId="0">
      <alignment horizontal="left" vertical="center"/>
    </xf>
    <xf numFmtId="168" fontId="43" fillId="0" borderId="0" applyAlignment="1" pivotButton="0" quotePrefix="0" xfId="0">
      <alignment horizontal="left" vertical="center"/>
    </xf>
    <xf numFmtId="168" fontId="32" fillId="0" borderId="3" applyAlignment="1" pivotButton="0" quotePrefix="0" xfId="0">
      <alignment horizontal="left" vertical="center"/>
    </xf>
    <xf numFmtId="49" fontId="45" fillId="2" borderId="4" applyAlignment="1" pivotButton="0" quotePrefix="0" xfId="0">
      <alignment horizontal="center" vertical="center" wrapText="1"/>
    </xf>
    <xf numFmtId="0" fontId="0" fillId="0" borderId="59" pivotButton="0" quotePrefix="0" xfId="0"/>
    <xf numFmtId="0" fontId="0" fillId="0" borderId="39" pivotButton="0" quotePrefix="0" xfId="0"/>
    <xf numFmtId="169" fontId="46" fillId="0" borderId="0" applyAlignment="1" pivotButton="0" quotePrefix="0" xfId="0">
      <alignment horizontal="left" vertical="center"/>
    </xf>
    <xf numFmtId="170" fontId="46" fillId="0" borderId="0" applyAlignment="1" pivotButton="0" quotePrefix="0" xfId="0">
      <alignment horizontal="left" vertical="center"/>
    </xf>
    <xf numFmtId="169" fontId="66" fillId="0" borderId="72" applyAlignment="1" pivotButton="0" quotePrefix="0" xfId="58">
      <alignment horizontal="left" vertical="center"/>
    </xf>
    <xf numFmtId="170" fontId="66" fillId="0" borderId="72" applyAlignment="1" pivotButton="0" quotePrefix="0" xfId="58">
      <alignment horizontal="left" vertical="center"/>
    </xf>
    <xf numFmtId="164" fontId="50" fillId="0" borderId="0" applyAlignment="1" pivotButton="0" quotePrefix="0" xfId="0">
      <alignment vertical="center"/>
    </xf>
    <xf numFmtId="0" fontId="0" fillId="0" borderId="421" pivotButton="0" quotePrefix="0" xfId="0"/>
    <xf numFmtId="0" fontId="0" fillId="0" borderId="425" pivotButton="0" quotePrefix="0" xfId="0"/>
    <xf numFmtId="0" fontId="0" fillId="0" borderId="451" pivotButton="0" quotePrefix="0" xfId="0"/>
    <xf numFmtId="0" fontId="0" fillId="0" borderId="208" pivotButton="0" quotePrefix="0" xfId="0"/>
    <xf numFmtId="196" fontId="129" fillId="35" borderId="414" applyAlignment="1" pivotButton="0" quotePrefix="0" xfId="6">
      <alignment horizontal="center" vertical="center"/>
    </xf>
    <xf numFmtId="196" fontId="0" fillId="47" borderId="414" applyAlignment="1" pivotButton="0" quotePrefix="0" xfId="6">
      <alignment horizontal="center" vertical="center"/>
    </xf>
    <xf numFmtId="196" fontId="0" fillId="34" borderId="414" applyAlignment="1" pivotButton="0" quotePrefix="0" xfId="6">
      <alignment horizontal="center" vertical="center"/>
    </xf>
    <xf numFmtId="196" fontId="0" fillId="33" borderId="414" applyAlignment="1" pivotButton="0" quotePrefix="0" xfId="6">
      <alignment horizontal="center" vertical="center"/>
    </xf>
    <xf numFmtId="196" fontId="0" fillId="32" borderId="414" applyAlignment="1" pivotButton="0" quotePrefix="0" xfId="6">
      <alignment horizontal="center" vertical="center"/>
    </xf>
    <xf numFmtId="0" fontId="0" fillId="0" borderId="78" pivotButton="0" quotePrefix="0" xfId="0"/>
    <xf numFmtId="0" fontId="0" fillId="0" borderId="116" pivotButton="0" quotePrefix="0" xfId="0"/>
    <xf numFmtId="196" fontId="0" fillId="94" borderId="414" applyAlignment="1" pivotButton="0" quotePrefix="0" xfId="6">
      <alignment horizontal="center" vertical="center"/>
    </xf>
    <xf numFmtId="196" fontId="0" fillId="94" borderId="414" applyAlignment="1" pivotButton="0" quotePrefix="0" xfId="6">
      <alignment horizontal="left" vertical="top" wrapText="1"/>
    </xf>
    <xf numFmtId="196" fontId="0" fillId="32" borderId="414" applyAlignment="1" pivotButton="0" quotePrefix="0" xfId="6">
      <alignment horizontal="left" vertical="top" wrapText="1"/>
    </xf>
    <xf numFmtId="196" fontId="0" fillId="33" borderId="414" applyAlignment="1" pivotButton="0" quotePrefix="0" xfId="6">
      <alignment horizontal="left" vertical="top" wrapText="1"/>
    </xf>
    <xf numFmtId="0" fontId="52" fillId="36" borderId="452" applyAlignment="1" pivotButton="0" quotePrefix="0" xfId="28">
      <alignment horizontal="center" vertical="center"/>
    </xf>
    <xf numFmtId="0" fontId="0" fillId="0" borderId="448" pivotButton="0" quotePrefix="0" xfId="0"/>
    <xf numFmtId="0" fontId="0" fillId="0" borderId="446" pivotButton="0" quotePrefix="0" xfId="0"/>
    <xf numFmtId="9" fontId="0" fillId="32" borderId="414" applyAlignment="1" pivotButton="0" quotePrefix="0" xfId="6">
      <alignment horizontal="center" vertical="center"/>
    </xf>
    <xf numFmtId="0" fontId="0" fillId="0" borderId="444" pivotButton="0" quotePrefix="0" xfId="0"/>
    <xf numFmtId="0" fontId="0" fillId="0" borderId="443" pivotButton="0" quotePrefix="0" xfId="0"/>
    <xf numFmtId="0" fontId="0" fillId="0" borderId="440" pivotButton="0" quotePrefix="0" xfId="0"/>
    <xf numFmtId="0" fontId="0" fillId="0" borderId="439" pivotButton="0" quotePrefix="0" xfId="0"/>
    <xf numFmtId="0" fontId="0" fillId="0" borderId="438" pivotButton="0" quotePrefix="0" xfId="0"/>
    <xf numFmtId="168" fontId="58" fillId="4" borderId="57" applyAlignment="1" pivotButton="0" quotePrefix="0" xfId="118">
      <alignment horizontal="left" vertical="center" wrapText="1"/>
    </xf>
    <xf numFmtId="164" fontId="58" fillId="4" borderId="69" applyAlignment="1" pivotButton="0" quotePrefix="0" xfId="117">
      <alignment horizontal="left" vertical="center" wrapText="1"/>
    </xf>
    <xf numFmtId="164" fontId="58" fillId="4" borderId="59" applyAlignment="1" pivotButton="0" quotePrefix="0" xfId="117">
      <alignment horizontal="left" vertical="center" wrapText="1"/>
    </xf>
    <xf numFmtId="164" fontId="58" fillId="4" borderId="267" applyAlignment="1" pivotButton="0" quotePrefix="0" xfId="117">
      <alignment horizontal="left" vertical="center" wrapText="1"/>
    </xf>
    <xf numFmtId="0" fontId="0" fillId="0" borderId="259" pivotButton="0" quotePrefix="0" xfId="0"/>
    <xf numFmtId="172" fontId="85" fillId="0" borderId="93" applyAlignment="1" pivotButton="0" quotePrefix="1" xfId="15">
      <alignment horizontal="left" vertical="center"/>
    </xf>
    <xf numFmtId="172" fontId="85" fillId="0" borderId="76" applyAlignment="1" pivotButton="0" quotePrefix="1" xfId="15">
      <alignment horizontal="left" vertical="center"/>
    </xf>
    <xf numFmtId="172" fontId="85" fillId="0" borderId="72" applyAlignment="1" pivotButton="0" quotePrefix="1" xfId="15">
      <alignment horizontal="left" vertical="center"/>
    </xf>
    <xf numFmtId="172" fontId="71" fillId="0" borderId="93" applyAlignment="1" pivotButton="0" quotePrefix="1" xfId="15">
      <alignment horizontal="left" vertical="center"/>
    </xf>
    <xf numFmtId="0" fontId="0" fillId="0" borderId="85" pivotButton="0" quotePrefix="0" xfId="0"/>
    <xf numFmtId="175" fontId="74" fillId="24" borderId="72" applyAlignment="1" pivotButton="0" quotePrefix="0" xfId="10">
      <alignment vertical="center"/>
    </xf>
    <xf numFmtId="43" fontId="81" fillId="0" borderId="72" applyAlignment="1" pivotButton="0" quotePrefix="0" xfId="33">
      <alignment vertical="center"/>
    </xf>
    <xf numFmtId="173" fontId="68" fillId="0" borderId="72" applyAlignment="1" pivotButton="0" quotePrefix="0" xfId="16">
      <alignment horizontal="left" vertical="center"/>
    </xf>
    <xf numFmtId="175" fontId="81" fillId="0" borderId="72" applyAlignment="1" pivotButton="0" quotePrefix="0" xfId="33">
      <alignment vertical="center"/>
    </xf>
    <xf numFmtId="164" fontId="34" fillId="37" borderId="0" applyAlignment="1" pivotButton="0" quotePrefix="0" xfId="0">
      <alignment horizontal="center"/>
    </xf>
    <xf numFmtId="164" fontId="37" fillId="7" borderId="16" applyAlignment="1" pivotButton="0" quotePrefix="0" xfId="0">
      <alignment horizontal="left" vertical="center"/>
    </xf>
    <xf numFmtId="164" fontId="37" fillId="58" borderId="16" applyAlignment="1" pivotButton="0" quotePrefix="0" xfId="0">
      <alignment horizontal="left" vertical="center"/>
    </xf>
    <xf numFmtId="164" fontId="38" fillId="15" borderId="16" applyAlignment="1" pivotButton="0" quotePrefix="0" xfId="0">
      <alignment horizontal="left" vertical="center"/>
    </xf>
    <xf numFmtId="164" fontId="38" fillId="0" borderId="16" applyAlignment="1" pivotButton="0" quotePrefix="0" xfId="0">
      <alignment horizontal="left" vertical="center"/>
    </xf>
    <xf numFmtId="173" fontId="89" fillId="15" borderId="118" applyAlignment="1" pivotButton="0" quotePrefix="0" xfId="31">
      <alignment horizontal="left" vertical="center"/>
    </xf>
    <xf numFmtId="174" fontId="89" fillId="0" borderId="118" applyAlignment="1" pivotButton="0" quotePrefix="0" xfId="31">
      <alignment horizontal="left" vertical="center"/>
    </xf>
    <xf numFmtId="173" fontId="89" fillId="0" borderId="118" applyAlignment="1" pivotButton="0" quotePrefix="0" xfId="31">
      <alignment horizontal="left" vertical="center"/>
    </xf>
    <xf numFmtId="165" fontId="38" fillId="0" borderId="16" applyAlignment="1" pivotButton="0" quotePrefix="0" xfId="0">
      <alignment horizontal="left" vertical="center"/>
    </xf>
    <xf numFmtId="173" fontId="168" fillId="15" borderId="118" applyAlignment="1" pivotButton="0" quotePrefix="0" xfId="31">
      <alignment horizontal="left" vertical="center"/>
    </xf>
    <xf numFmtId="164" fontId="89" fillId="15" borderId="16" applyAlignment="1" pivotButton="0" quotePrefix="0" xfId="0">
      <alignment horizontal="left" vertical="center"/>
    </xf>
    <xf numFmtId="174" fontId="89" fillId="0" borderId="118" applyAlignment="1" pivotButton="0" quotePrefix="0" xfId="23">
      <alignment horizontal="left" vertical="center"/>
    </xf>
    <xf numFmtId="164" fontId="38" fillId="57" borderId="16" applyAlignment="1" pivotButton="0" quotePrefix="0" xfId="0">
      <alignment horizontal="left" vertical="center"/>
    </xf>
    <xf numFmtId="174" fontId="89" fillId="0" borderId="118" applyAlignment="1" pivotButton="0" quotePrefix="0" xfId="33">
      <alignment horizontal="left" vertical="center"/>
    </xf>
    <xf numFmtId="164" fontId="38" fillId="15" borderId="16" applyAlignment="1" pivotButton="0" quotePrefix="0" xfId="0">
      <alignment vertical="center"/>
    </xf>
    <xf numFmtId="173" fontId="89" fillId="15" borderId="118" applyAlignment="1" pivotButton="0" quotePrefix="0" xfId="31">
      <alignment vertical="center"/>
    </xf>
    <xf numFmtId="167" fontId="32" fillId="0" borderId="0" applyAlignment="1" pivotButton="0" quotePrefix="0" xfId="0">
      <alignment horizontal="center"/>
    </xf>
    <xf numFmtId="164" fontId="34" fillId="0" borderId="0" applyAlignment="1" pivotButton="0" quotePrefix="0" xfId="0">
      <alignment horizontal="center"/>
    </xf>
    <xf numFmtId="164" fontId="38" fillId="18" borderId="16" applyAlignment="1" pivotButton="0" quotePrefix="0" xfId="0">
      <alignment horizontal="left" vertical="center"/>
    </xf>
    <xf numFmtId="164" fontId="38" fillId="14" borderId="16" applyAlignment="1" pivotButton="0" quotePrefix="0" xfId="0">
      <alignment horizontal="left" vertical="center"/>
    </xf>
    <xf numFmtId="164" fontId="38" fillId="0" borderId="16" applyAlignment="1" pivotButton="0" quotePrefix="1" xfId="0">
      <alignment horizontal="left" vertical="center"/>
    </xf>
  </cellXfs>
  <cellStyles count="135">
    <cellStyle name="Normal" xfId="0" builtinId="0"/>
    <cellStyle name="Vírgula 31" xfId="1"/>
    <cellStyle name="Moeda 9" xfId="2"/>
    <cellStyle name="Normal 2 2 2 2" xfId="3"/>
    <cellStyle name="Moeda" xfId="4" builtinId="4"/>
    <cellStyle name="Normal 2" xfId="5"/>
    <cellStyle name="Porcentagem 2" xfId="6"/>
    <cellStyle name="Normal 3" xfId="7"/>
    <cellStyle name="Normal 34 2" xfId="8"/>
    <cellStyle name="Normal 4" xfId="9"/>
    <cellStyle name="Moeda 2" xfId="10"/>
    <cellStyle name="Moeda 16" xfId="11"/>
    <cellStyle name="Vírgula 31 2" xfId="12"/>
    <cellStyle name="Normal 10" xfId="13"/>
    <cellStyle name="Normal 8" xfId="14"/>
    <cellStyle name="Vírgula 3 2" xfId="15"/>
    <cellStyle name="Normal 4 2" xfId="16"/>
    <cellStyle name="Normal 27 2" xfId="17"/>
    <cellStyle name="Vírgula 2 2" xfId="18"/>
    <cellStyle name="Vírgula 23 3" xfId="19"/>
    <cellStyle name="Vírgula 3 4 2" xfId="20"/>
    <cellStyle name="Moeda 3" xfId="21"/>
    <cellStyle name="Normal 5" xfId="22"/>
    <cellStyle name="Vírgula" xfId="23" builtinId="3"/>
    <cellStyle name="Normal 39" xfId="24"/>
    <cellStyle name="Vírgula 30" xfId="25"/>
    <cellStyle name="Vírgula 8" xfId="26"/>
    <cellStyle name="Separador de milhares 4" xfId="27"/>
    <cellStyle name="Normal 11 2" xfId="28"/>
    <cellStyle name="Normal 2 4" xfId="29"/>
    <cellStyle name="Normal 6" xfId="30"/>
    <cellStyle name="Vírgula 26 2" xfId="31"/>
    <cellStyle name="Normal 31 2" xfId="32"/>
    <cellStyle name="Vírgula 5 2" xfId="33"/>
    <cellStyle name="Normal 2 2 2" xfId="34"/>
    <cellStyle name="Hiperlink 2" xfId="35"/>
    <cellStyle name="Normal 36" xfId="36"/>
    <cellStyle name="Normal 37" xfId="37"/>
    <cellStyle name="Vírgula 26" xfId="38"/>
    <cellStyle name="Normal 28" xfId="39"/>
    <cellStyle name="Normal 7" xfId="40"/>
    <cellStyle name="Moeda 9 2" xfId="41"/>
    <cellStyle name="Normal 14 6 2" xfId="42"/>
    <cellStyle name="Vírgula 9 4 2" xfId="43"/>
    <cellStyle name="Vírgula 26 3" xfId="44"/>
    <cellStyle name="Normal 39 2" xfId="45"/>
    <cellStyle name="Vírgula 30 2" xfId="46"/>
    <cellStyle name="Normal_LD_01_estruturas" xfId="47"/>
    <cellStyle name="Normal_LD_estrutura_arm_escadas" xfId="48"/>
    <cellStyle name="Normal 9" xfId="49"/>
    <cellStyle name="Vírgula 2" xfId="50"/>
    <cellStyle name="Vírgula 4" xfId="51"/>
    <cellStyle name="Vírgula 2 2 2" xfId="52"/>
    <cellStyle name="Vírgula 3" xfId="53"/>
    <cellStyle name="Moeda 2 2" xfId="54"/>
    <cellStyle name="Normal 28 2" xfId="55"/>
    <cellStyle name="Vírgula 7 4" xfId="56"/>
    <cellStyle name="Normal 14 5" xfId="57"/>
    <cellStyle name="Normal 2 2 2 2 2" xfId="58"/>
    <cellStyle name="Normal 31" xfId="59"/>
    <cellStyle name="Normal 9 2 2 2" xfId="60"/>
    <cellStyle name="Moeda 3 2 2" xfId="61"/>
    <cellStyle name="Vírgula 20 4 2" xfId="62"/>
    <cellStyle name="Normal 16 4 2" xfId="63"/>
    <cellStyle name="Vírgula 10 3 2" xfId="64"/>
    <cellStyle name="Porcentagem 3" xfId="65"/>
    <cellStyle name="Normal 14 4 2" xfId="66"/>
    <cellStyle name="Normal 28 4" xfId="67"/>
    <cellStyle name="Vírgula 33" xfId="68"/>
    <cellStyle name="Normal 39 3" xfId="69"/>
    <cellStyle name="Normal 7 2" xfId="70"/>
    <cellStyle name="Vírgula 23 2" xfId="71"/>
    <cellStyle name="Normal 28 2 2" xfId="72"/>
    <cellStyle name="Normal 6 2" xfId="73"/>
    <cellStyle name="Vírgula 7 4 2" xfId="74"/>
    <cellStyle name="Normal 14 5 2" xfId="75"/>
    <cellStyle name="Normal 34 2 2" xfId="76"/>
    <cellStyle name="Vírgula 31 3" xfId="77"/>
    <cellStyle name="Moeda 16 2" xfId="78"/>
    <cellStyle name="Normal 11" xfId="79"/>
    <cellStyle name="Normal 18" xfId="80"/>
    <cellStyle name="Normal 34 2 4" xfId="81"/>
    <cellStyle name="Vírgula 31 4" xfId="82"/>
    <cellStyle name="Moeda 16 5" xfId="83"/>
    <cellStyle name="Moeda 2 2 2" xfId="84"/>
    <cellStyle name="Normal 34 2 3" xfId="85"/>
    <cellStyle name="Vírgula 31 5" xfId="86"/>
    <cellStyle name="Moeda 16 3" xfId="87"/>
    <cellStyle name="Normal 39 2 2" xfId="88"/>
    <cellStyle name="Vírgula 30 2 2" xfId="89"/>
    <cellStyle name="Vírgula 33 2" xfId="90"/>
    <cellStyle name="Normal 39 3 2" xfId="91"/>
    <cellStyle name="Normal 12" xfId="92"/>
    <cellStyle name="Normal 37 2" xfId="93"/>
    <cellStyle name="Normal 36 2" xfId="94"/>
    <cellStyle name="Normal 13" xfId="95"/>
    <cellStyle name="Vírgula 5" xfId="96"/>
    <cellStyle name="Normal 37 3" xfId="97"/>
    <cellStyle name="Normal 27 2 2" xfId="98"/>
    <cellStyle name="Vírgula 26 4" xfId="99"/>
    <cellStyle name="Normal 34 2 2 2" xfId="100"/>
    <cellStyle name="Vírgula 31 3 2" xfId="101"/>
    <cellStyle name="Moeda 16 2 2" xfId="102"/>
    <cellStyle name="Normal 34 2 3 2" xfId="103"/>
    <cellStyle name="Vírgula 31 5 2" xfId="104"/>
    <cellStyle name="Moeda 16 3 2" xfId="105"/>
    <cellStyle name="Moeda 4" xfId="106"/>
    <cellStyle name="Normal 34 2 4 2" xfId="107"/>
    <cellStyle name="Vírgula 31 4 2" xfId="108"/>
    <cellStyle name="Moeda 16 5 2" xfId="109"/>
    <cellStyle name="Porcentagem" xfId="110" builtinId="5"/>
    <cellStyle name="Normal 14" xfId="111"/>
    <cellStyle name="Normal 34 2 2 2 2" xfId="112"/>
    <cellStyle name="Vírgula 31 3 2 2" xfId="113"/>
    <cellStyle name="Moeda 16 2 2 2" xfId="114"/>
    <cellStyle name="Normal 11 3" xfId="115"/>
    <cellStyle name="Normal 15" xfId="116"/>
    <cellStyle name="Normal 37 4" xfId="117"/>
    <cellStyle name="Normal 36 3" xfId="118"/>
    <cellStyle name="Normal 34 2 2 2 3" xfId="119"/>
    <cellStyle name="Normal 2 4 2" xfId="120"/>
    <cellStyle name="Moeda 2 3" xfId="121"/>
    <cellStyle name="Vírgula 31 3 2 3" xfId="122"/>
    <cellStyle name="Moeda 16 2 2 3" xfId="123"/>
    <cellStyle name="Vírgula 5 2 2" xfId="124"/>
    <cellStyle name="Vírgula 3 2 2" xfId="125"/>
    <cellStyle name="Normal 16" xfId="126"/>
    <cellStyle name="Normal 34 2 2 2 4" xfId="127"/>
    <cellStyle name="Vírgula 31 3 2 4" xfId="128"/>
    <cellStyle name="Moeda 16 2 2 4" xfId="129"/>
    <cellStyle name="Normal 17" xfId="130"/>
    <cellStyle name="Normal 19" xfId="131"/>
    <cellStyle name="Normal 20" xfId="132"/>
    <cellStyle name="Moeda 5" xfId="133"/>
    <cellStyle name="Normal 21" xfId="134"/>
  </cellStyles>
  <dxfs count="20292"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D7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color rgb="FFFF0000"/>
      </font>
      <fill>
        <patternFill>
          <bgColor rgb="FFFECAD1"/>
        </patternFill>
      </fill>
    </dxf>
    <dxf>
      <font>
        <color rgb="FFFF0000"/>
      </font>
      <fill>
        <patternFill>
          <bgColor rgb="FFFECAD1"/>
        </patternFill>
      </fill>
    </dxf>
    <dxf>
      <font>
        <color rgb="FFFF0000"/>
      </font>
      <fill>
        <patternFill>
          <bgColor rgb="FFFECAD1"/>
        </patternFill>
      </fill>
    </dxf>
    <dxf>
      <font>
        <color rgb="FFFF0000"/>
      </font>
      <fill>
        <patternFill>
          <bgColor rgb="FFFECAD1"/>
        </patternFill>
      </fill>
    </dxf>
    <dxf>
      <font>
        <color rgb="FF3F3151"/>
      </font>
      <fill>
        <patternFill patternType="solid">
          <fgColor rgb="FFCCC0D9"/>
          <bgColor rgb="FFCCC0D9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31859B"/>
      </font>
      <fill>
        <patternFill patternType="solid">
          <fgColor rgb="FFB6DDE8"/>
          <bgColor rgb="FFB6DDE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ill>
        <patternFill patternType="solid">
          <fgColor rgb="FFD7D7D7"/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color rgb="FFFF0000"/>
      </font>
      <fill>
        <patternFill>
          <bgColor rgb="FFFECAD1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color rgb="FFFF0000"/>
      </font>
      <fill>
        <patternFill>
          <bgColor rgb="FFFECAD1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>
          <bgColor auto="1"/>
        </patternFill>
      </fill>
    </dxf>
    <dxf>
      <font/>
      <fill>
        <patternFill>
          <bgColor auto="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>
          <bgColor auto="1"/>
        </patternFill>
      </fill>
    </dxf>
    <dxf>
      <font/>
      <fill>
        <patternFill>
          <bgColor auto="1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color rgb="FFFF0000"/>
      </font>
      <fill>
        <patternFill patternType="solid">
          <fgColor rgb="FFFECAD1"/>
          <bgColor rgb="FFFECAD1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/>
      <fill>
        <patternFill patternType="solid">
          <bgColor rgb="FFD7D7D7"/>
        </patternFill>
      </fill>
    </dxf>
    <dxf>
      <font>
        <b val="1"/>
      </font>
      <fill>
        <patternFill patternType="solid">
          <bgColor rgb="FFBABABA"/>
        </patternFill>
      </fill>
    </dxf>
    <dxf>
      <font>
        <b val="1"/>
      </font>
      <fill>
        <patternFill patternType="solid">
          <fgColor rgb="FFBABABA"/>
          <bgColor rgb="FFBABABA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1"/>
      </font>
      <fill>
        <patternFill>
          <bgColor auto="1"/>
        </patternFill>
      </fill>
    </dxf>
    <dxf>
      <font>
        <b val="1"/>
        <color theme="0"/>
      </font>
      <fill>
        <patternFill>
          <bgColor rgb="FF255AE5"/>
        </patternFill>
      </fill>
    </dxf>
    <dxf>
      <font>
        <b val="1"/>
      </font>
      <fill>
        <patternFill>
          <bgColor auto="1"/>
        </patternFill>
      </fill>
    </dxf>
    <dxf>
      <font>
        <color theme="1" tint="0.499984740745262"/>
      </font>
      <fill>
        <patternFill>
          <bgColor auto="1"/>
        </patternFill>
      </fill>
    </dxf>
    <dxf>
      <font>
        <b val="1"/>
      </font>
      <fill>
        <patternFill>
          <bgColor auto="1"/>
        </patternFill>
      </fill>
    </dxf>
    <dxf>
      <font>
        <b val="1"/>
        <color theme="0"/>
      </font>
      <fill>
        <patternFill>
          <bgColor rgb="FF255AE5"/>
        </patternFill>
      </fill>
    </dxf>
    <dxf>
      <font>
        <b val="1"/>
      </font>
      <fill>
        <patternFill>
          <bgColor auto="1"/>
        </patternFill>
      </fill>
    </dxf>
    <dxf>
      <font>
        <color theme="1" tint="0.499984740745262"/>
      </font>
      <fill>
        <patternFill>
          <bgColor auto="1"/>
        </patternFill>
      </fill>
    </dxf>
    <dxf>
      <font>
        <b val="1"/>
      </font>
      <fill>
        <patternFill>
          <bgColor auto="1"/>
        </patternFill>
      </fill>
    </dxf>
    <dxf>
      <font>
        <b val="1"/>
        <color theme="0"/>
      </font>
      <fill>
        <patternFill>
          <bgColor rgb="FF255AE5"/>
        </patternFill>
      </fill>
    </dxf>
    <dxf>
      <font>
        <b val="1"/>
      </font>
      <fill>
        <patternFill>
          <bgColor auto="1"/>
        </patternFill>
      </fill>
    </dxf>
    <dxf>
      <font>
        <color theme="1" tint="0.499984740745262"/>
      </font>
      <fill>
        <patternFill>
          <bgColor auto="1"/>
        </patternFill>
      </fill>
    </dxf>
    <dxf>
      <font>
        <color rgb="FF000000"/>
      </font>
      <fill>
        <patternFill patternType="solid">
          <fgColor indexed="64"/>
          <bgColor rgb="FFFFD7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</font>
      <fill>
        <patternFill patternType="solid">
          <fgColor rgb="FFD8D8D8"/>
          <bgColor rgb="FFD8D8D8"/>
        </patternFill>
      </fill>
    </dxf>
    <dxf>
      <font>
        <b val="1"/>
      </font>
      <fill>
        <patternFill patternType="solid">
          <fgColor rgb="FF7F7F7F"/>
          <bgColor rgb="FF7F7F7F"/>
        </patternFill>
      </fill>
    </dxf>
    <dxf>
      <font>
        <b val="1"/>
        <color theme="0"/>
      </font>
      <fill>
        <patternFill patternType="solid">
          <fgColor rgb="FF3F3F3F"/>
          <bgColor rgb="FF3F3F3F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theme="0"/>
      </font>
      <fill>
        <patternFill>
          <bgColor theme="1" tint="0.249946592608417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49998474074526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  <color auto="1"/>
      </font>
      <fill>
        <patternFill>
          <bgColor theme="0" tint="-0.1499679555650502"/>
        </patternFill>
      </fill>
    </dxf>
    <dxf>
      <font>
        <b val="1"/>
      </font>
    </dxf>
    <dxf>
      <font>
        <b val="1"/>
        <color theme="0"/>
      </font>
      <fill>
        <patternFill>
          <fgColor theme="0"/>
          <bgColor rgb="FFFF0000"/>
        </patternFill>
      </fill>
    </dxf>
    <dxf>
      <font>
        <b val="1"/>
        <color theme="0"/>
      </font>
      <fill>
        <patternFill>
          <bgColor theme="6" tint="-0.499984740745262"/>
        </patternFill>
      </fill>
    </dxf>
    <dxf>
      <font>
        <b val="1"/>
      </font>
      <fill>
        <patternFill>
          <bgColor rgb="FF00B05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F218" authorId="0" shapeId="0">
      <text>
        <t>Valquiria
nº equipamentos x áreas</t>
      </text>
    </comment>
    <comment ref="F219" authorId="0" shapeId="0">
      <text>
        <t>Valquiria
nº equipamentos x áreas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620" authorId="0" shapeId="0">
      <text>
        <t>======
ID#AAABmoovRTY
tc={3BE85C88-755B-4E4B-852F-FD0B2A3DFAE4}    (2025-07-22 13:40:40)
[Comentário encadeado]
Sua versão do Excel permite que você leia este comentário encadeado, no entanto, as edições serão removidas se o arquivo for aberto em uma versão mais recente do Excel. Saiba mais: https://go.microsoft.com/fwlink/?linkid=870924
Comentário:
    Pedra Portuguesa Natural para Calçadas Branca - 1 m²</t>
      </text>
    </comment>
    <comment ref="B621" authorId="0" shapeId="0">
      <text>
        <t>======
ID#AAABmoovRSc
tc={1E04281B-84D4-44F9-A7B5-9EBEB69FD18D}    (2025-07-22 13:40:40)
[Comentário encadeado]
Sua versão do Excel permite que você leia este comentário encadeado, no entanto, as edições serão removidas se o arquivo for aberto em uma versão mais recente do Excel. Saiba mais: https://go.microsoft.com/fwlink/?linkid=870924
Comentário:
    Conforme as imagens, considerado - Miracema cinza 11,5x23cm m²</t>
      </text>
    </comment>
  </commentList>
</comments>
</file>

<file path=xl/drawings/_rels/drawing10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drawing10.xml><?xml version="1.0" encoding="utf-8"?>
<wsDr xmlns="http://schemas.openxmlformats.org/drawingml/2006/spreadsheetDrawing">
  <twoCellAnchor editAs="oneCell">
    <from>
      <col>10</col>
      <colOff>428625</colOff>
      <row>749</row>
      <rowOff>95665</rowOff>
    </from>
    <to>
      <col>27</col>
      <colOff>131245</colOff>
      <row>753</row>
      <rowOff>56985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3735050" y="146380615"/>
          <a:ext cx="9684820" cy="76142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aclk?sa=l&amp;ai=DChcSEwiE9NbFvbKLAxV20sIEHWzsKVUYABAnGgJwdg&amp;co=1&amp;gclid=Cj0KCQiA-5a9BhCBARIsACwMkJ6mW9Xf8EEJipNUyqJzW2YCHDGaSgz6LA9l0n3I7NTk56Hc-GIf_SwaAkDqEALw_wcB&amp;sig=AOD64_0MgBtzPPr6UGA5uHDcGh3RSs4gzA&amp;ctype=5&amp;q=&amp;ved=2ahUKEwi6uMvFvbKLAxVTpJUCHa-5BCoQ9aACKAB6BAgEECo&amp;adurl=" TargetMode="External" Id="rId1"/><Relationship Type="http://schemas.openxmlformats.org/officeDocument/2006/relationships/hyperlink" Target="https://www.google.com/aclk?sa=l&amp;ai=DChcSEwiE9NbFvbKLAxV20sIEHWzsKVUYABAnGgJwdg&amp;co=1&amp;gclid=Cj0KCQiA-5a9BhCBARIsACwMkJ6mW9Xf8EEJipNUyqJzW2YCHDGaSgz6LA9l0n3I7NTk56Hc-GIf_SwaAkDqEALw_wcB&amp;sig=AOD64_0MgBtzPPr6UGA5uHDcGh3RSs4gzA&amp;ctype=5&amp;q=&amp;ved=2ahUKEwi6uMvFvbKLAxVTpJUCHa-5BCoQ9aACKAB6BAgEECo&amp;adurl=" TargetMode="External" Id="rId2"/><Relationship Type="http://schemas.openxmlformats.org/officeDocument/2006/relationships/drawing" Target="/xl/drawings/drawing10.xml" Id="rId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1.xml><?xml version="1.0" encoding="utf-8"?>
<worksheet xmlns="http://schemas.openxmlformats.org/spreadsheetml/2006/main">
  <sheetPr codeName="Planilha9">
    <tabColor rgb="FFFFFF00"/>
    <outlinePr summaryBelow="0"/>
    <pageSetUpPr/>
  </sheetPr>
  <dimension ref="A1:AL5040"/>
  <sheetViews>
    <sheetView showGridLines="0" zoomScale="115" zoomScaleNormal="115" workbookViewId="0">
      <pane ySplit="1" topLeftCell="A2233" activePane="bottomLeft" state="frozen"/>
      <selection activeCell="D3300" sqref="D3300"/>
      <selection pane="bottomLeft" activeCell="D2246" sqref="D2246"/>
    </sheetView>
  </sheetViews>
  <sheetFormatPr baseColWidth="8" defaultColWidth="12.5703125" defaultRowHeight="15" customHeight="1" outlineLevelRow="3"/>
  <cols>
    <col width="4.28515625" customWidth="1" style="1064" min="1" max="1"/>
    <col width="7.140625" customWidth="1" style="1064" min="2" max="2"/>
    <col width="31.85546875" customWidth="1" style="1064" min="3" max="3"/>
    <col width="64.7109375" customWidth="1" style="1064" min="4" max="4"/>
    <col width="9.140625" bestFit="1" customWidth="1" style="1064" min="5" max="5"/>
    <col width="10.140625" customWidth="1" style="1064" min="6" max="6"/>
    <col width="7.140625" customWidth="1" style="1066" min="7" max="8"/>
    <col width="17.140625" customWidth="1" style="1064" min="9" max="11"/>
    <col width="8.5703125" customWidth="1" style="1064" min="12" max="25"/>
    <col width="12.5703125" customWidth="1" style="1064" min="26" max="38"/>
  </cols>
  <sheetData>
    <row r="1">
      <c r="A1" s="1059" t="inlineStr">
        <is>
          <t>Repetição</t>
        </is>
      </c>
      <c r="B1" s="1059" t="inlineStr">
        <is>
          <t>Tipo</t>
        </is>
      </c>
      <c r="C1" s="1060" t="inlineStr">
        <is>
          <t>Descrição</t>
        </is>
      </c>
      <c r="D1" s="1060" t="inlineStr">
        <is>
          <t>Descrição</t>
        </is>
      </c>
      <c r="E1" s="1060" t="inlineStr">
        <is>
          <t>Und</t>
        </is>
      </c>
      <c r="F1" s="1061" t="inlineStr">
        <is>
          <t>Quantidade</t>
        </is>
      </c>
      <c r="G1" s="1062" t="inlineStr">
        <is>
          <t>Custo unit.</t>
        </is>
      </c>
      <c r="H1" s="1062" t="inlineStr">
        <is>
          <t>Custo Total.</t>
        </is>
      </c>
      <c r="I1" s="2158" t="inlineStr">
        <is>
          <t>Quantidade</t>
        </is>
      </c>
      <c r="J1" s="2158" t="inlineStr">
        <is>
          <t>Cuto Total</t>
        </is>
      </c>
      <c r="K1" s="2158" t="inlineStr">
        <is>
          <t>Observgações</t>
        </is>
      </c>
    </row>
    <row r="2" ht="12.75" customHeight="1">
      <c r="A2" s="7" t="n">
        <v>1</v>
      </c>
      <c r="B2" s="7" t="inlineStr">
        <is>
          <t>Etapa</t>
        </is>
      </c>
      <c r="C2" s="7" t="inlineStr">
        <is>
          <t>Descrição</t>
        </is>
      </c>
      <c r="D2" s="7" t="inlineStr">
        <is>
          <t>CUSTOS INDIRETOS</t>
        </is>
      </c>
      <c r="E2" s="8" t="n"/>
      <c r="F2" s="7" t="n"/>
      <c r="G2" s="91">
        <f t="array" ref="G2">IF(B2="insumo",_xlfn.XLOOKUP($D2,Insumos!$B$1:$B$996,Insumos!$D$1:$D$996),"")</f>
        <v/>
      </c>
      <c r="H2" s="91" t="n">
        <v>0</v>
      </c>
      <c r="I2" s="2159" t="n">
        <v>0</v>
      </c>
      <c r="J2" s="2159" t="n">
        <v>0</v>
      </c>
      <c r="K2" s="2159" t="n"/>
    </row>
    <row r="3" outlineLevel="1" ht="15.75" customHeight="1">
      <c r="A3" s="1090" t="n">
        <v>1</v>
      </c>
      <c r="B3" s="1090" t="inlineStr">
        <is>
          <t>Subetapa</t>
        </is>
      </c>
      <c r="C3" s="1090" t="inlineStr">
        <is>
          <t>Descrição</t>
        </is>
      </c>
      <c r="D3" s="1090" t="inlineStr">
        <is>
          <t>INSTALAÇÕES PROVISÓRIAS</t>
        </is>
      </c>
      <c r="E3" s="1091" t="n"/>
      <c r="F3" s="1091" t="n"/>
      <c r="G3" s="1091" t="n"/>
      <c r="H3" s="1091" t="n">
        <v>0</v>
      </c>
      <c r="I3" s="2160" t="n">
        <v>0</v>
      </c>
      <c r="J3" s="2160" t="n">
        <v>0</v>
      </c>
      <c r="K3" s="2160" t="n"/>
    </row>
    <row r="4" outlineLevel="2" ht="12.75" customHeight="1">
      <c r="A4" s="1067" t="n">
        <v>1</v>
      </c>
      <c r="B4" s="1067" t="inlineStr">
        <is>
          <t>Serviço</t>
        </is>
      </c>
      <c r="C4" s="1067" t="inlineStr">
        <is>
          <t>Central de aço</t>
        </is>
      </c>
      <c r="D4" s="1067" t="inlineStr">
        <is>
          <t>Central de aço</t>
        </is>
      </c>
      <c r="E4" s="1068" t="inlineStr">
        <is>
          <t>M2</t>
        </is>
      </c>
      <c r="F4" s="1067" t="n"/>
      <c r="G4" s="1069">
        <f t="array" ref="G4">IF(B4="insumo",_xlfn.XLOOKUP($D4,Insumos!$B$1:$B$996,Insumos!$D$1:$D$996),"")</f>
        <v/>
      </c>
      <c r="H4" s="1069" t="n">
        <v>118.1045</v>
      </c>
      <c r="I4" s="2161" t="n">
        <v>0</v>
      </c>
      <c r="J4" s="2161" t="n">
        <v>0</v>
      </c>
      <c r="K4" s="2161" t="n"/>
    </row>
    <row r="5" outlineLevel="3" ht="12.75" customHeight="1">
      <c r="A5" s="10" t="n">
        <v>3</v>
      </c>
      <c r="B5" s="10" t="inlineStr">
        <is>
          <t>Insumo</t>
        </is>
      </c>
      <c r="C5" s="10" t="inlineStr">
        <is>
          <t>Central de aço</t>
        </is>
      </c>
      <c r="D5" s="10" t="inlineStr">
        <is>
          <t>LONA PLASTICA 120 MICRAS 4X100M PRETA</t>
        </is>
      </c>
      <c r="E5" s="11">
        <f t="array" ref="E5">_xlfn.XLOOKUP(D5,Insumos!B:B,Insumos!C:$C)</f>
        <v/>
      </c>
      <c r="F5" s="14" t="n">
        <v>1</v>
      </c>
      <c r="G5" s="92">
        <f t="array" ref="G5">IF(B5="insumo",_xlfn.XLOOKUP($D5,Insumos!$B$1:$B$996,Insumos!$D$1:$D$996),"")</f>
        <v/>
      </c>
      <c r="H5" s="92" t="n">
        <v>1.25</v>
      </c>
      <c r="I5" s="2162" t="n">
        <v>0</v>
      </c>
      <c r="J5" s="2162" t="n">
        <v>0</v>
      </c>
      <c r="K5" s="2162" t="n"/>
    </row>
    <row r="6" outlineLevel="3" ht="12.75" customHeight="1">
      <c r="A6" s="10" t="n">
        <v>3</v>
      </c>
      <c r="B6" s="10" t="inlineStr">
        <is>
          <t>Insumo</t>
        </is>
      </c>
      <c r="C6" s="10" t="inlineStr">
        <is>
          <t>Central de aço</t>
        </is>
      </c>
      <c r="D6" s="10" t="inlineStr">
        <is>
          <t>TELHA METALICA GALVANIZADA TRAPEZOIDAL 0,43MM NBR 14514</t>
        </is>
      </c>
      <c r="E6" s="11">
        <f t="array" ref="E6">_xlfn.XLOOKUP(D6,Insumos!B:B,Insumos!C:$C)</f>
        <v/>
      </c>
      <c r="F6" s="14" t="n">
        <v>1</v>
      </c>
      <c r="G6" s="92">
        <f t="array" ref="G6">IF(B6="insumo",_xlfn.XLOOKUP($D6,Insumos!$B$1:$B$996,Insumos!$D$1:$D$996),"")</f>
        <v/>
      </c>
      <c r="H6" s="92" t="n">
        <v>31</v>
      </c>
      <c r="I6" s="2162" t="n">
        <v>0</v>
      </c>
      <c r="J6" s="2162" t="n">
        <v>0</v>
      </c>
      <c r="K6" s="2162" t="n"/>
    </row>
    <row r="7" outlineLevel="3" ht="12.75" customHeight="1">
      <c r="A7" s="10" t="n">
        <v>9</v>
      </c>
      <c r="B7" s="10" t="inlineStr">
        <is>
          <t>Insumo</t>
        </is>
      </c>
      <c r="C7" s="10" t="inlineStr">
        <is>
          <t>Central de aço</t>
        </is>
      </c>
      <c r="D7" s="10" t="inlineStr">
        <is>
          <t>Concreto Usinado bombeável 20MPa Convencional</t>
        </is>
      </c>
      <c r="E7" s="11">
        <f t="array" ref="E7">_xlfn.XLOOKUP(D7,Insumos!B:B,Insumos!C:$C)</f>
        <v/>
      </c>
      <c r="F7" s="14" t="n">
        <v>0.074</v>
      </c>
      <c r="G7" s="92">
        <f t="array" ref="G7">IF(B7="insumo",_xlfn.XLOOKUP($D7,Insumos!$B$1:$B$996,Insumos!$D$1:$D$996),"")</f>
        <v/>
      </c>
      <c r="H7" s="92" t="n">
        <v>36.26</v>
      </c>
      <c r="I7" s="2162" t="n">
        <v>0</v>
      </c>
      <c r="J7" s="2162" t="n">
        <v>0</v>
      </c>
      <c r="K7" s="2162" t="n"/>
    </row>
    <row r="8" outlineLevel="3" ht="12.75" customHeight="1">
      <c r="A8" s="10" t="n">
        <v>3</v>
      </c>
      <c r="B8" s="10" t="inlineStr">
        <is>
          <t>Insumo</t>
        </is>
      </c>
      <c r="C8" s="10" t="inlineStr">
        <is>
          <t>Central de aço</t>
        </is>
      </c>
      <c r="D8" s="10" t="inlineStr">
        <is>
          <t>PREGO GALVANIZADO LISO S/CABECA 17X21 NBR 6627</t>
        </is>
      </c>
      <c r="E8" s="11">
        <f t="array" ref="E8">_xlfn.XLOOKUP(D8,Insumos!B:B,Insumos!C:$C)</f>
        <v/>
      </c>
      <c r="F8" s="14" t="n">
        <v>0.15</v>
      </c>
      <c r="G8" s="92">
        <f t="array" ref="G8">IF(B8="insumo",_xlfn.XLOOKUP($D8,Insumos!$B$1:$B$996,Insumos!$D$1:$D$996),"")</f>
        <v/>
      </c>
      <c r="H8" s="92" t="n">
        <v>1.5045</v>
      </c>
      <c r="I8" s="2162" t="n">
        <v>0</v>
      </c>
      <c r="J8" s="2162" t="n">
        <v>0</v>
      </c>
      <c r="K8" s="2162" t="n"/>
    </row>
    <row r="9" outlineLevel="3" ht="12.75" customHeight="1">
      <c r="A9" s="10" t="n">
        <v>3</v>
      </c>
      <c r="B9" s="10" t="inlineStr">
        <is>
          <t>Insumo</t>
        </is>
      </c>
      <c r="C9" s="10" t="inlineStr">
        <is>
          <t>Central de aço</t>
        </is>
      </c>
      <c r="D9" s="10" t="inlineStr">
        <is>
          <t>BLOCO CONCRETO ESTRUTURAL 03MPA 14X19X39CM NBR 6136</t>
        </is>
      </c>
      <c r="E9" s="11">
        <f t="array" ref="E9">_xlfn.XLOOKUP(D9,Insumos!B:B,Insumos!C:$C)</f>
        <v/>
      </c>
      <c r="F9" s="14" t="n">
        <v>9</v>
      </c>
      <c r="G9" s="92">
        <f t="array" ref="G9">IF(B9="insumo",_xlfn.XLOOKUP($D9,Insumos!$B$1:$B$996,Insumos!$D$1:$D$996),"")</f>
        <v/>
      </c>
      <c r="H9" s="92" t="n">
        <v>26.55</v>
      </c>
      <c r="I9" s="2162" t="n">
        <v>0</v>
      </c>
      <c r="J9" s="2162" t="n">
        <v>0</v>
      </c>
      <c r="K9" s="2162" t="n"/>
    </row>
    <row r="10" outlineLevel="3" ht="12.75" customHeight="1">
      <c r="A10" s="10" t="n">
        <v>3</v>
      </c>
      <c r="B10" s="10" t="inlineStr">
        <is>
          <t>Insumo</t>
        </is>
      </c>
      <c r="C10" s="10" t="inlineStr">
        <is>
          <t>Central de aço</t>
        </is>
      </c>
      <c r="D10" s="10" t="inlineStr">
        <is>
          <t>ARGAMASSA ENSACADA P/ASSENTAMENTO BLOCO 04MPA NBR 13281</t>
        </is>
      </c>
      <c r="E10" s="11">
        <f t="array" ref="E10">_xlfn.XLOOKUP(D10,Insumos!B:B,Insumos!C:$C)</f>
        <v/>
      </c>
      <c r="F10" s="14" t="n">
        <v>24</v>
      </c>
      <c r="G10" s="92">
        <f t="array" ref="G10">IF(B10="insumo",_xlfn.XLOOKUP($D10,Insumos!$B$1:$B$996,Insumos!$D$1:$D$996),"")</f>
        <v/>
      </c>
      <c r="H10" s="92" t="n">
        <v>11.04</v>
      </c>
      <c r="I10" s="2162" t="n">
        <v>0</v>
      </c>
      <c r="J10" s="2162" t="n">
        <v>0</v>
      </c>
      <c r="K10" s="2162" t="n"/>
    </row>
    <row r="11" outlineLevel="3" ht="12.75" customHeight="1">
      <c r="A11" s="10" t="n">
        <v>3</v>
      </c>
      <c r="B11" s="10" t="inlineStr">
        <is>
          <t>Insumo</t>
        </is>
      </c>
      <c r="C11" s="10" t="inlineStr">
        <is>
          <t>Central de aço</t>
        </is>
      </c>
      <c r="D11" s="10" t="inlineStr">
        <is>
          <t>SERVICO EMP. - INST. PROVISORIA - CONFECCAO BAIA P/MATERIAL</t>
        </is>
      </c>
      <c r="E11" s="11">
        <f t="array" ref="E11">_xlfn.XLOOKUP(D11,Insumos!B:B,Insumos!C:$C)</f>
        <v/>
      </c>
      <c r="F11" s="14" t="n">
        <v>1</v>
      </c>
      <c r="G11" s="92">
        <f t="array" ref="G11">IF(B11="insumo",_xlfn.XLOOKUP($D11,Insumos!$B$1:$B$996,Insumos!$D$1:$D$996),"")</f>
        <v/>
      </c>
      <c r="H11" s="92" t="n">
        <v>10.5</v>
      </c>
      <c r="I11" s="2162" t="n">
        <v>0</v>
      </c>
      <c r="J11" s="2162" t="n">
        <v>0</v>
      </c>
      <c r="K11" s="2162" t="n"/>
    </row>
    <row r="12" outlineLevel="2" ht="12.75" customHeight="1">
      <c r="A12" s="1067" t="n">
        <v>1</v>
      </c>
      <c r="B12" s="1067" t="inlineStr">
        <is>
          <t>Serviço</t>
        </is>
      </c>
      <c r="C12" s="1067" t="inlineStr">
        <is>
          <t>Central de fôrmas</t>
        </is>
      </c>
      <c r="D12" s="1067" t="inlineStr">
        <is>
          <t>Central de fôrmas</t>
        </is>
      </c>
      <c r="E12" s="1068" t="inlineStr">
        <is>
          <t>M2</t>
        </is>
      </c>
      <c r="F12" s="1067" t="n"/>
      <c r="G12" s="1069">
        <f t="array" ref="G12">IF(B12="insumo",_xlfn.XLOOKUP($D12,Insumos!$B$1:$B$996,Insumos!$D$1:$D$996),"")</f>
        <v/>
      </c>
      <c r="H12" s="1069" t="n">
        <v>118.1045</v>
      </c>
      <c r="I12" s="2161" t="n">
        <v>0</v>
      </c>
      <c r="J12" s="2161" t="n">
        <v>0</v>
      </c>
      <c r="K12" s="2161" t="n"/>
    </row>
    <row r="13" outlineLevel="3" ht="12.75" customHeight="1">
      <c r="A13" s="10" t="n">
        <v>3</v>
      </c>
      <c r="B13" s="10" t="inlineStr">
        <is>
          <t>Insumo</t>
        </is>
      </c>
      <c r="C13" s="10" t="inlineStr">
        <is>
          <t>Central de fôrmas</t>
        </is>
      </c>
      <c r="D13" s="10" t="inlineStr">
        <is>
          <t>LONA PLASTICA 120 MICRAS 4X100M PRETA</t>
        </is>
      </c>
      <c r="E13" s="11">
        <f t="array" ref="E13">_xlfn.XLOOKUP(D13,Insumos!B:B,Insumos!C:$C)</f>
        <v/>
      </c>
      <c r="F13" s="14" t="n">
        <v>1</v>
      </c>
      <c r="G13" s="92">
        <f t="array" ref="G13">IF(B13="insumo",_xlfn.XLOOKUP($D13,Insumos!$B$1:$B$996,Insumos!$D$1:$D$996),"")</f>
        <v/>
      </c>
      <c r="H13" s="92" t="n">
        <v>1.25</v>
      </c>
      <c r="I13" s="2162" t="n">
        <v>0</v>
      </c>
      <c r="J13" s="2162" t="n">
        <v>0</v>
      </c>
      <c r="K13" s="2162" t="n"/>
    </row>
    <row r="14" outlineLevel="3" ht="12.75" customHeight="1">
      <c r="A14" s="10" t="n">
        <v>3</v>
      </c>
      <c r="B14" s="10" t="inlineStr">
        <is>
          <t>Insumo</t>
        </is>
      </c>
      <c r="C14" s="10" t="inlineStr">
        <is>
          <t>Central de fôrmas</t>
        </is>
      </c>
      <c r="D14" s="10" t="inlineStr">
        <is>
          <t>TELHA METALICA GALVANIZADA TRAPEZOIDAL 0,43MM NBR 14514</t>
        </is>
      </c>
      <c r="E14" s="11">
        <f t="array" ref="E14">_xlfn.XLOOKUP(D14,Insumos!B:B,Insumos!C:$C)</f>
        <v/>
      </c>
      <c r="F14" s="14" t="n">
        <v>1</v>
      </c>
      <c r="G14" s="92">
        <f t="array" ref="G14">IF(B14="insumo",_xlfn.XLOOKUP($D14,Insumos!$B$1:$B$996,Insumos!$D$1:$D$996),"")</f>
        <v/>
      </c>
      <c r="H14" s="92" t="n">
        <v>31</v>
      </c>
      <c r="I14" s="2162" t="n">
        <v>0</v>
      </c>
      <c r="J14" s="2162" t="n">
        <v>0</v>
      </c>
      <c r="K14" s="2162" t="n"/>
    </row>
    <row r="15" outlineLevel="3" ht="12.75" customHeight="1">
      <c r="A15" s="10" t="n">
        <v>9</v>
      </c>
      <c r="B15" s="10" t="inlineStr">
        <is>
          <t>Insumo</t>
        </is>
      </c>
      <c r="C15" s="10" t="inlineStr">
        <is>
          <t>Central de fôrmas</t>
        </is>
      </c>
      <c r="D15" s="10" t="inlineStr">
        <is>
          <t>Concreto Usinado bombeável 20MPa Convencional</t>
        </is>
      </c>
      <c r="E15" s="11">
        <f t="array" ref="E15">_xlfn.XLOOKUP(D15,Insumos!B:B,Insumos!C:$C)</f>
        <v/>
      </c>
      <c r="F15" s="14" t="n">
        <v>0.074</v>
      </c>
      <c r="G15" s="92">
        <f t="array" ref="G15">IF(B15="insumo",_xlfn.XLOOKUP($D15,Insumos!$B$1:$B$996,Insumos!$D$1:$D$996),"")</f>
        <v/>
      </c>
      <c r="H15" s="92" t="n">
        <v>36.26</v>
      </c>
      <c r="I15" s="2162" t="n">
        <v>0</v>
      </c>
      <c r="J15" s="2162" t="n">
        <v>0</v>
      </c>
      <c r="K15" s="2162" t="n"/>
    </row>
    <row r="16" outlineLevel="3" ht="12.75" customHeight="1">
      <c r="A16" s="10" t="n">
        <v>3</v>
      </c>
      <c r="B16" s="10" t="inlineStr">
        <is>
          <t>Insumo</t>
        </is>
      </c>
      <c r="C16" s="10" t="inlineStr">
        <is>
          <t>Central de fôrmas</t>
        </is>
      </c>
      <c r="D16" s="10" t="inlineStr">
        <is>
          <t>PREGO GALVANIZADO LISO S/CABECA 17X21 NBR 6627</t>
        </is>
      </c>
      <c r="E16" s="11">
        <f t="array" ref="E16">_xlfn.XLOOKUP(D16,Insumos!B:B,Insumos!C:$C)</f>
        <v/>
      </c>
      <c r="F16" s="14" t="n">
        <v>0.15</v>
      </c>
      <c r="G16" s="92">
        <f t="array" ref="G16">IF(B16="insumo",_xlfn.XLOOKUP($D16,Insumos!$B$1:$B$996,Insumos!$D$1:$D$996),"")</f>
        <v/>
      </c>
      <c r="H16" s="92" t="n">
        <v>1.5045</v>
      </c>
      <c r="I16" s="2162" t="n">
        <v>0</v>
      </c>
      <c r="J16" s="2162" t="n">
        <v>0</v>
      </c>
      <c r="K16" s="2162" t="n"/>
    </row>
    <row r="17" outlineLevel="3" ht="12.75" customHeight="1">
      <c r="A17" s="10" t="n">
        <v>3</v>
      </c>
      <c r="B17" s="10" t="inlineStr">
        <is>
          <t>Insumo</t>
        </is>
      </c>
      <c r="C17" s="10" t="inlineStr">
        <is>
          <t>Central de fôrmas</t>
        </is>
      </c>
      <c r="D17" s="10" t="inlineStr">
        <is>
          <t>BLOCO CONCRETO ESTRUTURAL 03MPA 14X19X39CM NBR 6136</t>
        </is>
      </c>
      <c r="E17" s="11">
        <f t="array" ref="E17">_xlfn.XLOOKUP(D17,Insumos!B:B,Insumos!C:$C)</f>
        <v/>
      </c>
      <c r="F17" s="14" t="n">
        <v>9</v>
      </c>
      <c r="G17" s="92">
        <f t="array" ref="G17">IF(B17="insumo",_xlfn.XLOOKUP($D17,Insumos!$B$1:$B$996,Insumos!$D$1:$D$996),"")</f>
        <v/>
      </c>
      <c r="H17" s="92" t="n">
        <v>26.55</v>
      </c>
      <c r="I17" s="2162" t="n">
        <v>0</v>
      </c>
      <c r="J17" s="2162" t="n">
        <v>0</v>
      </c>
      <c r="K17" s="2162" t="n"/>
    </row>
    <row r="18" outlineLevel="3" ht="12.75" customHeight="1">
      <c r="A18" s="10" t="n">
        <v>3</v>
      </c>
      <c r="B18" s="10" t="inlineStr">
        <is>
          <t>Insumo</t>
        </is>
      </c>
      <c r="C18" s="10" t="inlineStr">
        <is>
          <t>Central de fôrmas</t>
        </is>
      </c>
      <c r="D18" s="10" t="inlineStr">
        <is>
          <t>ARGAMASSA ENSACADA P/ASSENTAMENTO BLOCO 04MPA NBR 13281</t>
        </is>
      </c>
      <c r="E18" s="11">
        <f t="array" ref="E18">_xlfn.XLOOKUP(D18,Insumos!B:B,Insumos!C:$C)</f>
        <v/>
      </c>
      <c r="F18" s="14" t="n">
        <v>24</v>
      </c>
      <c r="G18" s="92">
        <f t="array" ref="G18">IF(B18="insumo",_xlfn.XLOOKUP($D18,Insumos!$B$1:$B$996,Insumos!$D$1:$D$996),"")</f>
        <v/>
      </c>
      <c r="H18" s="92" t="n">
        <v>11.04</v>
      </c>
      <c r="I18" s="2162" t="n">
        <v>0</v>
      </c>
      <c r="J18" s="2162" t="n">
        <v>0</v>
      </c>
      <c r="K18" s="2162" t="n"/>
    </row>
    <row r="19" outlineLevel="3" ht="12.75" customHeight="1">
      <c r="A19" s="10" t="n">
        <v>3</v>
      </c>
      <c r="B19" s="10" t="inlineStr">
        <is>
          <t>Insumo</t>
        </is>
      </c>
      <c r="C19" s="10" t="inlineStr">
        <is>
          <t>Central de fôrmas</t>
        </is>
      </c>
      <c r="D19" s="10" t="inlineStr">
        <is>
          <t>SERVICO EMP. - INST. PROVISORIA - CONFECCAO BAIA P/MATERIAL</t>
        </is>
      </c>
      <c r="E19" s="11">
        <f t="array" ref="E19">_xlfn.XLOOKUP(D19,Insumos!B:B,Insumos!C:$C)</f>
        <v/>
      </c>
      <c r="F19" s="14" t="n">
        <v>1</v>
      </c>
      <c r="G19" s="92">
        <f t="array" ref="G19">IF(B19="insumo",_xlfn.XLOOKUP($D19,Insumos!$B$1:$B$996,Insumos!$D$1:$D$996),"")</f>
        <v/>
      </c>
      <c r="H19" s="92" t="n">
        <v>10.5</v>
      </c>
      <c r="I19" s="2162" t="n">
        <v>0</v>
      </c>
      <c r="J19" s="2162" t="n">
        <v>0</v>
      </c>
      <c r="K19" s="2162" t="n"/>
    </row>
    <row r="20" outlineLevel="2" ht="12.75" customHeight="1">
      <c r="A20" s="1067" t="n">
        <v>1</v>
      </c>
      <c r="B20" s="1067" t="inlineStr">
        <is>
          <t>Serviço</t>
        </is>
      </c>
      <c r="C20" s="1067" t="inlineStr">
        <is>
          <t>Central de Argamassa</t>
        </is>
      </c>
      <c r="D20" s="1067" t="inlineStr">
        <is>
          <t>Central de Argamassa</t>
        </is>
      </c>
      <c r="E20" s="1068" t="inlineStr">
        <is>
          <t>M2</t>
        </is>
      </c>
      <c r="F20" s="1067" t="n"/>
      <c r="G20" s="1069">
        <f t="array" ref="G20">IF(B20="insumo",_xlfn.XLOOKUP($D20,Insumos!$B$1:$B$996,Insumos!$D$1:$D$996),"")</f>
        <v/>
      </c>
      <c r="H20" s="1069" t="n">
        <v>118.1045</v>
      </c>
      <c r="I20" s="2161" t="n">
        <v>0</v>
      </c>
      <c r="J20" s="2161" t="n">
        <v>0</v>
      </c>
      <c r="K20" s="2161" t="n"/>
    </row>
    <row r="21" outlineLevel="3" ht="12.75" customHeight="1">
      <c r="A21" s="10" t="n">
        <v>3</v>
      </c>
      <c r="B21" s="10" t="inlineStr">
        <is>
          <t>Insumo</t>
        </is>
      </c>
      <c r="C21" s="10" t="inlineStr">
        <is>
          <t>Central de Argamassa</t>
        </is>
      </c>
      <c r="D21" s="10" t="inlineStr">
        <is>
          <t>LONA PLASTICA 120 MICRAS 4X100M PRETA</t>
        </is>
      </c>
      <c r="E21" s="11">
        <f t="array" ref="E21">_xlfn.XLOOKUP(D21,Insumos!B:B,Insumos!C:$C)</f>
        <v/>
      </c>
      <c r="F21" s="14" t="n">
        <v>1</v>
      </c>
      <c r="G21" s="92">
        <f t="array" ref="G21">IF(B21="insumo",_xlfn.XLOOKUP($D21,Insumos!$B$1:$B$996,Insumos!$D$1:$D$996),"")</f>
        <v/>
      </c>
      <c r="H21" s="92" t="n">
        <v>1.25</v>
      </c>
      <c r="I21" s="2162" t="n">
        <v>0</v>
      </c>
      <c r="J21" s="2162" t="n">
        <v>0</v>
      </c>
      <c r="K21" s="2162" t="n"/>
    </row>
    <row r="22" outlineLevel="3" ht="15.75" customHeight="1">
      <c r="A22" s="10" t="n">
        <v>3</v>
      </c>
      <c r="B22" s="10" t="inlineStr">
        <is>
          <t>Insumo</t>
        </is>
      </c>
      <c r="C22" s="10" t="inlineStr">
        <is>
          <t>Central de Argamassa</t>
        </is>
      </c>
      <c r="D22" s="10" t="inlineStr">
        <is>
          <t>TELHA METALICA GALVANIZADA TRAPEZOIDAL 0,43MM NBR 14514</t>
        </is>
      </c>
      <c r="E22" s="11">
        <f t="array" ref="E22">_xlfn.XLOOKUP(D22,Insumos!B:B,Insumos!C:$C)</f>
        <v/>
      </c>
      <c r="F22" s="14" t="n">
        <v>1</v>
      </c>
      <c r="G22" s="92">
        <f t="array" ref="G22">IF(B22="insumo",_xlfn.XLOOKUP($D22,Insumos!$B$1:$B$996,Insumos!$D$1:$D$996),"")</f>
        <v/>
      </c>
      <c r="H22" s="92" t="n">
        <v>31</v>
      </c>
      <c r="I22" s="2162" t="n">
        <v>0</v>
      </c>
      <c r="J22" s="2162" t="n">
        <v>0</v>
      </c>
      <c r="K22" s="2162" t="n"/>
    </row>
    <row r="23" outlineLevel="3" ht="15.75" customHeight="1">
      <c r="A23" s="10" t="n">
        <v>9</v>
      </c>
      <c r="B23" s="10" t="inlineStr">
        <is>
          <t>Insumo</t>
        </is>
      </c>
      <c r="C23" s="10" t="inlineStr">
        <is>
          <t>Central de Argamassa</t>
        </is>
      </c>
      <c r="D23" s="10" t="inlineStr">
        <is>
          <t>Concreto Usinado bombeável 20MPa Convencional</t>
        </is>
      </c>
      <c r="E23" s="11">
        <f t="array" ref="E23">_xlfn.XLOOKUP(D23,Insumos!B:B,Insumos!C:$C)</f>
        <v/>
      </c>
      <c r="F23" s="14" t="n">
        <v>0.074</v>
      </c>
      <c r="G23" s="92">
        <f t="array" ref="G23">IF(B23="insumo",_xlfn.XLOOKUP($D23,Insumos!$B$1:$B$996,Insumos!$D$1:$D$996),"")</f>
        <v/>
      </c>
      <c r="H23" s="92" t="n">
        <v>36.26</v>
      </c>
      <c r="I23" s="2162" t="n">
        <v>0</v>
      </c>
      <c r="J23" s="2162" t="n">
        <v>0</v>
      </c>
      <c r="K23" s="2162" t="n"/>
    </row>
    <row r="24" outlineLevel="3" ht="15.75" customHeight="1">
      <c r="A24" s="10" t="n">
        <v>3</v>
      </c>
      <c r="B24" s="10" t="inlineStr">
        <is>
          <t>Insumo</t>
        </is>
      </c>
      <c r="C24" s="10" t="inlineStr">
        <is>
          <t>Central de Argamassa</t>
        </is>
      </c>
      <c r="D24" s="10" t="inlineStr">
        <is>
          <t>PREGO GALVANIZADO LISO S/CABECA 17X21 NBR 6627</t>
        </is>
      </c>
      <c r="E24" s="11">
        <f t="array" ref="E24">_xlfn.XLOOKUP(D24,Insumos!B:B,Insumos!C:$C)</f>
        <v/>
      </c>
      <c r="F24" s="14" t="n">
        <v>0.15</v>
      </c>
      <c r="G24" s="92">
        <f t="array" ref="G24">IF(B24="insumo",_xlfn.XLOOKUP($D24,Insumos!$B$1:$B$996,Insumos!$D$1:$D$996),"")</f>
        <v/>
      </c>
      <c r="H24" s="92" t="n">
        <v>1.5045</v>
      </c>
      <c r="I24" s="2162" t="n">
        <v>0</v>
      </c>
      <c r="J24" s="2162" t="n">
        <v>0</v>
      </c>
      <c r="K24" s="2162" t="n"/>
    </row>
    <row r="25" outlineLevel="3" ht="15.75" customHeight="1">
      <c r="A25" s="10" t="n">
        <v>3</v>
      </c>
      <c r="B25" s="10" t="inlineStr">
        <is>
          <t>Insumo</t>
        </is>
      </c>
      <c r="C25" s="10" t="inlineStr">
        <is>
          <t>Central de Argamassa</t>
        </is>
      </c>
      <c r="D25" s="10" t="inlineStr">
        <is>
          <t>BLOCO CONCRETO ESTRUTURAL 03MPA 14X19X39CM NBR 6136</t>
        </is>
      </c>
      <c r="E25" s="11">
        <f t="array" ref="E25">_xlfn.XLOOKUP(D25,Insumos!B:B,Insumos!C:$C)</f>
        <v/>
      </c>
      <c r="F25" s="14" t="n">
        <v>9</v>
      </c>
      <c r="G25" s="92">
        <f t="array" ref="G25">IF(B25="insumo",_xlfn.XLOOKUP($D25,Insumos!$B$1:$B$996,Insumos!$D$1:$D$996),"")</f>
        <v/>
      </c>
      <c r="H25" s="92" t="n">
        <v>26.55</v>
      </c>
      <c r="I25" s="2162" t="n">
        <v>0</v>
      </c>
      <c r="J25" s="2162" t="n">
        <v>0</v>
      </c>
      <c r="K25" s="2162" t="n"/>
    </row>
    <row r="26" outlineLevel="3" ht="15.75" customHeight="1">
      <c r="A26" s="10" t="n">
        <v>3</v>
      </c>
      <c r="B26" s="10" t="inlineStr">
        <is>
          <t>Insumo</t>
        </is>
      </c>
      <c r="C26" s="10" t="inlineStr">
        <is>
          <t>Central de Argamassa</t>
        </is>
      </c>
      <c r="D26" s="10" t="inlineStr">
        <is>
          <t>ARGAMASSA ENSACADA P/ASSENTAMENTO BLOCO 04MPA NBR 13281</t>
        </is>
      </c>
      <c r="E26" s="11">
        <f t="array" ref="E26">_xlfn.XLOOKUP(D26,Insumos!B:B,Insumos!C:$C)</f>
        <v/>
      </c>
      <c r="F26" s="14" t="n">
        <v>24</v>
      </c>
      <c r="G26" s="92">
        <f t="array" ref="G26">IF(B26="insumo",_xlfn.XLOOKUP($D26,Insumos!$B$1:$B$996,Insumos!$D$1:$D$996),"")</f>
        <v/>
      </c>
      <c r="H26" s="92" t="n">
        <v>11.04</v>
      </c>
      <c r="I26" s="2162" t="n">
        <v>0</v>
      </c>
      <c r="J26" s="2162" t="n">
        <v>0</v>
      </c>
      <c r="K26" s="2162" t="n"/>
    </row>
    <row r="27" outlineLevel="3" ht="15.75" customHeight="1">
      <c r="A27" s="10" t="n">
        <v>3</v>
      </c>
      <c r="B27" s="10" t="inlineStr">
        <is>
          <t>Insumo</t>
        </is>
      </c>
      <c r="C27" s="10" t="inlineStr">
        <is>
          <t>Central de Argamassa</t>
        </is>
      </c>
      <c r="D27" s="10" t="inlineStr">
        <is>
          <t>SERVICO EMP. - INST. PROVISORIA - CONFECCAO BAIA P/MATERIAL</t>
        </is>
      </c>
      <c r="E27" s="11">
        <f t="array" ref="E27">_xlfn.XLOOKUP(D27,Insumos!B:B,Insumos!C:$C)</f>
        <v/>
      </c>
      <c r="F27" s="14" t="n">
        <v>1</v>
      </c>
      <c r="G27" s="92">
        <f t="array" ref="G27">IF(B27="insumo",_xlfn.XLOOKUP($D27,Insumos!$B$1:$B$996,Insumos!$D$1:$D$996),"")</f>
        <v/>
      </c>
      <c r="H27" s="92" t="n">
        <v>10.5</v>
      </c>
      <c r="I27" s="2162" t="n">
        <v>0</v>
      </c>
      <c r="J27" s="2162" t="n">
        <v>0</v>
      </c>
      <c r="K27" s="2162" t="n"/>
    </row>
    <row r="28" outlineLevel="2" ht="15.75" customHeight="1">
      <c r="A28" s="1067" t="n">
        <v>1</v>
      </c>
      <c r="B28" s="1067" t="inlineStr">
        <is>
          <t>Serviço</t>
        </is>
      </c>
      <c r="C28" s="1067" t="inlineStr">
        <is>
          <t>Armazenamento de cerâmicas*</t>
        </is>
      </c>
      <c r="D28" s="1067" t="inlineStr">
        <is>
          <t>Armazenamento de cerâmicas*</t>
        </is>
      </c>
      <c r="E28" s="1068" t="inlineStr">
        <is>
          <t>M2</t>
        </is>
      </c>
      <c r="F28" s="1067" t="n"/>
      <c r="G28" s="1069">
        <f t="array" ref="G28">IF(B28="insumo",_xlfn.XLOOKUP($D28,Insumos!$B$1:$B$996,Insumos!$D$1:$D$996),"")</f>
        <v/>
      </c>
      <c r="H28" s="1069" t="n">
        <v>382.10489</v>
      </c>
      <c r="I28" s="2161" t="n">
        <v>0</v>
      </c>
      <c r="J28" s="2161" t="n">
        <v>0</v>
      </c>
      <c r="K28" s="2161" t="n"/>
    </row>
    <row r="29" outlineLevel="3" ht="15.75" customHeight="1">
      <c r="A29" s="10" t="n">
        <v>11</v>
      </c>
      <c r="B29" s="10" t="inlineStr">
        <is>
          <t>Insumo</t>
        </is>
      </c>
      <c r="C29" s="10" t="inlineStr">
        <is>
          <t>Armazenamento de cerâmicas*</t>
        </is>
      </c>
      <c r="D29" s="10" t="inlineStr">
        <is>
          <t>MADEIRA PINUS/SIMILAR - TABUA PINUS 200X20MM NBR 11700</t>
        </is>
      </c>
      <c r="E29" s="11">
        <f t="array" ref="E29">_xlfn.XLOOKUP(D29,Insumos!B:B,Insumos!C:$C)</f>
        <v/>
      </c>
      <c r="F29" s="14" t="n">
        <v>0.591</v>
      </c>
      <c r="G29" s="92">
        <f t="array" ref="G29">IF(B29="insumo",_xlfn.XLOOKUP($D29,Insumos!$B$1:$B$996,Insumos!$D$1:$D$996),"")</f>
        <v/>
      </c>
      <c r="H29" s="92" t="n">
        <v>27.4815</v>
      </c>
      <c r="I29" s="2162" t="n">
        <v>0</v>
      </c>
      <c r="J29" s="2162" t="n">
        <v>0</v>
      </c>
      <c r="K29" s="2162" t="n"/>
    </row>
    <row r="30" outlineLevel="3" ht="15.75" customHeight="1">
      <c r="A30" s="10" t="n">
        <v>10</v>
      </c>
      <c r="B30" s="10" t="inlineStr">
        <is>
          <t>Insumo</t>
        </is>
      </c>
      <c r="C30" s="10" t="inlineStr">
        <is>
          <t>Armazenamento de cerâmicas*</t>
        </is>
      </c>
      <c r="D30" s="10" t="inlineStr">
        <is>
          <t>COMPENSADO MADEIRA TIPO RESINADO COLA FENOLICA 2440X1220X10MM</t>
        </is>
      </c>
      <c r="E30" s="11">
        <f t="array" ref="E30">_xlfn.XLOOKUP(D30,Insumos!B:B,Insumos!C:$C)</f>
        <v/>
      </c>
      <c r="F30" s="14" t="n">
        <v>0.404</v>
      </c>
      <c r="G30" s="92">
        <f t="array" ref="G30">IF(B30="insumo",_xlfn.XLOOKUP($D30,Insumos!$B$1:$B$996,Insumos!$D$1:$D$996),"")</f>
        <v/>
      </c>
      <c r="H30" s="92" t="n">
        <v>23.61784</v>
      </c>
      <c r="I30" s="2162" t="n">
        <v>0</v>
      </c>
      <c r="J30" s="2162" t="n">
        <v>0</v>
      </c>
      <c r="K30" s="2162" t="n"/>
    </row>
    <row r="31" outlineLevel="3" ht="15.75" customHeight="1">
      <c r="A31" s="10" t="n">
        <v>25</v>
      </c>
      <c r="B31" s="10" t="inlineStr">
        <is>
          <t>Insumo</t>
        </is>
      </c>
      <c r="C31" s="10" t="inlineStr">
        <is>
          <t>Armazenamento de cerâmicas*</t>
        </is>
      </c>
      <c r="D31" s="10" t="inlineStr">
        <is>
          <t>MADEIRA PINUS/SIMILAR - PONTALETE 75X75MM NBR 11700/15696</t>
        </is>
      </c>
      <c r="E31" s="11">
        <f t="array" ref="E31">_xlfn.XLOOKUP(D31,Insumos!B:B,Insumos!C:$C)</f>
        <v/>
      </c>
      <c r="F31" s="14" t="n">
        <v>4.39</v>
      </c>
      <c r="G31" s="92">
        <f t="array" ref="G31">IF(B31="insumo",_xlfn.XLOOKUP($D31,Insumos!$B$1:$B$996,Insumos!$D$1:$D$996),"")</f>
        <v/>
      </c>
      <c r="H31" s="92" t="n">
        <v>30.73</v>
      </c>
      <c r="I31" s="2162" t="n">
        <v>0</v>
      </c>
      <c r="J31" s="2162" t="n">
        <v>0</v>
      </c>
      <c r="K31" s="2162" t="n"/>
    </row>
    <row r="32" outlineLevel="3" ht="15.75" customHeight="1">
      <c r="A32" s="10" t="n">
        <v>11</v>
      </c>
      <c r="B32" s="10" t="inlineStr">
        <is>
          <t>Insumo</t>
        </is>
      </c>
      <c r="C32" s="10" t="inlineStr">
        <is>
          <t>Armazenamento de cerâmicas*</t>
        </is>
      </c>
      <c r="D32" s="10" t="inlineStr">
        <is>
          <t>MADEIRA PINUS/SIMILAR - SARRAFO PINUS 50X20MM NBR 11700/15696</t>
        </is>
      </c>
      <c r="E32" s="11">
        <f t="array" ref="E32">_xlfn.XLOOKUP(D32,Insumos!B:B,Insumos!C:$C)</f>
        <v/>
      </c>
      <c r="F32" s="14" t="n">
        <v>0.15</v>
      </c>
      <c r="G32" s="92">
        <f t="array" ref="G32">IF(B32="insumo",_xlfn.XLOOKUP($D32,Insumos!$B$1:$B$996,Insumos!$D$1:$D$996),"")</f>
        <v/>
      </c>
      <c r="H32" s="92" t="n">
        <v>6.975</v>
      </c>
      <c r="I32" s="2162" t="n">
        <v>0</v>
      </c>
      <c r="J32" s="2162" t="n">
        <v>0</v>
      </c>
      <c r="K32" s="2162" t="n"/>
    </row>
    <row r="33" outlineLevel="3" ht="15.75" customHeight="1">
      <c r="A33" s="10" t="n">
        <v>10</v>
      </c>
      <c r="B33" s="10" t="inlineStr">
        <is>
          <t>Insumo</t>
        </is>
      </c>
      <c r="C33" s="10" t="inlineStr">
        <is>
          <t>Armazenamento de cerâmicas*</t>
        </is>
      </c>
      <c r="D33" s="10" t="inlineStr">
        <is>
          <t>MADEIRA PINUS/SIMILAR - SARRAFO PINUS 50X10MM NBR 11700</t>
        </is>
      </c>
      <c r="E33" s="11">
        <f t="array" ref="E33">_xlfn.XLOOKUP(D33,Insumos!B:B,Insumos!C:$C)</f>
        <v/>
      </c>
      <c r="F33" s="14" t="n">
        <v>1</v>
      </c>
      <c r="G33" s="92">
        <f t="array" ref="G33">IF(B33="insumo",_xlfn.XLOOKUP($D33,Insumos!$B$1:$B$996,Insumos!$D$1:$D$996),"")</f>
        <v/>
      </c>
      <c r="H33" s="92" t="n">
        <v>7.39</v>
      </c>
      <c r="I33" s="2162" t="n">
        <v>0</v>
      </c>
      <c r="J33" s="2162" t="n">
        <v>0</v>
      </c>
      <c r="K33" s="2162" t="n"/>
    </row>
    <row r="34" outlineLevel="3" ht="15.75" customHeight="1">
      <c r="A34" s="10" t="n">
        <v>40</v>
      </c>
      <c r="B34" s="10" t="inlineStr">
        <is>
          <t>Insumo</t>
        </is>
      </c>
      <c r="C34" s="10" t="inlineStr">
        <is>
          <t>Armazenamento de cerâmicas*</t>
        </is>
      </c>
      <c r="D34" s="10" t="inlineStr">
        <is>
          <t>PREGO DE ACO POLIDO COM CABECA 17 X 21 (2 X 11)</t>
        </is>
      </c>
      <c r="E34" s="11">
        <f t="array" ref="E34">_xlfn.XLOOKUP(D34,Insumos!B:B,Insumos!C:$C)</f>
        <v/>
      </c>
      <c r="F34" s="14" t="n">
        <v>1</v>
      </c>
      <c r="G34" s="92">
        <f t="array" ref="G34">IF(B34="insumo",_xlfn.XLOOKUP($D34,Insumos!$B$1:$B$996,Insumos!$D$1:$D$996),"")</f>
        <v/>
      </c>
      <c r="H34" s="92" t="n">
        <v>18.13</v>
      </c>
      <c r="I34" s="2162" t="n">
        <v>0</v>
      </c>
      <c r="J34" s="2162" t="n">
        <v>0</v>
      </c>
      <c r="K34" s="2162" t="n"/>
    </row>
    <row r="35" outlineLevel="3" ht="15.75" customHeight="1">
      <c r="A35" s="10" t="n">
        <v>10</v>
      </c>
      <c r="B35" s="10" t="inlineStr">
        <is>
          <t>Insumo</t>
        </is>
      </c>
      <c r="C35" s="10" t="inlineStr">
        <is>
          <t>Armazenamento de cerâmicas*</t>
        </is>
      </c>
      <c r="D35" s="10" t="inlineStr">
        <is>
          <t>EXTINTOR INCENDIO PO QUIMICO 06KG CLASSE ABC (COMPLETO) NBR 15808</t>
        </is>
      </c>
      <c r="E35" s="11">
        <f t="array" ref="E35">_xlfn.XLOOKUP(D35,Insumos!B:B,Insumos!C:$C)</f>
        <v/>
      </c>
      <c r="F35" s="14" t="n">
        <v>0.015</v>
      </c>
      <c r="G35" s="92">
        <f t="array" ref="G35">IF(B35="insumo",_xlfn.XLOOKUP($D35,Insumos!$B$1:$B$996,Insumos!$D$1:$D$996),"")</f>
        <v/>
      </c>
      <c r="H35" s="92" t="n">
        <v>2.78055</v>
      </c>
      <c r="I35" s="2162" t="n">
        <v>0</v>
      </c>
      <c r="J35" s="2162" t="n">
        <v>0</v>
      </c>
      <c r="K35" s="2162" t="n"/>
    </row>
    <row r="36" outlineLevel="3" ht="15.75" customHeight="1">
      <c r="A36" s="10" t="n">
        <v>10</v>
      </c>
      <c r="B36" s="10" t="inlineStr">
        <is>
          <t>Insumo</t>
        </is>
      </c>
      <c r="C36" s="10" t="inlineStr">
        <is>
          <t>Armazenamento de cerâmicas*</t>
        </is>
      </c>
      <c r="D36" s="10" t="inlineStr">
        <is>
          <t>MATERIAL PARA INSTALAÇÃO ELÉTRICA</t>
        </is>
      </c>
      <c r="E36" s="11">
        <f t="array" ref="E36">_xlfn.XLOOKUP(D36,Insumos!B:B,Insumos!C:$C)</f>
        <v/>
      </c>
      <c r="F36" s="14" t="n">
        <v>1</v>
      </c>
      <c r="G36" s="92">
        <f t="array" ref="G36">IF(B36="insumo",_xlfn.XLOOKUP($D36,Insumos!$B$1:$B$996,Insumos!$D$1:$D$996),"")</f>
        <v/>
      </c>
      <c r="H36" s="92" t="n">
        <v>215</v>
      </c>
      <c r="I36" s="2162" t="n">
        <v>0</v>
      </c>
      <c r="J36" s="2162" t="n">
        <v>0</v>
      </c>
      <c r="K36" s="2162" t="n"/>
    </row>
    <row r="37" outlineLevel="3" ht="15.75" customHeight="1">
      <c r="A37" s="10" t="n">
        <v>10</v>
      </c>
      <c r="B37" s="10" t="inlineStr">
        <is>
          <t>Insumo</t>
        </is>
      </c>
      <c r="C37" s="10" t="inlineStr">
        <is>
          <t>Armazenamento de cerâmicas*</t>
        </is>
      </c>
      <c r="D37" s="10" t="inlineStr">
        <is>
          <t>SERVICO INSTALAÇÃO BARRACAO ALMOXARIFADO</t>
        </is>
      </c>
      <c r="E37" s="11">
        <f t="array" ref="E37">_xlfn.XLOOKUP(D37,Insumos!B:B,Insumos!C:$C)</f>
        <v/>
      </c>
      <c r="F37" s="14" t="n">
        <v>1</v>
      </c>
      <c r="G37" s="92">
        <f t="array" ref="G37">IF(B37="insumo",_xlfn.XLOOKUP($D37,Insumos!$B$1:$B$996,Insumos!$D$1:$D$996),"")</f>
        <v/>
      </c>
      <c r="H37" s="92" t="n">
        <v>50</v>
      </c>
      <c r="I37" s="2162" t="n">
        <v>0</v>
      </c>
      <c r="J37" s="2162" t="n">
        <v>0</v>
      </c>
      <c r="K37" s="2162" t="n"/>
    </row>
    <row r="38" outlineLevel="2" ht="15.75" customHeight="1">
      <c r="A38" s="1067" t="n">
        <v>1</v>
      </c>
      <c r="B38" s="1067" t="inlineStr">
        <is>
          <t>Serviço</t>
        </is>
      </c>
      <c r="C38" s="1067" t="inlineStr">
        <is>
          <t>Armazenamento de placas degesso*</t>
        </is>
      </c>
      <c r="D38" s="1067" t="inlineStr">
        <is>
          <t>Armazenamento de placas degesso*</t>
        </is>
      </c>
      <c r="E38" s="1068" t="inlineStr">
        <is>
          <t>M2</t>
        </is>
      </c>
      <c r="F38" s="1067" t="n"/>
      <c r="G38" s="1069">
        <f t="array" ref="G38">IF(B38="insumo",_xlfn.XLOOKUP($D38,Insumos!$B$1:$B$996,Insumos!$D$1:$D$996),"")</f>
        <v/>
      </c>
      <c r="H38" s="1069" t="n">
        <v>382.10489</v>
      </c>
      <c r="I38" s="2161" t="n">
        <v>0</v>
      </c>
      <c r="J38" s="2161" t="n">
        <v>0</v>
      </c>
      <c r="K38" s="2161" t="n"/>
    </row>
    <row r="39" outlineLevel="3" ht="15.75" customHeight="1">
      <c r="A39" s="10" t="n">
        <v>11</v>
      </c>
      <c r="B39" s="10" t="inlineStr">
        <is>
          <t>Insumo</t>
        </is>
      </c>
      <c r="C39" s="10" t="inlineStr">
        <is>
          <t>Armazenamento de placas degesso*</t>
        </is>
      </c>
      <c r="D39" s="10" t="inlineStr">
        <is>
          <t>MADEIRA PINUS/SIMILAR - TABUA PINUS 200X20MM NBR 11700</t>
        </is>
      </c>
      <c r="E39" s="11">
        <f t="array" ref="E39">_xlfn.XLOOKUP(D39,Insumos!B:B,Insumos!C:$C)</f>
        <v/>
      </c>
      <c r="F39" s="14" t="n">
        <v>0.591</v>
      </c>
      <c r="G39" s="92">
        <f t="array" ref="G39">IF(B39="insumo",_xlfn.XLOOKUP($D39,Insumos!$B$1:$B$996,Insumos!$D$1:$D$996),"")</f>
        <v/>
      </c>
      <c r="H39" s="92" t="n">
        <v>27.4815</v>
      </c>
      <c r="I39" s="2162" t="n">
        <v>0</v>
      </c>
      <c r="J39" s="2162" t="n">
        <v>0</v>
      </c>
      <c r="K39" s="2162" t="n"/>
    </row>
    <row r="40" outlineLevel="3" ht="15.75" customHeight="1">
      <c r="A40" s="10" t="n">
        <v>10</v>
      </c>
      <c r="B40" s="10" t="inlineStr">
        <is>
          <t>Insumo</t>
        </is>
      </c>
      <c r="C40" s="10" t="inlineStr">
        <is>
          <t>Armazenamento de placas degesso*</t>
        </is>
      </c>
      <c r="D40" s="10" t="inlineStr">
        <is>
          <t>COMPENSADO MADEIRA TIPO RESINADO COLA FENOLICA 2440X1220X10MM</t>
        </is>
      </c>
      <c r="E40" s="11">
        <f t="array" ref="E40">_xlfn.XLOOKUP(D40,Insumos!B:B,Insumos!C:$C)</f>
        <v/>
      </c>
      <c r="F40" s="14" t="n">
        <v>0.404</v>
      </c>
      <c r="G40" s="92">
        <f t="array" ref="G40">IF(B40="insumo",_xlfn.XLOOKUP($D40,Insumos!$B$1:$B$996,Insumos!$D$1:$D$996),"")</f>
        <v/>
      </c>
      <c r="H40" s="92" t="n">
        <v>23.61784</v>
      </c>
      <c r="I40" s="2162" t="n">
        <v>0</v>
      </c>
      <c r="J40" s="2162" t="n">
        <v>0</v>
      </c>
      <c r="K40" s="2162" t="n"/>
    </row>
    <row r="41" outlineLevel="3" ht="15.75" customHeight="1">
      <c r="A41" s="10" t="n">
        <v>25</v>
      </c>
      <c r="B41" s="10" t="inlineStr">
        <is>
          <t>Insumo</t>
        </is>
      </c>
      <c r="C41" s="10" t="inlineStr">
        <is>
          <t>Armazenamento de placas degesso*</t>
        </is>
      </c>
      <c r="D41" s="10" t="inlineStr">
        <is>
          <t>MADEIRA PINUS/SIMILAR - PONTALETE 75X75MM NBR 11700/15696</t>
        </is>
      </c>
      <c r="E41" s="11">
        <f t="array" ref="E41">_xlfn.XLOOKUP(D41,Insumos!B:B,Insumos!C:$C)</f>
        <v/>
      </c>
      <c r="F41" s="14" t="n">
        <v>4.39</v>
      </c>
      <c r="G41" s="92">
        <f t="array" ref="G41">IF(B41="insumo",_xlfn.XLOOKUP($D41,Insumos!$B$1:$B$996,Insumos!$D$1:$D$996),"")</f>
        <v/>
      </c>
      <c r="H41" s="92" t="n">
        <v>30.73</v>
      </c>
      <c r="I41" s="2162" t="n">
        <v>0</v>
      </c>
      <c r="J41" s="2162" t="n">
        <v>0</v>
      </c>
      <c r="K41" s="2162" t="n"/>
    </row>
    <row r="42" outlineLevel="3" ht="15.75" customHeight="1">
      <c r="A42" s="10" t="n">
        <v>11</v>
      </c>
      <c r="B42" s="10" t="inlineStr">
        <is>
          <t>Insumo</t>
        </is>
      </c>
      <c r="C42" s="10" t="inlineStr">
        <is>
          <t>Armazenamento de placas degesso*</t>
        </is>
      </c>
      <c r="D42" s="10" t="inlineStr">
        <is>
          <t>MADEIRA PINUS/SIMILAR - SARRAFO PINUS 50X20MM NBR 11700/15696</t>
        </is>
      </c>
      <c r="E42" s="11">
        <f t="array" ref="E42">_xlfn.XLOOKUP(D42,Insumos!B:B,Insumos!C:$C)</f>
        <v/>
      </c>
      <c r="F42" s="14" t="n">
        <v>0.15</v>
      </c>
      <c r="G42" s="92">
        <f t="array" ref="G42">IF(B42="insumo",_xlfn.XLOOKUP($D42,Insumos!$B$1:$B$996,Insumos!$D$1:$D$996),"")</f>
        <v/>
      </c>
      <c r="H42" s="92" t="n">
        <v>6.975</v>
      </c>
      <c r="I42" s="2162" t="n">
        <v>0</v>
      </c>
      <c r="J42" s="2162" t="n">
        <v>0</v>
      </c>
      <c r="K42" s="2162" t="n"/>
    </row>
    <row r="43" outlineLevel="3" ht="15.75" customHeight="1">
      <c r="A43" s="10" t="n">
        <v>10</v>
      </c>
      <c r="B43" s="10" t="inlineStr">
        <is>
          <t>Insumo</t>
        </is>
      </c>
      <c r="C43" s="10" t="inlineStr">
        <is>
          <t>Armazenamento de placas degesso*</t>
        </is>
      </c>
      <c r="D43" s="10" t="inlineStr">
        <is>
          <t>MADEIRA PINUS/SIMILAR - SARRAFO PINUS 50X10MM NBR 11700</t>
        </is>
      </c>
      <c r="E43" s="11">
        <f t="array" ref="E43">_xlfn.XLOOKUP(D43,Insumos!B:B,Insumos!C:$C)</f>
        <v/>
      </c>
      <c r="F43" s="14" t="n">
        <v>1</v>
      </c>
      <c r="G43" s="92">
        <f t="array" ref="G43">IF(B43="insumo",_xlfn.XLOOKUP($D43,Insumos!$B$1:$B$996,Insumos!$D$1:$D$996),"")</f>
        <v/>
      </c>
      <c r="H43" s="92" t="n">
        <v>7.39</v>
      </c>
      <c r="I43" s="2162" t="n">
        <v>0</v>
      </c>
      <c r="J43" s="2162" t="n">
        <v>0</v>
      </c>
      <c r="K43" s="2162" t="n"/>
    </row>
    <row r="44" outlineLevel="3" ht="15.75" customHeight="1">
      <c r="A44" s="10" t="n">
        <v>40</v>
      </c>
      <c r="B44" s="10" t="inlineStr">
        <is>
          <t>Insumo</t>
        </is>
      </c>
      <c r="C44" s="10" t="inlineStr">
        <is>
          <t>Armazenamento de placas degesso*</t>
        </is>
      </c>
      <c r="D44" s="10" t="inlineStr">
        <is>
          <t>PREGO DE ACO POLIDO COM CABECA 17 X 21 (2 X 11)</t>
        </is>
      </c>
      <c r="E44" s="11">
        <f t="array" ref="E44">_xlfn.XLOOKUP(D44,Insumos!B:B,Insumos!C:$C)</f>
        <v/>
      </c>
      <c r="F44" s="14" t="n">
        <v>1</v>
      </c>
      <c r="G44" s="92">
        <f t="array" ref="G44">IF(B44="insumo",_xlfn.XLOOKUP($D44,Insumos!$B$1:$B$996,Insumos!$D$1:$D$996),"")</f>
        <v/>
      </c>
      <c r="H44" s="92" t="n">
        <v>18.13</v>
      </c>
      <c r="I44" s="2162" t="n">
        <v>0</v>
      </c>
      <c r="J44" s="2162" t="n">
        <v>0</v>
      </c>
      <c r="K44" s="2162" t="n"/>
    </row>
    <row r="45" outlineLevel="3" ht="15.75" customHeight="1">
      <c r="A45" s="10" t="n">
        <v>10</v>
      </c>
      <c r="B45" s="10" t="inlineStr">
        <is>
          <t>Insumo</t>
        </is>
      </c>
      <c r="C45" s="10" t="inlineStr">
        <is>
          <t>Armazenamento de placas degesso*</t>
        </is>
      </c>
      <c r="D45" s="10" t="inlineStr">
        <is>
          <t>EXTINTOR INCENDIO PO QUIMICO 06KG CLASSE ABC (COMPLETO) NBR 15808</t>
        </is>
      </c>
      <c r="E45" s="11">
        <f t="array" ref="E45">_xlfn.XLOOKUP(D45,Insumos!B:B,Insumos!C:$C)</f>
        <v/>
      </c>
      <c r="F45" s="14" t="n">
        <v>0.015</v>
      </c>
      <c r="G45" s="92">
        <f t="array" ref="G45">IF(B45="insumo",_xlfn.XLOOKUP($D45,Insumos!$B$1:$B$996,Insumos!$D$1:$D$996),"")</f>
        <v/>
      </c>
      <c r="H45" s="92" t="n">
        <v>2.78055</v>
      </c>
      <c r="I45" s="2162" t="n">
        <v>0</v>
      </c>
      <c r="J45" s="2162" t="n">
        <v>0</v>
      </c>
      <c r="K45" s="2162" t="n"/>
    </row>
    <row r="46" outlineLevel="3" ht="15.75" customHeight="1">
      <c r="A46" s="10" t="n">
        <v>10</v>
      </c>
      <c r="B46" s="10" t="inlineStr">
        <is>
          <t>Insumo</t>
        </is>
      </c>
      <c r="C46" s="10" t="inlineStr">
        <is>
          <t>Armazenamento de placas degesso*</t>
        </is>
      </c>
      <c r="D46" s="10" t="inlineStr">
        <is>
          <t>MATERIAL PARA INSTALAÇÃO ELÉTRICA</t>
        </is>
      </c>
      <c r="E46" s="11">
        <f t="array" ref="E46">_xlfn.XLOOKUP(D46,Insumos!B:B,Insumos!C:$C)</f>
        <v/>
      </c>
      <c r="F46" s="14" t="n">
        <v>1</v>
      </c>
      <c r="G46" s="92">
        <f t="array" ref="G46">IF(B46="insumo",_xlfn.XLOOKUP($D46,Insumos!$B$1:$B$996,Insumos!$D$1:$D$996),"")</f>
        <v/>
      </c>
      <c r="H46" s="92" t="n">
        <v>215</v>
      </c>
      <c r="I46" s="2162" t="n">
        <v>0</v>
      </c>
      <c r="J46" s="2162" t="n">
        <v>0</v>
      </c>
      <c r="K46" s="2162" t="n"/>
    </row>
    <row r="47" outlineLevel="3" ht="15.75" customHeight="1">
      <c r="A47" s="10" t="n">
        <v>10</v>
      </c>
      <c r="B47" s="10" t="inlineStr">
        <is>
          <t>Insumo</t>
        </is>
      </c>
      <c r="C47" s="10" t="inlineStr">
        <is>
          <t>Armazenamento de placas degesso*</t>
        </is>
      </c>
      <c r="D47" s="10" t="inlineStr">
        <is>
          <t>SERVICO INSTALAÇÃO BARRACAO ALMOXARIFADO</t>
        </is>
      </c>
      <c r="E47" s="11">
        <f t="array" ref="E47">_xlfn.XLOOKUP(D47,Insumos!B:B,Insumos!C:$C)</f>
        <v/>
      </c>
      <c r="F47" s="14" t="n">
        <v>1</v>
      </c>
      <c r="G47" s="92">
        <f t="array" ref="G47">IF(B47="insumo",_xlfn.XLOOKUP($D47,Insumos!$B$1:$B$996,Insumos!$D$1:$D$996),"")</f>
        <v/>
      </c>
      <c r="H47" s="92" t="n">
        <v>50</v>
      </c>
      <c r="I47" s="2162" t="n">
        <v>0</v>
      </c>
      <c r="J47" s="2162" t="n">
        <v>0</v>
      </c>
      <c r="K47" s="2162" t="n"/>
    </row>
    <row r="48" outlineLevel="2" ht="15.75" customHeight="1">
      <c r="A48" s="1067" t="n">
        <v>1</v>
      </c>
      <c r="B48" s="1067" t="inlineStr">
        <is>
          <t>Serviço</t>
        </is>
      </c>
      <c r="C48" s="1067" t="inlineStr">
        <is>
          <t>Armazenamento de blocos*</t>
        </is>
      </c>
      <c r="D48" s="1067" t="inlineStr">
        <is>
          <t>Armazenamento de blocos*</t>
        </is>
      </c>
      <c r="E48" s="1068" t="inlineStr">
        <is>
          <t>M2</t>
        </is>
      </c>
      <c r="F48" s="1067" t="n"/>
      <c r="G48" s="1069">
        <f t="array" ref="G48">IF(B48="insumo",_xlfn.XLOOKUP($D48,Insumos!$B$1:$B$996,Insumos!$D$1:$D$996),"")</f>
        <v/>
      </c>
      <c r="H48" s="1069" t="n">
        <v>382.10489</v>
      </c>
      <c r="I48" s="2161" t="n">
        <v>0</v>
      </c>
      <c r="J48" s="2161" t="n">
        <v>0</v>
      </c>
      <c r="K48" s="2161" t="n"/>
    </row>
    <row r="49" outlineLevel="3" ht="15.75" customHeight="1">
      <c r="A49" s="10" t="n">
        <v>11</v>
      </c>
      <c r="B49" s="10" t="inlineStr">
        <is>
          <t>Insumo</t>
        </is>
      </c>
      <c r="C49" s="10" t="inlineStr">
        <is>
          <t>Armazenamento de blocos*</t>
        </is>
      </c>
      <c r="D49" s="10" t="inlineStr">
        <is>
          <t>MADEIRA PINUS/SIMILAR - TABUA PINUS 200X20MM NBR 11700</t>
        </is>
      </c>
      <c r="E49" s="11">
        <f t="array" ref="E49">_xlfn.XLOOKUP(D49,Insumos!B:B,Insumos!C:$C)</f>
        <v/>
      </c>
      <c r="F49" s="14" t="n">
        <v>0.591</v>
      </c>
      <c r="G49" s="92">
        <f t="array" ref="G49">IF(B49="insumo",_xlfn.XLOOKUP($D49,Insumos!$B$1:$B$996,Insumos!$D$1:$D$996),"")</f>
        <v/>
      </c>
      <c r="H49" s="92" t="n">
        <v>27.4815</v>
      </c>
      <c r="I49" s="2162" t="n">
        <v>0</v>
      </c>
      <c r="J49" s="2162" t="n">
        <v>0</v>
      </c>
      <c r="K49" s="2162" t="n"/>
    </row>
    <row r="50" outlineLevel="3" ht="15.75" customHeight="1">
      <c r="A50" s="10" t="n">
        <v>10</v>
      </c>
      <c r="B50" s="10" t="inlineStr">
        <is>
          <t>Insumo</t>
        </is>
      </c>
      <c r="C50" s="10" t="inlineStr">
        <is>
          <t>Armazenamento de blocos*</t>
        </is>
      </c>
      <c r="D50" s="10" t="inlineStr">
        <is>
          <t>COMPENSADO MADEIRA TIPO RESINADO COLA FENOLICA 2440X1220X10MM</t>
        </is>
      </c>
      <c r="E50" s="11">
        <f t="array" ref="E50">_xlfn.XLOOKUP(D50,Insumos!B:B,Insumos!C:$C)</f>
        <v/>
      </c>
      <c r="F50" s="14" t="n">
        <v>0.404</v>
      </c>
      <c r="G50" s="92">
        <f t="array" ref="G50">IF(B50="insumo",_xlfn.XLOOKUP($D50,Insumos!$B$1:$B$996,Insumos!$D$1:$D$996),"")</f>
        <v/>
      </c>
      <c r="H50" s="92" t="n">
        <v>23.61784</v>
      </c>
      <c r="I50" s="2162" t="n">
        <v>0</v>
      </c>
      <c r="J50" s="2162" t="n">
        <v>0</v>
      </c>
      <c r="K50" s="2162" t="n"/>
    </row>
    <row r="51" outlineLevel="3" ht="15.75" customHeight="1">
      <c r="A51" s="10" t="n">
        <v>25</v>
      </c>
      <c r="B51" s="10" t="inlineStr">
        <is>
          <t>Insumo</t>
        </is>
      </c>
      <c r="C51" s="10" t="inlineStr">
        <is>
          <t>Armazenamento de blocos*</t>
        </is>
      </c>
      <c r="D51" s="10" t="inlineStr">
        <is>
          <t>MADEIRA PINUS/SIMILAR - PONTALETE 75X75MM NBR 11700/15696</t>
        </is>
      </c>
      <c r="E51" s="11">
        <f t="array" ref="E51">_xlfn.XLOOKUP(D51,Insumos!B:B,Insumos!C:$C)</f>
        <v/>
      </c>
      <c r="F51" s="14" t="n">
        <v>4.39</v>
      </c>
      <c r="G51" s="92">
        <f t="array" ref="G51">IF(B51="insumo",_xlfn.XLOOKUP($D51,Insumos!$B$1:$B$996,Insumos!$D$1:$D$996),"")</f>
        <v/>
      </c>
      <c r="H51" s="92" t="n">
        <v>30.73</v>
      </c>
      <c r="I51" s="2162" t="n">
        <v>0</v>
      </c>
      <c r="J51" s="2162" t="n">
        <v>0</v>
      </c>
      <c r="K51" s="2162" t="n"/>
    </row>
    <row r="52" outlineLevel="3" ht="15.75" customHeight="1">
      <c r="A52" s="10" t="n">
        <v>11</v>
      </c>
      <c r="B52" s="10" t="inlineStr">
        <is>
          <t>Insumo</t>
        </is>
      </c>
      <c r="C52" s="10" t="inlineStr">
        <is>
          <t>Armazenamento de blocos*</t>
        </is>
      </c>
      <c r="D52" s="10" t="inlineStr">
        <is>
          <t>MADEIRA PINUS/SIMILAR - SARRAFO PINUS 50X20MM NBR 11700/15696</t>
        </is>
      </c>
      <c r="E52" s="11">
        <f t="array" ref="E52">_xlfn.XLOOKUP(D52,Insumos!B:B,Insumos!C:$C)</f>
        <v/>
      </c>
      <c r="F52" s="14" t="n">
        <v>0.15</v>
      </c>
      <c r="G52" s="92">
        <f t="array" ref="G52">IF(B52="insumo",_xlfn.XLOOKUP($D52,Insumos!$B$1:$B$996,Insumos!$D$1:$D$996),"")</f>
        <v/>
      </c>
      <c r="H52" s="92" t="n">
        <v>6.975</v>
      </c>
      <c r="I52" s="2162" t="n">
        <v>0</v>
      </c>
      <c r="J52" s="2162" t="n">
        <v>0</v>
      </c>
      <c r="K52" s="2162" t="n"/>
    </row>
    <row r="53" outlineLevel="3" ht="15.75" customHeight="1">
      <c r="A53" s="10" t="n">
        <v>10</v>
      </c>
      <c r="B53" s="10" t="inlineStr">
        <is>
          <t>Insumo</t>
        </is>
      </c>
      <c r="C53" s="10" t="inlineStr">
        <is>
          <t>Armazenamento de blocos*</t>
        </is>
      </c>
      <c r="D53" s="10" t="inlineStr">
        <is>
          <t>MADEIRA PINUS/SIMILAR - SARRAFO PINUS 50X10MM NBR 11700</t>
        </is>
      </c>
      <c r="E53" s="11">
        <f t="array" ref="E53">_xlfn.XLOOKUP(D53,Insumos!B:B,Insumos!C:$C)</f>
        <v/>
      </c>
      <c r="F53" s="14" t="n">
        <v>1</v>
      </c>
      <c r="G53" s="92">
        <f t="array" ref="G53">IF(B53="insumo",_xlfn.XLOOKUP($D53,Insumos!$B$1:$B$996,Insumos!$D$1:$D$996),"")</f>
        <v/>
      </c>
      <c r="H53" s="92" t="n">
        <v>7.39</v>
      </c>
      <c r="I53" s="2162" t="n">
        <v>0</v>
      </c>
      <c r="J53" s="2162" t="n">
        <v>0</v>
      </c>
      <c r="K53" s="2162" t="n"/>
    </row>
    <row r="54" outlineLevel="3" ht="15.75" customHeight="1">
      <c r="A54" s="10" t="n">
        <v>40</v>
      </c>
      <c r="B54" s="10" t="inlineStr">
        <is>
          <t>Insumo</t>
        </is>
      </c>
      <c r="C54" s="10" t="inlineStr">
        <is>
          <t>Armazenamento de blocos*</t>
        </is>
      </c>
      <c r="D54" s="10" t="inlineStr">
        <is>
          <t>PREGO DE ACO POLIDO COM CABECA 17 X 21 (2 X 11)</t>
        </is>
      </c>
      <c r="E54" s="11">
        <f t="array" ref="E54">_xlfn.XLOOKUP(D54,Insumos!B:B,Insumos!C:$C)</f>
        <v/>
      </c>
      <c r="F54" s="14" t="n">
        <v>1</v>
      </c>
      <c r="G54" s="92">
        <f t="array" ref="G54">IF(B54="insumo",_xlfn.XLOOKUP($D54,Insumos!$B$1:$B$996,Insumos!$D$1:$D$996),"")</f>
        <v/>
      </c>
      <c r="H54" s="92" t="n">
        <v>18.13</v>
      </c>
      <c r="I54" s="2162" t="n">
        <v>0</v>
      </c>
      <c r="J54" s="2162" t="n">
        <v>0</v>
      </c>
      <c r="K54" s="2162" t="n"/>
    </row>
    <row r="55" outlineLevel="3" ht="15.75" customHeight="1">
      <c r="A55" s="10" t="n">
        <v>10</v>
      </c>
      <c r="B55" s="10" t="inlineStr">
        <is>
          <t>Insumo</t>
        </is>
      </c>
      <c r="C55" s="10" t="inlineStr">
        <is>
          <t>Armazenamento de blocos*</t>
        </is>
      </c>
      <c r="D55" s="10" t="inlineStr">
        <is>
          <t>EXTINTOR INCENDIO PO QUIMICO 06KG CLASSE ABC (COMPLETO) NBR 15808</t>
        </is>
      </c>
      <c r="E55" s="11">
        <f t="array" ref="E55">_xlfn.XLOOKUP(D55,Insumos!B:B,Insumos!C:$C)</f>
        <v/>
      </c>
      <c r="F55" s="14" t="n">
        <v>0.015</v>
      </c>
      <c r="G55" s="92">
        <f t="array" ref="G55">IF(B55="insumo",_xlfn.XLOOKUP($D55,Insumos!$B$1:$B$996,Insumos!$D$1:$D$996),"")</f>
        <v/>
      </c>
      <c r="H55" s="92" t="n">
        <v>2.78055</v>
      </c>
      <c r="I55" s="2162" t="n">
        <v>0</v>
      </c>
      <c r="J55" s="2162" t="n">
        <v>0</v>
      </c>
      <c r="K55" s="2162" t="n"/>
    </row>
    <row r="56" outlineLevel="3" ht="15.75" customHeight="1">
      <c r="A56" s="10" t="n">
        <v>10</v>
      </c>
      <c r="B56" s="10" t="inlineStr">
        <is>
          <t>Insumo</t>
        </is>
      </c>
      <c r="C56" s="10" t="inlineStr">
        <is>
          <t>Armazenamento de blocos*</t>
        </is>
      </c>
      <c r="D56" s="10" t="inlineStr">
        <is>
          <t>MATERIAL PARA INSTALAÇÃO ELÉTRICA</t>
        </is>
      </c>
      <c r="E56" s="11">
        <f t="array" ref="E56">_xlfn.XLOOKUP(D56,Insumos!B:B,Insumos!C:$C)</f>
        <v/>
      </c>
      <c r="F56" s="14" t="n">
        <v>1</v>
      </c>
      <c r="G56" s="92">
        <f t="array" ref="G56">IF(B56="insumo",_xlfn.XLOOKUP($D56,Insumos!$B$1:$B$996,Insumos!$D$1:$D$996),"")</f>
        <v/>
      </c>
      <c r="H56" s="92" t="n">
        <v>215</v>
      </c>
      <c r="I56" s="2162" t="n">
        <v>0</v>
      </c>
      <c r="J56" s="2162" t="n">
        <v>0</v>
      </c>
      <c r="K56" s="2162" t="n"/>
    </row>
    <row r="57" outlineLevel="3" ht="15.75" customHeight="1">
      <c r="A57" s="10" t="n">
        <v>10</v>
      </c>
      <c r="B57" s="10" t="inlineStr">
        <is>
          <t>Insumo</t>
        </is>
      </c>
      <c r="C57" s="10" t="inlineStr">
        <is>
          <t>Armazenamento de blocos*</t>
        </is>
      </c>
      <c r="D57" s="10" t="inlineStr">
        <is>
          <t>SERVICO INSTALAÇÃO BARRACAO ALMOXARIFADO</t>
        </is>
      </c>
      <c r="E57" s="11">
        <f t="array" ref="E57">_xlfn.XLOOKUP(D57,Insumos!B:B,Insumos!C:$C)</f>
        <v/>
      </c>
      <c r="F57" s="14" t="n">
        <v>1</v>
      </c>
      <c r="G57" s="92">
        <f t="array" ref="G57">IF(B57="insumo",_xlfn.XLOOKUP($D57,Insumos!$B$1:$B$996,Insumos!$D$1:$D$996),"")</f>
        <v/>
      </c>
      <c r="H57" s="92" t="n">
        <v>50</v>
      </c>
      <c r="I57" s="2162" t="n">
        <v>0</v>
      </c>
      <c r="J57" s="2162" t="n">
        <v>0</v>
      </c>
      <c r="K57" s="2162" t="n"/>
    </row>
    <row r="58" outlineLevel="2" ht="15.75" customHeight="1">
      <c r="A58" s="1067" t="n">
        <v>1</v>
      </c>
      <c r="B58" s="1067" t="inlineStr">
        <is>
          <t>Serviço</t>
        </is>
      </c>
      <c r="C58" s="1067" t="inlineStr">
        <is>
          <t>Armazenamento de contramarcos*</t>
        </is>
      </c>
      <c r="D58" s="1067" t="inlineStr">
        <is>
          <t>Armazenamento de contramarcos*</t>
        </is>
      </c>
      <c r="E58" s="1068" t="inlineStr">
        <is>
          <t>M2</t>
        </is>
      </c>
      <c r="F58" s="1067" t="n"/>
      <c r="G58" s="1069">
        <f t="array" ref="G58">IF(B58="insumo",_xlfn.XLOOKUP($D58,Insumos!$B$1:$B$996,Insumos!$D$1:$D$996),"")</f>
        <v/>
      </c>
      <c r="H58" s="1069" t="n">
        <v>382.10489</v>
      </c>
      <c r="I58" s="2161" t="n">
        <v>0</v>
      </c>
      <c r="J58" s="2161" t="n">
        <v>0</v>
      </c>
      <c r="K58" s="2161" t="n"/>
    </row>
    <row r="59" outlineLevel="3" ht="15.75" customHeight="1">
      <c r="A59" s="10" t="n">
        <v>11</v>
      </c>
      <c r="B59" s="10" t="inlineStr">
        <is>
          <t>Insumo</t>
        </is>
      </c>
      <c r="C59" s="10" t="inlineStr">
        <is>
          <t>Armazenamento de contramarcos*</t>
        </is>
      </c>
      <c r="D59" s="10" t="inlineStr">
        <is>
          <t>MADEIRA PINUS/SIMILAR - TABUA PINUS 200X20MM NBR 11700</t>
        </is>
      </c>
      <c r="E59" s="11">
        <f t="array" ref="E59">_xlfn.XLOOKUP(D59,Insumos!B:B,Insumos!C:$C)</f>
        <v/>
      </c>
      <c r="F59" s="14" t="n">
        <v>0.591</v>
      </c>
      <c r="G59" s="92">
        <f t="array" ref="G59">IF(B59="insumo",_xlfn.XLOOKUP($D59,Insumos!$B$1:$B$996,Insumos!$D$1:$D$996),"")</f>
        <v/>
      </c>
      <c r="H59" s="92" t="n">
        <v>27.4815</v>
      </c>
      <c r="I59" s="2162" t="n">
        <v>0</v>
      </c>
      <c r="J59" s="2162" t="n">
        <v>0</v>
      </c>
      <c r="K59" s="2162" t="n"/>
    </row>
    <row r="60" outlineLevel="3" ht="15.75" customHeight="1">
      <c r="A60" s="10" t="n">
        <v>10</v>
      </c>
      <c r="B60" s="10" t="inlineStr">
        <is>
          <t>Insumo</t>
        </is>
      </c>
      <c r="C60" s="10" t="inlineStr">
        <is>
          <t>Armazenamento de contramarcos*</t>
        </is>
      </c>
      <c r="D60" s="10" t="inlineStr">
        <is>
          <t>COMPENSADO MADEIRA TIPO RESINADO COLA FENOLICA 2440X1220X10MM</t>
        </is>
      </c>
      <c r="E60" s="11">
        <f t="array" ref="E60">_xlfn.XLOOKUP(D60,Insumos!B:B,Insumos!C:$C)</f>
        <v/>
      </c>
      <c r="F60" s="14" t="n">
        <v>0.404</v>
      </c>
      <c r="G60" s="92">
        <f t="array" ref="G60">IF(B60="insumo",_xlfn.XLOOKUP($D60,Insumos!$B$1:$B$996,Insumos!$D$1:$D$996),"")</f>
        <v/>
      </c>
      <c r="H60" s="92" t="n">
        <v>23.61784</v>
      </c>
      <c r="I60" s="2162" t="n">
        <v>0</v>
      </c>
      <c r="J60" s="2162" t="n">
        <v>0</v>
      </c>
      <c r="K60" s="2162" t="n"/>
    </row>
    <row r="61" outlineLevel="3" ht="15.75" customHeight="1">
      <c r="A61" s="10" t="n">
        <v>25</v>
      </c>
      <c r="B61" s="10" t="inlineStr">
        <is>
          <t>Insumo</t>
        </is>
      </c>
      <c r="C61" s="10" t="inlineStr">
        <is>
          <t>Armazenamento de contramarcos*</t>
        </is>
      </c>
      <c r="D61" s="10" t="inlineStr">
        <is>
          <t>MADEIRA PINUS/SIMILAR - PONTALETE 75X75MM NBR 11700/15696</t>
        </is>
      </c>
      <c r="E61" s="11">
        <f t="array" ref="E61">_xlfn.XLOOKUP(D61,Insumos!B:B,Insumos!C:$C)</f>
        <v/>
      </c>
      <c r="F61" s="14" t="n">
        <v>4.39</v>
      </c>
      <c r="G61" s="92">
        <f t="array" ref="G61">IF(B61="insumo",_xlfn.XLOOKUP($D61,Insumos!$B$1:$B$996,Insumos!$D$1:$D$996),"")</f>
        <v/>
      </c>
      <c r="H61" s="92" t="n">
        <v>30.73</v>
      </c>
      <c r="I61" s="2162" t="n">
        <v>0</v>
      </c>
      <c r="J61" s="2162" t="n">
        <v>0</v>
      </c>
      <c r="K61" s="2162" t="n"/>
    </row>
    <row r="62" outlineLevel="3" ht="15.75" customHeight="1">
      <c r="A62" s="10" t="n">
        <v>11</v>
      </c>
      <c r="B62" s="10" t="inlineStr">
        <is>
          <t>Insumo</t>
        </is>
      </c>
      <c r="C62" s="10" t="inlineStr">
        <is>
          <t>Armazenamento de contramarcos*</t>
        </is>
      </c>
      <c r="D62" s="10" t="inlineStr">
        <is>
          <t>MADEIRA PINUS/SIMILAR - SARRAFO PINUS 50X20MM NBR 11700/15696</t>
        </is>
      </c>
      <c r="E62" s="11">
        <f t="array" ref="E62">_xlfn.XLOOKUP(D62,Insumos!B:B,Insumos!C:$C)</f>
        <v/>
      </c>
      <c r="F62" s="14" t="n">
        <v>0.15</v>
      </c>
      <c r="G62" s="92">
        <f t="array" ref="G62">IF(B62="insumo",_xlfn.XLOOKUP($D62,Insumos!$B$1:$B$996,Insumos!$D$1:$D$996),"")</f>
        <v/>
      </c>
      <c r="H62" s="92" t="n">
        <v>6.975</v>
      </c>
      <c r="I62" s="2162" t="n">
        <v>0</v>
      </c>
      <c r="J62" s="2162" t="n">
        <v>0</v>
      </c>
      <c r="K62" s="2162" t="n"/>
    </row>
    <row r="63" outlineLevel="3" ht="15.75" customHeight="1">
      <c r="A63" s="10" t="n">
        <v>10</v>
      </c>
      <c r="B63" s="10" t="inlineStr">
        <is>
          <t>Insumo</t>
        </is>
      </c>
      <c r="C63" s="10" t="inlineStr">
        <is>
          <t>Armazenamento de contramarcos*</t>
        </is>
      </c>
      <c r="D63" s="10" t="inlineStr">
        <is>
          <t>MADEIRA PINUS/SIMILAR - SARRAFO PINUS 50X10MM NBR 11700</t>
        </is>
      </c>
      <c r="E63" s="11">
        <f t="array" ref="E63">_xlfn.XLOOKUP(D63,Insumos!B:B,Insumos!C:$C)</f>
        <v/>
      </c>
      <c r="F63" s="14" t="n">
        <v>1</v>
      </c>
      <c r="G63" s="92">
        <f t="array" ref="G63">IF(B63="insumo",_xlfn.XLOOKUP($D63,Insumos!$B$1:$B$996,Insumos!$D$1:$D$996),"")</f>
        <v/>
      </c>
      <c r="H63" s="92" t="n">
        <v>7.39</v>
      </c>
      <c r="I63" s="2162" t="n">
        <v>0</v>
      </c>
      <c r="J63" s="2162" t="n">
        <v>0</v>
      </c>
      <c r="K63" s="2162" t="n"/>
    </row>
    <row r="64" outlineLevel="3" ht="15.75" customHeight="1">
      <c r="A64" s="10" t="n">
        <v>40</v>
      </c>
      <c r="B64" s="10" t="inlineStr">
        <is>
          <t>Insumo</t>
        </is>
      </c>
      <c r="C64" s="10" t="inlineStr">
        <is>
          <t>Armazenamento de contramarcos*</t>
        </is>
      </c>
      <c r="D64" s="10" t="inlineStr">
        <is>
          <t>PREGO DE ACO POLIDO COM CABECA 17 X 21 (2 X 11)</t>
        </is>
      </c>
      <c r="E64" s="11">
        <f t="array" ref="E64">_xlfn.XLOOKUP(D64,Insumos!B:B,Insumos!C:$C)</f>
        <v/>
      </c>
      <c r="F64" s="14" t="n">
        <v>1</v>
      </c>
      <c r="G64" s="92">
        <f t="array" ref="G64">IF(B64="insumo",_xlfn.XLOOKUP($D64,Insumos!$B$1:$B$996,Insumos!$D$1:$D$996),"")</f>
        <v/>
      </c>
      <c r="H64" s="92" t="n">
        <v>18.13</v>
      </c>
      <c r="I64" s="2162" t="n">
        <v>0</v>
      </c>
      <c r="J64" s="2162" t="n">
        <v>0</v>
      </c>
      <c r="K64" s="2162" t="n"/>
    </row>
    <row r="65" outlineLevel="3" ht="15.75" customHeight="1">
      <c r="A65" s="10" t="n">
        <v>10</v>
      </c>
      <c r="B65" s="10" t="inlineStr">
        <is>
          <t>Insumo</t>
        </is>
      </c>
      <c r="C65" s="10" t="inlineStr">
        <is>
          <t>Armazenamento de contramarcos*</t>
        </is>
      </c>
      <c r="D65" s="10" t="inlineStr">
        <is>
          <t>EXTINTOR INCENDIO PO QUIMICO 06KG CLASSE ABC (COMPLETO) NBR 15808</t>
        </is>
      </c>
      <c r="E65" s="11">
        <f t="array" ref="E65">_xlfn.XLOOKUP(D65,Insumos!B:B,Insumos!C:$C)</f>
        <v/>
      </c>
      <c r="F65" s="14" t="n">
        <v>0.015</v>
      </c>
      <c r="G65" s="92">
        <f t="array" ref="G65">IF(B65="insumo",_xlfn.XLOOKUP($D65,Insumos!$B$1:$B$996,Insumos!$D$1:$D$996),"")</f>
        <v/>
      </c>
      <c r="H65" s="92" t="n">
        <v>2.78055</v>
      </c>
      <c r="I65" s="2162" t="n">
        <v>0</v>
      </c>
      <c r="J65" s="2162" t="n">
        <v>0</v>
      </c>
      <c r="K65" s="2162" t="n"/>
    </row>
    <row r="66" outlineLevel="3" ht="15.75" customHeight="1">
      <c r="A66" s="10" t="n">
        <v>10</v>
      </c>
      <c r="B66" s="10" t="inlineStr">
        <is>
          <t>Insumo</t>
        </is>
      </c>
      <c r="C66" s="10" t="inlineStr">
        <is>
          <t>Armazenamento de contramarcos*</t>
        </is>
      </c>
      <c r="D66" s="10" t="inlineStr">
        <is>
          <t>MATERIAL PARA INSTALAÇÃO ELÉTRICA</t>
        </is>
      </c>
      <c r="E66" s="11">
        <f t="array" ref="E66">_xlfn.XLOOKUP(D66,Insumos!B:B,Insumos!C:$C)</f>
        <v/>
      </c>
      <c r="F66" s="14" t="n">
        <v>1</v>
      </c>
      <c r="G66" s="92">
        <f t="array" ref="G66">IF(B66="insumo",_xlfn.XLOOKUP($D66,Insumos!$B$1:$B$996,Insumos!$D$1:$D$996),"")</f>
        <v/>
      </c>
      <c r="H66" s="92" t="n">
        <v>215</v>
      </c>
      <c r="I66" s="2162" t="n">
        <v>0</v>
      </c>
      <c r="J66" s="2162" t="n">
        <v>0</v>
      </c>
      <c r="K66" s="2162" t="n"/>
    </row>
    <row r="67" outlineLevel="3" ht="15.75" customHeight="1">
      <c r="A67" s="10" t="n">
        <v>10</v>
      </c>
      <c r="B67" s="10" t="inlineStr">
        <is>
          <t>Insumo</t>
        </is>
      </c>
      <c r="C67" s="10" t="inlineStr">
        <is>
          <t>Armazenamento de contramarcos*</t>
        </is>
      </c>
      <c r="D67" s="10" t="inlineStr">
        <is>
          <t>SERVICO INSTALAÇÃO BARRACAO ALMOXARIFADO</t>
        </is>
      </c>
      <c r="E67" s="11">
        <f t="array" ref="E67">_xlfn.XLOOKUP(D67,Insumos!B:B,Insumos!C:$C)</f>
        <v/>
      </c>
      <c r="F67" s="14" t="n">
        <v>1</v>
      </c>
      <c r="G67" s="92">
        <f t="array" ref="G67">IF(B67="insumo",_xlfn.XLOOKUP($D67,Insumos!$B$1:$B$996,Insumos!$D$1:$D$996),"")</f>
        <v/>
      </c>
      <c r="H67" s="92" t="n">
        <v>50</v>
      </c>
      <c r="I67" s="2162" t="n">
        <v>0</v>
      </c>
      <c r="J67" s="2162" t="n">
        <v>0</v>
      </c>
      <c r="K67" s="2162" t="n"/>
    </row>
    <row r="68" outlineLevel="2" ht="15.75" customHeight="1">
      <c r="A68" s="1067" t="n">
        <v>1</v>
      </c>
      <c r="B68" s="1067" t="inlineStr">
        <is>
          <t>Serviço</t>
        </is>
      </c>
      <c r="C68" s="1067" t="inlineStr">
        <is>
          <t>Armazenamento de portas e rodapés*</t>
        </is>
      </c>
      <c r="D68" s="1067" t="inlineStr">
        <is>
          <t>Armazenamento de portas e rodapés*</t>
        </is>
      </c>
      <c r="E68" s="1068" t="inlineStr">
        <is>
          <t>M2</t>
        </is>
      </c>
      <c r="F68" s="1067" t="n"/>
      <c r="G68" s="1069">
        <f t="array" ref="G68">IF(B68="insumo",_xlfn.XLOOKUP($D68,Insumos!$B$1:$B$996,Insumos!$D$1:$D$996),"")</f>
        <v/>
      </c>
      <c r="H68" s="1069" t="n">
        <v>382.10489</v>
      </c>
      <c r="I68" s="2161" t="n">
        <v>0</v>
      </c>
      <c r="J68" s="2161" t="n">
        <v>0</v>
      </c>
      <c r="K68" s="2161" t="n"/>
    </row>
    <row r="69" outlineLevel="3" ht="15.75" customHeight="1">
      <c r="A69" s="10" t="n">
        <v>11</v>
      </c>
      <c r="B69" s="10" t="inlineStr">
        <is>
          <t>Insumo</t>
        </is>
      </c>
      <c r="C69" s="10" t="inlineStr">
        <is>
          <t>Armazenamento de portas e rodapés*</t>
        </is>
      </c>
      <c r="D69" s="10" t="inlineStr">
        <is>
          <t>MADEIRA PINUS/SIMILAR - TABUA PINUS 200X20MM NBR 11700</t>
        </is>
      </c>
      <c r="E69" s="11">
        <f t="array" ref="E69">_xlfn.XLOOKUP(D69,Insumos!B:B,Insumos!C:$C)</f>
        <v/>
      </c>
      <c r="F69" s="14" t="n">
        <v>0.591</v>
      </c>
      <c r="G69" s="92">
        <f t="array" ref="G69">IF(B69="insumo",_xlfn.XLOOKUP($D69,Insumos!$B$1:$B$996,Insumos!$D$1:$D$996),"")</f>
        <v/>
      </c>
      <c r="H69" s="92" t="n">
        <v>27.4815</v>
      </c>
      <c r="I69" s="2162" t="n">
        <v>0</v>
      </c>
      <c r="J69" s="2162" t="n">
        <v>0</v>
      </c>
      <c r="K69" s="2162" t="n"/>
    </row>
    <row r="70" outlineLevel="3" ht="15.75" customHeight="1">
      <c r="A70" s="10" t="n">
        <v>10</v>
      </c>
      <c r="B70" s="10" t="inlineStr">
        <is>
          <t>Insumo</t>
        </is>
      </c>
      <c r="C70" s="10" t="inlineStr">
        <is>
          <t>Armazenamento de portas e rodapés*</t>
        </is>
      </c>
      <c r="D70" s="10" t="inlineStr">
        <is>
          <t>COMPENSADO MADEIRA TIPO RESINADO COLA FENOLICA 2440X1220X10MM</t>
        </is>
      </c>
      <c r="E70" s="11">
        <f t="array" ref="E70">_xlfn.XLOOKUP(D70,Insumos!B:B,Insumos!C:$C)</f>
        <v/>
      </c>
      <c r="F70" s="14" t="n">
        <v>0.404</v>
      </c>
      <c r="G70" s="92">
        <f t="array" ref="G70">IF(B70="insumo",_xlfn.XLOOKUP($D70,Insumos!$B$1:$B$996,Insumos!$D$1:$D$996),"")</f>
        <v/>
      </c>
      <c r="H70" s="92" t="n">
        <v>23.61784</v>
      </c>
      <c r="I70" s="2162" t="n">
        <v>0</v>
      </c>
      <c r="J70" s="2162" t="n">
        <v>0</v>
      </c>
      <c r="K70" s="2162" t="n"/>
    </row>
    <row r="71" outlineLevel="3" ht="15.75" customHeight="1">
      <c r="A71" s="10" t="n">
        <v>25</v>
      </c>
      <c r="B71" s="10" t="inlineStr">
        <is>
          <t>Insumo</t>
        </is>
      </c>
      <c r="C71" s="10" t="inlineStr">
        <is>
          <t>Armazenamento de portas e rodapés*</t>
        </is>
      </c>
      <c r="D71" s="10" t="inlineStr">
        <is>
          <t>MADEIRA PINUS/SIMILAR - PONTALETE 75X75MM NBR 11700/15696</t>
        </is>
      </c>
      <c r="E71" s="11">
        <f t="array" ref="E71">_xlfn.XLOOKUP(D71,Insumos!B:B,Insumos!C:$C)</f>
        <v/>
      </c>
      <c r="F71" s="14" t="n">
        <v>4.39</v>
      </c>
      <c r="G71" s="92">
        <f t="array" ref="G71">IF(B71="insumo",_xlfn.XLOOKUP($D71,Insumos!$B$1:$B$996,Insumos!$D$1:$D$996),"")</f>
        <v/>
      </c>
      <c r="H71" s="92" t="n">
        <v>30.73</v>
      </c>
      <c r="I71" s="2162" t="n">
        <v>0</v>
      </c>
      <c r="J71" s="2162" t="n">
        <v>0</v>
      </c>
      <c r="K71" s="2162" t="n"/>
    </row>
    <row r="72" outlineLevel="3" ht="15.75" customHeight="1">
      <c r="A72" s="10" t="n">
        <v>11</v>
      </c>
      <c r="B72" s="10" t="inlineStr">
        <is>
          <t>Insumo</t>
        </is>
      </c>
      <c r="C72" s="10" t="inlineStr">
        <is>
          <t>Armazenamento de portas e rodapés*</t>
        </is>
      </c>
      <c r="D72" s="10" t="inlineStr">
        <is>
          <t>MADEIRA PINUS/SIMILAR - SARRAFO PINUS 50X20MM NBR 11700/15696</t>
        </is>
      </c>
      <c r="E72" s="11">
        <f t="array" ref="E72">_xlfn.XLOOKUP(D72,Insumos!B:B,Insumos!C:$C)</f>
        <v/>
      </c>
      <c r="F72" s="14" t="n">
        <v>0.15</v>
      </c>
      <c r="G72" s="92">
        <f t="array" ref="G72">IF(B72="insumo",_xlfn.XLOOKUP($D72,Insumos!$B$1:$B$996,Insumos!$D$1:$D$996),"")</f>
        <v/>
      </c>
      <c r="H72" s="92" t="n">
        <v>6.975</v>
      </c>
      <c r="I72" s="2162" t="n">
        <v>0</v>
      </c>
      <c r="J72" s="2162" t="n">
        <v>0</v>
      </c>
      <c r="K72" s="2162" t="n"/>
    </row>
    <row r="73" outlineLevel="3" ht="15.75" customHeight="1">
      <c r="A73" s="10" t="n">
        <v>10</v>
      </c>
      <c r="B73" s="10" t="inlineStr">
        <is>
          <t>Insumo</t>
        </is>
      </c>
      <c r="C73" s="10" t="inlineStr">
        <is>
          <t>Armazenamento de portas e rodapés*</t>
        </is>
      </c>
      <c r="D73" s="10" t="inlineStr">
        <is>
          <t>MADEIRA PINUS/SIMILAR - SARRAFO PINUS 50X10MM NBR 11700</t>
        </is>
      </c>
      <c r="E73" s="11">
        <f t="array" ref="E73">_xlfn.XLOOKUP(D73,Insumos!B:B,Insumos!C:$C)</f>
        <v/>
      </c>
      <c r="F73" s="14" t="n">
        <v>1</v>
      </c>
      <c r="G73" s="92">
        <f t="array" ref="G73">IF(B73="insumo",_xlfn.XLOOKUP($D73,Insumos!$B$1:$B$996,Insumos!$D$1:$D$996),"")</f>
        <v/>
      </c>
      <c r="H73" s="92" t="n">
        <v>7.39</v>
      </c>
      <c r="I73" s="2162" t="n">
        <v>0</v>
      </c>
      <c r="J73" s="2162" t="n">
        <v>0</v>
      </c>
      <c r="K73" s="2162" t="n"/>
    </row>
    <row r="74" outlineLevel="3" ht="15.75" customHeight="1">
      <c r="A74" s="10" t="n">
        <v>40</v>
      </c>
      <c r="B74" s="10" t="inlineStr">
        <is>
          <t>Insumo</t>
        </is>
      </c>
      <c r="C74" s="10" t="inlineStr">
        <is>
          <t>Armazenamento de portas e rodapés*</t>
        </is>
      </c>
      <c r="D74" s="10" t="inlineStr">
        <is>
          <t>PREGO DE ACO POLIDO COM CABECA 17 X 21 (2 X 11)</t>
        </is>
      </c>
      <c r="E74" s="11">
        <f t="array" ref="E74">_xlfn.XLOOKUP(D74,Insumos!B:B,Insumos!C:$C)</f>
        <v/>
      </c>
      <c r="F74" s="14" t="n">
        <v>1</v>
      </c>
      <c r="G74" s="92">
        <f t="array" ref="G74">IF(B74="insumo",_xlfn.XLOOKUP($D74,Insumos!$B$1:$B$996,Insumos!$D$1:$D$996),"")</f>
        <v/>
      </c>
      <c r="H74" s="92" t="n">
        <v>18.13</v>
      </c>
      <c r="I74" s="2162" t="n">
        <v>0</v>
      </c>
      <c r="J74" s="2162" t="n">
        <v>0</v>
      </c>
      <c r="K74" s="2162" t="n"/>
    </row>
    <row r="75" outlineLevel="3" ht="15.75" customHeight="1">
      <c r="A75" s="10" t="n">
        <v>10</v>
      </c>
      <c r="B75" s="10" t="inlineStr">
        <is>
          <t>Insumo</t>
        </is>
      </c>
      <c r="C75" s="10" t="inlineStr">
        <is>
          <t>Armazenamento de portas e rodapés*</t>
        </is>
      </c>
      <c r="D75" s="10" t="inlineStr">
        <is>
          <t>EXTINTOR INCENDIO PO QUIMICO 06KG CLASSE ABC (COMPLETO) NBR 15808</t>
        </is>
      </c>
      <c r="E75" s="11">
        <f t="array" ref="E75">_xlfn.XLOOKUP(D75,Insumos!B:B,Insumos!C:$C)</f>
        <v/>
      </c>
      <c r="F75" s="14" t="n">
        <v>0.015</v>
      </c>
      <c r="G75" s="92">
        <f t="array" ref="G75">IF(B75="insumo",_xlfn.XLOOKUP($D75,Insumos!$B$1:$B$996,Insumos!$D$1:$D$996),"")</f>
        <v/>
      </c>
      <c r="H75" s="92" t="n">
        <v>2.78055</v>
      </c>
      <c r="I75" s="2162" t="n">
        <v>0</v>
      </c>
      <c r="J75" s="2162" t="n">
        <v>0</v>
      </c>
      <c r="K75" s="2162" t="n"/>
    </row>
    <row r="76" outlineLevel="3" ht="15.75" customHeight="1">
      <c r="A76" s="10" t="n">
        <v>10</v>
      </c>
      <c r="B76" s="10" t="inlineStr">
        <is>
          <t>Insumo</t>
        </is>
      </c>
      <c r="C76" s="10" t="inlineStr">
        <is>
          <t>Armazenamento de portas e rodapés*</t>
        </is>
      </c>
      <c r="D76" s="10" t="inlineStr">
        <is>
          <t>MATERIAL PARA INSTALAÇÃO ELÉTRICA</t>
        </is>
      </c>
      <c r="E76" s="11">
        <f t="array" ref="E76">_xlfn.XLOOKUP(D76,Insumos!B:B,Insumos!C:$C)</f>
        <v/>
      </c>
      <c r="F76" s="14" t="n">
        <v>1</v>
      </c>
      <c r="G76" s="92">
        <f t="array" ref="G76">IF(B76="insumo",_xlfn.XLOOKUP($D76,Insumos!$B$1:$B$996,Insumos!$D$1:$D$996),"")</f>
        <v/>
      </c>
      <c r="H76" s="92" t="n">
        <v>215</v>
      </c>
      <c r="I76" s="2162" t="n">
        <v>0</v>
      </c>
      <c r="J76" s="2162" t="n">
        <v>0</v>
      </c>
      <c r="K76" s="2162" t="n"/>
    </row>
    <row r="77" outlineLevel="3" ht="15.75" customHeight="1">
      <c r="A77" s="10" t="n">
        <v>10</v>
      </c>
      <c r="B77" s="10" t="inlineStr">
        <is>
          <t>Insumo</t>
        </is>
      </c>
      <c r="C77" s="10" t="inlineStr">
        <is>
          <t>Armazenamento de portas e rodapés*</t>
        </is>
      </c>
      <c r="D77" s="10" t="inlineStr">
        <is>
          <t>SERVICO INSTALAÇÃO BARRACAO ALMOXARIFADO</t>
        </is>
      </c>
      <c r="E77" s="11">
        <f t="array" ref="E77">_xlfn.XLOOKUP(D77,Insumos!B:B,Insumos!C:$C)</f>
        <v/>
      </c>
      <c r="F77" s="14" t="n">
        <v>1</v>
      </c>
      <c r="G77" s="92">
        <f t="array" ref="G77">IF(B77="insumo",_xlfn.XLOOKUP($D77,Insumos!$B$1:$B$996,Insumos!$D$1:$D$996),"")</f>
        <v/>
      </c>
      <c r="H77" s="92" t="n">
        <v>50</v>
      </c>
      <c r="I77" s="2162" t="n">
        <v>0</v>
      </c>
      <c r="J77" s="2162" t="n">
        <v>0</v>
      </c>
      <c r="K77" s="2162" t="n"/>
    </row>
    <row r="78" outlineLevel="2" ht="15.75" customHeight="1">
      <c r="A78" s="1067" t="n">
        <v>1</v>
      </c>
      <c r="B78" s="1067" t="inlineStr">
        <is>
          <t>Serviço</t>
        </is>
      </c>
      <c r="C78" s="1067" t="inlineStr">
        <is>
          <t>Armazenamento de esquadrias*</t>
        </is>
      </c>
      <c r="D78" s="1067" t="inlineStr">
        <is>
          <t>Armazenamento de esquadrias*</t>
        </is>
      </c>
      <c r="E78" s="1068" t="inlineStr">
        <is>
          <t>M2</t>
        </is>
      </c>
      <c r="F78" s="1067" t="n"/>
      <c r="G78" s="1069">
        <f t="array" ref="G78">IF(B78="insumo",_xlfn.XLOOKUP($D78,Insumos!$B$1:$B$996,Insumos!$D$1:$D$996),"")</f>
        <v/>
      </c>
      <c r="H78" s="1069" t="n">
        <v>382.10489</v>
      </c>
      <c r="I78" s="2161" t="n">
        <v>0</v>
      </c>
      <c r="J78" s="2161" t="n">
        <v>0</v>
      </c>
      <c r="K78" s="2161" t="n"/>
    </row>
    <row r="79" outlineLevel="3" ht="15.75" customHeight="1">
      <c r="A79" s="10" t="n">
        <v>11</v>
      </c>
      <c r="B79" s="10" t="inlineStr">
        <is>
          <t>Insumo</t>
        </is>
      </c>
      <c r="C79" s="10" t="inlineStr">
        <is>
          <t>Armazenamento de esquadrias*</t>
        </is>
      </c>
      <c r="D79" s="10" t="inlineStr">
        <is>
          <t>MADEIRA PINUS/SIMILAR - TABUA PINUS 200X20MM NBR 11700</t>
        </is>
      </c>
      <c r="E79" s="11">
        <f t="array" ref="E79">_xlfn.XLOOKUP(D79,Insumos!B:B,Insumos!C:$C)</f>
        <v/>
      </c>
      <c r="F79" s="14" t="n">
        <v>0.591</v>
      </c>
      <c r="G79" s="92">
        <f t="array" ref="G79">IF(B79="insumo",_xlfn.XLOOKUP($D79,Insumos!$B$1:$B$996,Insumos!$D$1:$D$996),"")</f>
        <v/>
      </c>
      <c r="H79" s="92" t="n">
        <v>27.4815</v>
      </c>
      <c r="I79" s="2162" t="n">
        <v>0</v>
      </c>
      <c r="J79" s="2162" t="n">
        <v>0</v>
      </c>
      <c r="K79" s="2162" t="n"/>
    </row>
    <row r="80" outlineLevel="3" ht="15.75" customHeight="1">
      <c r="A80" s="10" t="n">
        <v>10</v>
      </c>
      <c r="B80" s="10" t="inlineStr">
        <is>
          <t>Insumo</t>
        </is>
      </c>
      <c r="C80" s="10" t="inlineStr">
        <is>
          <t>Armazenamento de esquadrias*</t>
        </is>
      </c>
      <c r="D80" s="10" t="inlineStr">
        <is>
          <t>COMPENSADO MADEIRA TIPO RESINADO COLA FENOLICA 2440X1220X10MM</t>
        </is>
      </c>
      <c r="E80" s="11">
        <f t="array" ref="E80">_xlfn.XLOOKUP(D80,Insumos!B:B,Insumos!C:$C)</f>
        <v/>
      </c>
      <c r="F80" s="14" t="n">
        <v>0.404</v>
      </c>
      <c r="G80" s="92">
        <f t="array" ref="G80">IF(B80="insumo",_xlfn.XLOOKUP($D80,Insumos!$B$1:$B$996,Insumos!$D$1:$D$996),"")</f>
        <v/>
      </c>
      <c r="H80" s="92" t="n">
        <v>23.61784</v>
      </c>
      <c r="I80" s="2162" t="n">
        <v>0</v>
      </c>
      <c r="J80" s="2162" t="n">
        <v>0</v>
      </c>
      <c r="K80" s="2162" t="n"/>
    </row>
    <row r="81" outlineLevel="3" ht="15.75" customHeight="1">
      <c r="A81" s="10" t="n">
        <v>25</v>
      </c>
      <c r="B81" s="10" t="inlineStr">
        <is>
          <t>Insumo</t>
        </is>
      </c>
      <c r="C81" s="10" t="inlineStr">
        <is>
          <t>Armazenamento de esquadrias*</t>
        </is>
      </c>
      <c r="D81" s="10" t="inlineStr">
        <is>
          <t>MADEIRA PINUS/SIMILAR - PONTALETE 75X75MM NBR 11700/15696</t>
        </is>
      </c>
      <c r="E81" s="11">
        <f t="array" ref="E81">_xlfn.XLOOKUP(D81,Insumos!B:B,Insumos!C:$C)</f>
        <v/>
      </c>
      <c r="F81" s="14" t="n">
        <v>4.39</v>
      </c>
      <c r="G81" s="92">
        <f t="array" ref="G81">IF(B81="insumo",_xlfn.XLOOKUP($D81,Insumos!$B$1:$B$996,Insumos!$D$1:$D$996),"")</f>
        <v/>
      </c>
      <c r="H81" s="92" t="n">
        <v>30.73</v>
      </c>
      <c r="I81" s="2162" t="n">
        <v>0</v>
      </c>
      <c r="J81" s="2162" t="n">
        <v>0</v>
      </c>
      <c r="K81" s="2162" t="n"/>
    </row>
    <row r="82" outlineLevel="3" ht="15.75" customHeight="1">
      <c r="A82" s="10" t="n">
        <v>11</v>
      </c>
      <c r="B82" s="10" t="inlineStr">
        <is>
          <t>Insumo</t>
        </is>
      </c>
      <c r="C82" s="10" t="inlineStr">
        <is>
          <t>Armazenamento de esquadrias*</t>
        </is>
      </c>
      <c r="D82" s="10" t="inlineStr">
        <is>
          <t>MADEIRA PINUS/SIMILAR - SARRAFO PINUS 50X20MM NBR 11700/15696</t>
        </is>
      </c>
      <c r="E82" s="11">
        <f t="array" ref="E82">_xlfn.XLOOKUP(D82,Insumos!B:B,Insumos!C:$C)</f>
        <v/>
      </c>
      <c r="F82" s="14" t="n">
        <v>0.15</v>
      </c>
      <c r="G82" s="92">
        <f t="array" ref="G82">IF(B82="insumo",_xlfn.XLOOKUP($D82,Insumos!$B$1:$B$996,Insumos!$D$1:$D$996),"")</f>
        <v/>
      </c>
      <c r="H82" s="92" t="n">
        <v>6.975</v>
      </c>
      <c r="I82" s="2162" t="n">
        <v>0</v>
      </c>
      <c r="J82" s="2162" t="n">
        <v>0</v>
      </c>
      <c r="K82" s="2162" t="n"/>
    </row>
    <row r="83" outlineLevel="3" ht="15.75" customHeight="1">
      <c r="A83" s="10" t="n">
        <v>10</v>
      </c>
      <c r="B83" s="10" t="inlineStr">
        <is>
          <t>Insumo</t>
        </is>
      </c>
      <c r="C83" s="10" t="inlineStr">
        <is>
          <t>Armazenamento de esquadrias*</t>
        </is>
      </c>
      <c r="D83" s="10" t="inlineStr">
        <is>
          <t>MADEIRA PINUS/SIMILAR - SARRAFO PINUS 50X10MM NBR 11700</t>
        </is>
      </c>
      <c r="E83" s="11">
        <f t="array" ref="E83">_xlfn.XLOOKUP(D83,Insumos!B:B,Insumos!C:$C)</f>
        <v/>
      </c>
      <c r="F83" s="14" t="n">
        <v>1</v>
      </c>
      <c r="G83" s="92">
        <f t="array" ref="G83">IF(B83="insumo",_xlfn.XLOOKUP($D83,Insumos!$B$1:$B$996,Insumos!$D$1:$D$996),"")</f>
        <v/>
      </c>
      <c r="H83" s="92" t="n">
        <v>7.39</v>
      </c>
      <c r="I83" s="2162" t="n">
        <v>0</v>
      </c>
      <c r="J83" s="2162" t="n">
        <v>0</v>
      </c>
      <c r="K83" s="2162" t="n"/>
    </row>
    <row r="84" outlineLevel="3" ht="15.75" customHeight="1">
      <c r="A84" s="10" t="n">
        <v>40</v>
      </c>
      <c r="B84" s="10" t="inlineStr">
        <is>
          <t>Insumo</t>
        </is>
      </c>
      <c r="C84" s="10" t="inlineStr">
        <is>
          <t>Armazenamento de esquadrias*</t>
        </is>
      </c>
      <c r="D84" s="10" t="inlineStr">
        <is>
          <t>PREGO DE ACO POLIDO COM CABECA 17 X 21 (2 X 11)</t>
        </is>
      </c>
      <c r="E84" s="11">
        <f t="array" ref="E84">_xlfn.XLOOKUP(D84,Insumos!B:B,Insumos!C:$C)</f>
        <v/>
      </c>
      <c r="F84" s="14" t="n">
        <v>1</v>
      </c>
      <c r="G84" s="92">
        <f t="array" ref="G84">IF(B84="insumo",_xlfn.XLOOKUP($D84,Insumos!$B$1:$B$996,Insumos!$D$1:$D$996),"")</f>
        <v/>
      </c>
      <c r="H84" s="92" t="n">
        <v>18.13</v>
      </c>
      <c r="I84" s="2162" t="n">
        <v>0</v>
      </c>
      <c r="J84" s="2162" t="n">
        <v>0</v>
      </c>
      <c r="K84" s="2162" t="n"/>
    </row>
    <row r="85" outlineLevel="3" ht="15.75" customHeight="1">
      <c r="A85" s="10" t="n">
        <v>10</v>
      </c>
      <c r="B85" s="10" t="inlineStr">
        <is>
          <t>Insumo</t>
        </is>
      </c>
      <c r="C85" s="10" t="inlineStr">
        <is>
          <t>Armazenamento de esquadrias*</t>
        </is>
      </c>
      <c r="D85" s="10" t="inlineStr">
        <is>
          <t>EXTINTOR INCENDIO PO QUIMICO 06KG CLASSE ABC (COMPLETO) NBR 15808</t>
        </is>
      </c>
      <c r="E85" s="11">
        <f t="array" ref="E85">_xlfn.XLOOKUP(D85,Insumos!B:B,Insumos!C:$C)</f>
        <v/>
      </c>
      <c r="F85" s="14" t="n">
        <v>0.015</v>
      </c>
      <c r="G85" s="92">
        <f t="array" ref="G85">IF(B85="insumo",_xlfn.XLOOKUP($D85,Insumos!$B$1:$B$996,Insumos!$D$1:$D$996),"")</f>
        <v/>
      </c>
      <c r="H85" s="92" t="n">
        <v>2.78055</v>
      </c>
      <c r="I85" s="2162" t="n">
        <v>0</v>
      </c>
      <c r="J85" s="2162" t="n">
        <v>0</v>
      </c>
      <c r="K85" s="2162" t="n"/>
    </row>
    <row r="86" outlineLevel="3" ht="15.75" customHeight="1">
      <c r="A86" s="10" t="n">
        <v>10</v>
      </c>
      <c r="B86" s="10" t="inlineStr">
        <is>
          <t>Insumo</t>
        </is>
      </c>
      <c r="C86" s="10" t="inlineStr">
        <is>
          <t>Armazenamento de esquadrias*</t>
        </is>
      </c>
      <c r="D86" s="10" t="inlineStr">
        <is>
          <t>MATERIAL PARA INSTALAÇÃO ELÉTRICA</t>
        </is>
      </c>
      <c r="E86" s="11">
        <f t="array" ref="E86">_xlfn.XLOOKUP(D86,Insumos!B:B,Insumos!C:$C)</f>
        <v/>
      </c>
      <c r="F86" s="14" t="n">
        <v>1</v>
      </c>
      <c r="G86" s="92">
        <f t="array" ref="G86">IF(B86="insumo",_xlfn.XLOOKUP($D86,Insumos!$B$1:$B$996,Insumos!$D$1:$D$996),"")</f>
        <v/>
      </c>
      <c r="H86" s="92" t="n">
        <v>215</v>
      </c>
      <c r="I86" s="2162" t="n">
        <v>0</v>
      </c>
      <c r="J86" s="2162" t="n">
        <v>0</v>
      </c>
      <c r="K86" s="2162" t="n"/>
    </row>
    <row r="87" outlineLevel="3" ht="15.75" customHeight="1">
      <c r="A87" s="10" t="n">
        <v>10</v>
      </c>
      <c r="B87" s="10" t="inlineStr">
        <is>
          <t>Insumo</t>
        </is>
      </c>
      <c r="C87" s="10" t="inlineStr">
        <is>
          <t>Armazenamento de esquadrias*</t>
        </is>
      </c>
      <c r="D87" s="10" t="inlineStr">
        <is>
          <t>SERVICO INSTALAÇÃO BARRACAO ALMOXARIFADO</t>
        </is>
      </c>
      <c r="E87" s="11">
        <f t="array" ref="E87">_xlfn.XLOOKUP(D87,Insumos!B:B,Insumos!C:$C)</f>
        <v/>
      </c>
      <c r="F87" s="14" t="n">
        <v>1</v>
      </c>
      <c r="G87" s="92">
        <f t="array" ref="G87">IF(B87="insumo",_xlfn.XLOOKUP($D87,Insumos!$B$1:$B$996,Insumos!$D$1:$D$996),"")</f>
        <v/>
      </c>
      <c r="H87" s="92" t="n">
        <v>50</v>
      </c>
      <c r="I87" s="2162" t="n">
        <v>0</v>
      </c>
      <c r="J87" s="2162" t="n">
        <v>0</v>
      </c>
      <c r="K87" s="2162" t="n"/>
    </row>
    <row r="88" outlineLevel="2" ht="15.75" customHeight="1">
      <c r="A88" s="1067" t="n">
        <v>1</v>
      </c>
      <c r="B88" s="1067" t="inlineStr">
        <is>
          <t>Serviço</t>
        </is>
      </c>
      <c r="C88" s="1067" t="inlineStr">
        <is>
          <t>Armazenamento de instalações complementares*</t>
        </is>
      </c>
      <c r="D88" s="1067" t="inlineStr">
        <is>
          <t>Armazenamento de instalações complementares*</t>
        </is>
      </c>
      <c r="E88" s="1068" t="inlineStr">
        <is>
          <t>M2</t>
        </is>
      </c>
      <c r="F88" s="1067" t="n"/>
      <c r="G88" s="1069">
        <f t="array" ref="G88">IF(B88="insumo",_xlfn.XLOOKUP($D88,Insumos!$B$1:$B$996,Insumos!$D$1:$D$996),"")</f>
        <v/>
      </c>
      <c r="H88" s="1069" t="n">
        <v>382.10489</v>
      </c>
      <c r="I88" s="2161" t="n">
        <v>0</v>
      </c>
      <c r="J88" s="2161" t="n">
        <v>0</v>
      </c>
      <c r="K88" s="2161" t="n"/>
    </row>
    <row r="89" outlineLevel="3" ht="15.75" customHeight="1">
      <c r="A89" s="10" t="n">
        <v>11</v>
      </c>
      <c r="B89" s="10" t="inlineStr">
        <is>
          <t>Insumo</t>
        </is>
      </c>
      <c r="C89" s="10" t="inlineStr">
        <is>
          <t>Armazenamento de instalações complementares*</t>
        </is>
      </c>
      <c r="D89" s="10" t="inlineStr">
        <is>
          <t>MADEIRA PINUS/SIMILAR - TABUA PINUS 200X20MM NBR 11700</t>
        </is>
      </c>
      <c r="E89" s="11">
        <f t="array" ref="E89">_xlfn.XLOOKUP(D89,Insumos!B:B,Insumos!C:$C)</f>
        <v/>
      </c>
      <c r="F89" s="14" t="n">
        <v>0.591</v>
      </c>
      <c r="G89" s="92">
        <f t="array" ref="G89">IF(B89="insumo",_xlfn.XLOOKUP($D89,Insumos!$B$1:$B$996,Insumos!$D$1:$D$996),"")</f>
        <v/>
      </c>
      <c r="H89" s="92" t="n">
        <v>27.4815</v>
      </c>
      <c r="I89" s="2162" t="n">
        <v>0</v>
      </c>
      <c r="J89" s="2162" t="n">
        <v>0</v>
      </c>
      <c r="K89" s="2162" t="n"/>
    </row>
    <row r="90" outlineLevel="3" ht="15.75" customHeight="1">
      <c r="A90" s="10" t="n">
        <v>10</v>
      </c>
      <c r="B90" s="10" t="inlineStr">
        <is>
          <t>Insumo</t>
        </is>
      </c>
      <c r="C90" s="10" t="inlineStr">
        <is>
          <t>Armazenamento de instalações complementares*</t>
        </is>
      </c>
      <c r="D90" s="10" t="inlineStr">
        <is>
          <t>COMPENSADO MADEIRA TIPO RESINADO COLA FENOLICA 2440X1220X10MM</t>
        </is>
      </c>
      <c r="E90" s="11">
        <f t="array" ref="E90">_xlfn.XLOOKUP(D90,Insumos!B:B,Insumos!C:$C)</f>
        <v/>
      </c>
      <c r="F90" s="14" t="n">
        <v>0.404</v>
      </c>
      <c r="G90" s="92">
        <f t="array" ref="G90">IF(B90="insumo",_xlfn.XLOOKUP($D90,Insumos!$B$1:$B$996,Insumos!$D$1:$D$996),"")</f>
        <v/>
      </c>
      <c r="H90" s="92" t="n">
        <v>23.61784</v>
      </c>
      <c r="I90" s="2162" t="n">
        <v>0</v>
      </c>
      <c r="J90" s="2162" t="n">
        <v>0</v>
      </c>
      <c r="K90" s="2162" t="n"/>
    </row>
    <row r="91" outlineLevel="3" ht="15.75" customHeight="1">
      <c r="A91" s="10" t="n">
        <v>25</v>
      </c>
      <c r="B91" s="10" t="inlineStr">
        <is>
          <t>Insumo</t>
        </is>
      </c>
      <c r="C91" s="10" t="inlineStr">
        <is>
          <t>Armazenamento de instalações complementares*</t>
        </is>
      </c>
      <c r="D91" s="10" t="inlineStr">
        <is>
          <t>MADEIRA PINUS/SIMILAR - PONTALETE 75X75MM NBR 11700/15696</t>
        </is>
      </c>
      <c r="E91" s="11">
        <f t="array" ref="E91">_xlfn.XLOOKUP(D91,Insumos!B:B,Insumos!C:$C)</f>
        <v/>
      </c>
      <c r="F91" s="14" t="n">
        <v>4.39</v>
      </c>
      <c r="G91" s="92">
        <f t="array" ref="G91">IF(B91="insumo",_xlfn.XLOOKUP($D91,Insumos!$B$1:$B$996,Insumos!$D$1:$D$996),"")</f>
        <v/>
      </c>
      <c r="H91" s="92" t="n">
        <v>30.73</v>
      </c>
      <c r="I91" s="2162" t="n">
        <v>0</v>
      </c>
      <c r="J91" s="2162" t="n">
        <v>0</v>
      </c>
      <c r="K91" s="2162" t="n"/>
    </row>
    <row r="92" outlineLevel="3" ht="15.75" customHeight="1">
      <c r="A92" s="10" t="n">
        <v>11</v>
      </c>
      <c r="B92" s="10" t="inlineStr">
        <is>
          <t>Insumo</t>
        </is>
      </c>
      <c r="C92" s="10" t="inlineStr">
        <is>
          <t>Armazenamento de instalações complementares*</t>
        </is>
      </c>
      <c r="D92" s="10" t="inlineStr">
        <is>
          <t>MADEIRA PINUS/SIMILAR - SARRAFO PINUS 50X20MM NBR 11700/15696</t>
        </is>
      </c>
      <c r="E92" s="11">
        <f t="array" ref="E92">_xlfn.XLOOKUP(D92,Insumos!B:B,Insumos!C:$C)</f>
        <v/>
      </c>
      <c r="F92" s="14" t="n">
        <v>0.15</v>
      </c>
      <c r="G92" s="92">
        <f t="array" ref="G92">IF(B92="insumo",_xlfn.XLOOKUP($D92,Insumos!$B$1:$B$996,Insumos!$D$1:$D$996),"")</f>
        <v/>
      </c>
      <c r="H92" s="92" t="n">
        <v>6.975</v>
      </c>
      <c r="I92" s="2162" t="n">
        <v>0</v>
      </c>
      <c r="J92" s="2162" t="n">
        <v>0</v>
      </c>
      <c r="K92" s="2162" t="n"/>
    </row>
    <row r="93" outlineLevel="3" ht="15.75" customHeight="1">
      <c r="A93" s="10" t="n">
        <v>10</v>
      </c>
      <c r="B93" s="10" t="inlineStr">
        <is>
          <t>Insumo</t>
        </is>
      </c>
      <c r="C93" s="10" t="inlineStr">
        <is>
          <t>Armazenamento de instalações complementares*</t>
        </is>
      </c>
      <c r="D93" s="10" t="inlineStr">
        <is>
          <t>MADEIRA PINUS/SIMILAR - SARRAFO PINUS 50X10MM NBR 11700</t>
        </is>
      </c>
      <c r="E93" s="11">
        <f t="array" ref="E93">_xlfn.XLOOKUP(D93,Insumos!B:B,Insumos!C:$C)</f>
        <v/>
      </c>
      <c r="F93" s="14" t="n">
        <v>1</v>
      </c>
      <c r="G93" s="92">
        <f t="array" ref="G93">IF(B93="insumo",_xlfn.XLOOKUP($D93,Insumos!$B$1:$B$996,Insumos!$D$1:$D$996),"")</f>
        <v/>
      </c>
      <c r="H93" s="92" t="n">
        <v>7.39</v>
      </c>
      <c r="I93" s="2162" t="n">
        <v>0</v>
      </c>
      <c r="J93" s="2162" t="n">
        <v>0</v>
      </c>
      <c r="K93" s="2162" t="n"/>
    </row>
    <row r="94" outlineLevel="3" ht="15.75" customHeight="1">
      <c r="A94" s="10" t="n">
        <v>40</v>
      </c>
      <c r="B94" s="10" t="inlineStr">
        <is>
          <t>Insumo</t>
        </is>
      </c>
      <c r="C94" s="10" t="inlineStr">
        <is>
          <t>Armazenamento de instalações complementares*</t>
        </is>
      </c>
      <c r="D94" s="10" t="inlineStr">
        <is>
          <t>PREGO DE ACO POLIDO COM CABECA 17 X 21 (2 X 11)</t>
        </is>
      </c>
      <c r="E94" s="11">
        <f t="array" ref="E94">_xlfn.XLOOKUP(D94,Insumos!B:B,Insumos!C:$C)</f>
        <v/>
      </c>
      <c r="F94" s="14" t="n">
        <v>1</v>
      </c>
      <c r="G94" s="92">
        <f t="array" ref="G94">IF(B94="insumo",_xlfn.XLOOKUP($D94,Insumos!$B$1:$B$996,Insumos!$D$1:$D$996),"")</f>
        <v/>
      </c>
      <c r="H94" s="92" t="n">
        <v>18.13</v>
      </c>
      <c r="I94" s="2162" t="n">
        <v>0</v>
      </c>
      <c r="J94" s="2162" t="n">
        <v>0</v>
      </c>
      <c r="K94" s="2162" t="n"/>
    </row>
    <row r="95" outlineLevel="3" ht="15.75" customHeight="1">
      <c r="A95" s="10" t="n">
        <v>10</v>
      </c>
      <c r="B95" s="10" t="inlineStr">
        <is>
          <t>Insumo</t>
        </is>
      </c>
      <c r="C95" s="10" t="inlineStr">
        <is>
          <t>Armazenamento de instalações complementares*</t>
        </is>
      </c>
      <c r="D95" s="10" t="inlineStr">
        <is>
          <t>EXTINTOR INCENDIO PO QUIMICO 06KG CLASSE ABC (COMPLETO) NBR 15808</t>
        </is>
      </c>
      <c r="E95" s="11">
        <f t="array" ref="E95">_xlfn.XLOOKUP(D95,Insumos!B:B,Insumos!C:$C)</f>
        <v/>
      </c>
      <c r="F95" s="14" t="n">
        <v>0.015</v>
      </c>
      <c r="G95" s="92">
        <f t="array" ref="G95">IF(B95="insumo",_xlfn.XLOOKUP($D95,Insumos!$B$1:$B$996,Insumos!$D$1:$D$996),"")</f>
        <v/>
      </c>
      <c r="H95" s="92" t="n">
        <v>2.78055</v>
      </c>
      <c r="I95" s="2162" t="n">
        <v>0</v>
      </c>
      <c r="J95" s="2162" t="n">
        <v>0</v>
      </c>
      <c r="K95" s="2162" t="n"/>
    </row>
    <row r="96" outlineLevel="3" ht="15.75" customHeight="1">
      <c r="A96" s="10" t="n">
        <v>10</v>
      </c>
      <c r="B96" s="10" t="inlineStr">
        <is>
          <t>Insumo</t>
        </is>
      </c>
      <c r="C96" s="10" t="inlineStr">
        <is>
          <t>Armazenamento de instalações complementares*</t>
        </is>
      </c>
      <c r="D96" s="10" t="inlineStr">
        <is>
          <t>MATERIAL PARA INSTALAÇÃO ELÉTRICA</t>
        </is>
      </c>
      <c r="E96" s="11">
        <f t="array" ref="E96">_xlfn.XLOOKUP(D96,Insumos!B:B,Insumos!C:$C)</f>
        <v/>
      </c>
      <c r="F96" s="14" t="n">
        <v>1</v>
      </c>
      <c r="G96" s="92">
        <f t="array" ref="G96">IF(B96="insumo",_xlfn.XLOOKUP($D96,Insumos!$B$1:$B$996,Insumos!$D$1:$D$996),"")</f>
        <v/>
      </c>
      <c r="H96" s="92" t="n">
        <v>215</v>
      </c>
      <c r="I96" s="2162" t="n">
        <v>0</v>
      </c>
      <c r="J96" s="2162" t="n">
        <v>0</v>
      </c>
      <c r="K96" s="2162" t="n"/>
    </row>
    <row r="97" outlineLevel="3" ht="15.75" customHeight="1">
      <c r="A97" s="10" t="n">
        <v>10</v>
      </c>
      <c r="B97" s="10" t="inlineStr">
        <is>
          <t>Insumo</t>
        </is>
      </c>
      <c r="C97" s="10" t="inlineStr">
        <is>
          <t>Armazenamento de instalações complementares*</t>
        </is>
      </c>
      <c r="D97" s="10" t="inlineStr">
        <is>
          <t>SERVICO INSTALAÇÃO BARRACAO ALMOXARIFADO</t>
        </is>
      </c>
      <c r="E97" s="11">
        <f t="array" ref="E97">_xlfn.XLOOKUP(D97,Insumos!B:B,Insumos!C:$C)</f>
        <v/>
      </c>
      <c r="F97" s="14" t="n">
        <v>1</v>
      </c>
      <c r="G97" s="92">
        <f t="array" ref="G97">IF(B97="insumo",_xlfn.XLOOKUP($D97,Insumos!$B$1:$B$996,Insumos!$D$1:$D$996),"")</f>
        <v/>
      </c>
      <c r="H97" s="92" t="n">
        <v>50</v>
      </c>
      <c r="I97" s="2162" t="n">
        <v>0</v>
      </c>
      <c r="J97" s="2162" t="n">
        <v>0</v>
      </c>
      <c r="K97" s="2162" t="n"/>
    </row>
    <row r="98" outlineLevel="2" ht="15.75" customHeight="1">
      <c r="A98" s="1067" t="n">
        <v>1</v>
      </c>
      <c r="B98" s="1067" t="inlineStr">
        <is>
          <t>Serviço</t>
        </is>
      </c>
      <c r="C98" s="1067" t="inlineStr">
        <is>
          <t>Armazenamento para estoque geral*</t>
        </is>
      </c>
      <c r="D98" s="1067" t="inlineStr">
        <is>
          <t>Armazenamento para estoque geral*</t>
        </is>
      </c>
      <c r="E98" s="1068" t="inlineStr">
        <is>
          <t>M2</t>
        </is>
      </c>
      <c r="F98" s="1067" t="n"/>
      <c r="G98" s="1069">
        <f t="array" ref="G98">IF(B98="insumo",_xlfn.XLOOKUP($D98,Insumos!$B$1:$B$996,Insumos!$D$1:$D$996),"")</f>
        <v/>
      </c>
      <c r="H98" s="1069" t="n">
        <v>382.10489</v>
      </c>
      <c r="I98" s="2161" t="n">
        <v>0</v>
      </c>
      <c r="J98" s="2161" t="n">
        <v>0</v>
      </c>
      <c r="K98" s="2161" t="n"/>
    </row>
    <row r="99" outlineLevel="3" ht="15.75" customHeight="1">
      <c r="A99" s="10" t="n">
        <v>11</v>
      </c>
      <c r="B99" s="10" t="inlineStr">
        <is>
          <t>Insumo</t>
        </is>
      </c>
      <c r="C99" s="10" t="inlineStr">
        <is>
          <t>Armazenamento para estoque geral*</t>
        </is>
      </c>
      <c r="D99" s="10" t="inlineStr">
        <is>
          <t>MADEIRA PINUS/SIMILAR - TABUA PINUS 200X20MM NBR 11700</t>
        </is>
      </c>
      <c r="E99" s="11">
        <f t="array" ref="E99">_xlfn.XLOOKUP(D99,Insumos!B:B,Insumos!C:$C)</f>
        <v/>
      </c>
      <c r="F99" s="14" t="n">
        <v>0.591</v>
      </c>
      <c r="G99" s="92">
        <f t="array" ref="G99">IF(B99="insumo",_xlfn.XLOOKUP($D99,Insumos!$B$1:$B$996,Insumos!$D$1:$D$996),"")</f>
        <v/>
      </c>
      <c r="H99" s="92" t="n">
        <v>27.4815</v>
      </c>
      <c r="I99" s="2162" t="n">
        <v>0</v>
      </c>
      <c r="J99" s="2162" t="n">
        <v>0</v>
      </c>
      <c r="K99" s="2162" t="n"/>
    </row>
    <row r="100" outlineLevel="3" ht="15.75" customHeight="1">
      <c r="A100" s="10" t="n">
        <v>10</v>
      </c>
      <c r="B100" s="10" t="inlineStr">
        <is>
          <t>Insumo</t>
        </is>
      </c>
      <c r="C100" s="10" t="inlineStr">
        <is>
          <t>Armazenamento para estoque geral*</t>
        </is>
      </c>
      <c r="D100" s="10" t="inlineStr">
        <is>
          <t>COMPENSADO MADEIRA TIPO RESINADO COLA FENOLICA 2440X1220X10MM</t>
        </is>
      </c>
      <c r="E100" s="11">
        <f t="array" ref="E100">_xlfn.XLOOKUP(D100,Insumos!B:B,Insumos!C:$C)</f>
        <v/>
      </c>
      <c r="F100" s="14" t="n">
        <v>0.404</v>
      </c>
      <c r="G100" s="92">
        <f t="array" ref="G100">IF(B100="insumo",_xlfn.XLOOKUP($D100,Insumos!$B$1:$B$996,Insumos!$D$1:$D$996),"")</f>
        <v/>
      </c>
      <c r="H100" s="92" t="n">
        <v>23.61784</v>
      </c>
      <c r="I100" s="2162" t="n">
        <v>0</v>
      </c>
      <c r="J100" s="2162" t="n">
        <v>0</v>
      </c>
      <c r="K100" s="2162" t="n"/>
    </row>
    <row r="101" outlineLevel="3" ht="15.75" customHeight="1">
      <c r="A101" s="10" t="n">
        <v>25</v>
      </c>
      <c r="B101" s="10" t="inlineStr">
        <is>
          <t>Insumo</t>
        </is>
      </c>
      <c r="C101" s="10" t="inlineStr">
        <is>
          <t>Armazenamento para estoque geral*</t>
        </is>
      </c>
      <c r="D101" s="10" t="inlineStr">
        <is>
          <t>MADEIRA PINUS/SIMILAR - PONTALETE 75X75MM NBR 11700/15696</t>
        </is>
      </c>
      <c r="E101" s="11">
        <f t="array" ref="E101">_xlfn.XLOOKUP(D101,Insumos!B:B,Insumos!C:$C)</f>
        <v/>
      </c>
      <c r="F101" s="14" t="n">
        <v>4.39</v>
      </c>
      <c r="G101" s="92">
        <f t="array" ref="G101">IF(B101="insumo",_xlfn.XLOOKUP($D101,Insumos!$B$1:$B$996,Insumos!$D$1:$D$996),"")</f>
        <v/>
      </c>
      <c r="H101" s="92" t="n">
        <v>30.73</v>
      </c>
      <c r="I101" s="2162" t="n">
        <v>0</v>
      </c>
      <c r="J101" s="2162" t="n">
        <v>0</v>
      </c>
      <c r="K101" s="2162" t="n"/>
    </row>
    <row r="102" outlineLevel="3" ht="15.75" customHeight="1">
      <c r="A102" s="10" t="n">
        <v>11</v>
      </c>
      <c r="B102" s="10" t="inlineStr">
        <is>
          <t>Insumo</t>
        </is>
      </c>
      <c r="C102" s="10" t="inlineStr">
        <is>
          <t>Armazenamento para estoque geral*</t>
        </is>
      </c>
      <c r="D102" s="10" t="inlineStr">
        <is>
          <t>MADEIRA PINUS/SIMILAR - SARRAFO PINUS 50X20MM NBR 11700/15696</t>
        </is>
      </c>
      <c r="E102" s="11">
        <f t="array" ref="E102">_xlfn.XLOOKUP(D102,Insumos!B:B,Insumos!C:$C)</f>
        <v/>
      </c>
      <c r="F102" s="14" t="n">
        <v>0.15</v>
      </c>
      <c r="G102" s="92">
        <f t="array" ref="G102">IF(B102="insumo",_xlfn.XLOOKUP($D102,Insumos!$B$1:$B$996,Insumos!$D$1:$D$996),"")</f>
        <v/>
      </c>
      <c r="H102" s="92" t="n">
        <v>6.975</v>
      </c>
      <c r="I102" s="2162" t="n">
        <v>0</v>
      </c>
      <c r="J102" s="2162" t="n">
        <v>0</v>
      </c>
      <c r="K102" s="2162" t="n"/>
    </row>
    <row r="103" outlineLevel="3" ht="15.75" customHeight="1">
      <c r="A103" s="10" t="n">
        <v>10</v>
      </c>
      <c r="B103" s="10" t="inlineStr">
        <is>
          <t>Insumo</t>
        </is>
      </c>
      <c r="C103" s="10" t="inlineStr">
        <is>
          <t>Armazenamento para estoque geral*</t>
        </is>
      </c>
      <c r="D103" s="10" t="inlineStr">
        <is>
          <t>MADEIRA PINUS/SIMILAR - SARRAFO PINUS 50X10MM NBR 11700</t>
        </is>
      </c>
      <c r="E103" s="11">
        <f t="array" ref="E103">_xlfn.XLOOKUP(D103,Insumos!B:B,Insumos!C:$C)</f>
        <v/>
      </c>
      <c r="F103" s="14" t="n">
        <v>1</v>
      </c>
      <c r="G103" s="92">
        <f t="array" ref="G103">IF(B103="insumo",_xlfn.XLOOKUP($D103,Insumos!$B$1:$B$996,Insumos!$D$1:$D$996),"")</f>
        <v/>
      </c>
      <c r="H103" s="92" t="n">
        <v>7.39</v>
      </c>
      <c r="I103" s="2162" t="n">
        <v>0</v>
      </c>
      <c r="J103" s="2162" t="n">
        <v>0</v>
      </c>
      <c r="K103" s="2162" t="n"/>
    </row>
    <row r="104" outlineLevel="3" ht="15.75" customHeight="1">
      <c r="A104" s="10" t="n">
        <v>40</v>
      </c>
      <c r="B104" s="10" t="inlineStr">
        <is>
          <t>Insumo</t>
        </is>
      </c>
      <c r="C104" s="10" t="inlineStr">
        <is>
          <t>Armazenamento para estoque geral*</t>
        </is>
      </c>
      <c r="D104" s="10" t="inlineStr">
        <is>
          <t>PREGO DE ACO POLIDO COM CABECA 17 X 21 (2 X 11)</t>
        </is>
      </c>
      <c r="E104" s="11">
        <f t="array" ref="E104">_xlfn.XLOOKUP(D104,Insumos!B:B,Insumos!C:$C)</f>
        <v/>
      </c>
      <c r="F104" s="14" t="n">
        <v>1</v>
      </c>
      <c r="G104" s="92">
        <f t="array" ref="G104">IF(B104="insumo",_xlfn.XLOOKUP($D104,Insumos!$B$1:$B$996,Insumos!$D$1:$D$996),"")</f>
        <v/>
      </c>
      <c r="H104" s="92" t="n">
        <v>18.13</v>
      </c>
      <c r="I104" s="2162" t="n">
        <v>0</v>
      </c>
      <c r="J104" s="2162" t="n">
        <v>0</v>
      </c>
      <c r="K104" s="2162" t="n"/>
    </row>
    <row r="105" outlineLevel="3" ht="15.75" customHeight="1">
      <c r="A105" s="10" t="n">
        <v>10</v>
      </c>
      <c r="B105" s="10" t="inlineStr">
        <is>
          <t>Insumo</t>
        </is>
      </c>
      <c r="C105" s="10" t="inlineStr">
        <is>
          <t>Armazenamento para estoque geral*</t>
        </is>
      </c>
      <c r="D105" s="10" t="inlineStr">
        <is>
          <t>EXTINTOR INCENDIO PO QUIMICO 06KG CLASSE ABC (COMPLETO) NBR 15808</t>
        </is>
      </c>
      <c r="E105" s="11">
        <f t="array" ref="E105">_xlfn.XLOOKUP(D105,Insumos!B:B,Insumos!C:$C)</f>
        <v/>
      </c>
      <c r="F105" s="14" t="n">
        <v>0.015</v>
      </c>
      <c r="G105" s="92">
        <f t="array" ref="G105">IF(B105="insumo",_xlfn.XLOOKUP($D105,Insumos!$B$1:$B$996,Insumos!$D$1:$D$996),"")</f>
        <v/>
      </c>
      <c r="H105" s="92" t="n">
        <v>2.78055</v>
      </c>
      <c r="I105" s="2162" t="n">
        <v>0</v>
      </c>
      <c r="J105" s="2162" t="n">
        <v>0</v>
      </c>
      <c r="K105" s="2162" t="n"/>
    </row>
    <row r="106" outlineLevel="3" ht="15.75" customHeight="1">
      <c r="A106" s="10" t="n">
        <v>10</v>
      </c>
      <c r="B106" s="10" t="inlineStr">
        <is>
          <t>Insumo</t>
        </is>
      </c>
      <c r="C106" s="10" t="inlineStr">
        <is>
          <t>Armazenamento para estoque geral*</t>
        </is>
      </c>
      <c r="D106" s="10" t="inlineStr">
        <is>
          <t>MATERIAL PARA INSTALAÇÃO ELÉTRICA</t>
        </is>
      </c>
      <c r="E106" s="11">
        <f t="array" ref="E106">_xlfn.XLOOKUP(D106,Insumos!B:B,Insumos!C:$C)</f>
        <v/>
      </c>
      <c r="F106" s="14" t="n">
        <v>1</v>
      </c>
      <c r="G106" s="92">
        <f t="array" ref="G106">IF(B106="insumo",_xlfn.XLOOKUP($D106,Insumos!$B$1:$B$996,Insumos!$D$1:$D$996),"")</f>
        <v/>
      </c>
      <c r="H106" s="92" t="n">
        <v>215</v>
      </c>
      <c r="I106" s="2162" t="n">
        <v>0</v>
      </c>
      <c r="J106" s="2162" t="n">
        <v>0</v>
      </c>
      <c r="K106" s="2162" t="n"/>
    </row>
    <row r="107" outlineLevel="3" ht="15.75" customHeight="1">
      <c r="A107" s="10" t="n">
        <v>10</v>
      </c>
      <c r="B107" s="10" t="inlineStr">
        <is>
          <t>Insumo</t>
        </is>
      </c>
      <c r="C107" s="10" t="inlineStr">
        <is>
          <t>Armazenamento para estoque geral*</t>
        </is>
      </c>
      <c r="D107" s="10" t="inlineStr">
        <is>
          <t>SERVICO INSTALAÇÃO BARRACAO ALMOXARIFADO</t>
        </is>
      </c>
      <c r="E107" s="11">
        <f t="array" ref="E107">_xlfn.XLOOKUP(D107,Insumos!B:B,Insumos!C:$C)</f>
        <v/>
      </c>
      <c r="F107" s="14" t="n">
        <v>1</v>
      </c>
      <c r="G107" s="92">
        <f t="array" ref="G107">IF(B107="insumo",_xlfn.XLOOKUP($D107,Insumos!$B$1:$B$996,Insumos!$D$1:$D$996),"")</f>
        <v/>
      </c>
      <c r="H107" s="92" t="n">
        <v>50</v>
      </c>
      <c r="I107" s="2162" t="n">
        <v>0</v>
      </c>
      <c r="J107" s="2162" t="n">
        <v>0</v>
      </c>
      <c r="K107" s="2162" t="n"/>
    </row>
    <row r="108" outlineLevel="2" ht="15.75" customHeight="1">
      <c r="A108" s="1067" t="n">
        <v>1</v>
      </c>
      <c r="B108" s="1067" t="inlineStr">
        <is>
          <t>Serviço</t>
        </is>
      </c>
      <c r="C108" s="1067" t="inlineStr">
        <is>
          <t>Construções temporárias</t>
        </is>
      </c>
      <c r="D108" s="1067" t="inlineStr">
        <is>
          <t>Construções temporárias</t>
        </is>
      </c>
      <c r="E108" s="1068" t="inlineStr">
        <is>
          <t>M2</t>
        </is>
      </c>
      <c r="F108" s="1067" t="n"/>
      <c r="G108" s="1069">
        <f t="array" ref="G108">IF(B108="insumo",_xlfn.XLOOKUP($D108,Insumos!$B$1:$B$996,Insumos!$D$1:$D$996),"")</f>
        <v/>
      </c>
      <c r="H108" s="1069" t="n">
        <v>454.5449</v>
      </c>
      <c r="I108" s="2161" t="n">
        <v>0</v>
      </c>
      <c r="J108" s="2161" t="n">
        <v>0</v>
      </c>
      <c r="K108" s="2161" t="n"/>
    </row>
    <row r="109" outlineLevel="3" ht="15.75" customHeight="1">
      <c r="A109" s="10" t="n">
        <v>11</v>
      </c>
      <c r="B109" s="10" t="inlineStr">
        <is>
          <t>Insumo</t>
        </is>
      </c>
      <c r="C109" s="10" t="inlineStr">
        <is>
          <t>Construções temporárias</t>
        </is>
      </c>
      <c r="D109" s="10" t="inlineStr">
        <is>
          <t>MADEIRA PINUS/SIMILAR - TABUA PINUS 200X20MM NBR 11700</t>
        </is>
      </c>
      <c r="E109" s="11">
        <f t="array" ref="E109">_xlfn.XLOOKUP(D109,Insumos!B:B,Insumos!C:$C)</f>
        <v/>
      </c>
      <c r="F109" s="14" t="n">
        <v>0.591</v>
      </c>
      <c r="G109" s="92">
        <f t="array" ref="G109">IF(B109="insumo",_xlfn.XLOOKUP($D109,Insumos!$B$1:$B$996,Insumos!$D$1:$D$996),"")</f>
        <v/>
      </c>
      <c r="H109" s="92" t="n">
        <v>27.4815</v>
      </c>
      <c r="I109" s="2162" t="n">
        <v>0</v>
      </c>
      <c r="J109" s="2162" t="n">
        <v>0</v>
      </c>
      <c r="K109" s="2162" t="n"/>
    </row>
    <row r="110" outlineLevel="3" ht="15.75" customHeight="1">
      <c r="A110" s="10" t="n">
        <v>10</v>
      </c>
      <c r="B110" s="10" t="inlineStr">
        <is>
          <t>Insumo</t>
        </is>
      </c>
      <c r="C110" s="10" t="inlineStr">
        <is>
          <t>Construções temporárias</t>
        </is>
      </c>
      <c r="D110" s="10" t="inlineStr">
        <is>
          <t>COMPENSADO MADEIRA TIPO RESINADO COLA FENOLICA 2440X1220X10MM</t>
        </is>
      </c>
      <c r="E110" s="11">
        <f t="array" ref="E110">_xlfn.XLOOKUP(D110,Insumos!B:B,Insumos!C:$C)</f>
        <v/>
      </c>
      <c r="F110" s="14" t="n">
        <v>0.404</v>
      </c>
      <c r="G110" s="92">
        <f t="array" ref="G110">IF(B110="insumo",_xlfn.XLOOKUP($D110,Insumos!$B$1:$B$996,Insumos!$D$1:$D$996),"")</f>
        <v/>
      </c>
      <c r="H110" s="92" t="n">
        <v>23.61784</v>
      </c>
      <c r="I110" s="2162" t="n">
        <v>0</v>
      </c>
      <c r="J110" s="2162" t="n">
        <v>0</v>
      </c>
      <c r="K110" s="2162" t="n"/>
    </row>
    <row r="111" outlineLevel="3" ht="15.75" customHeight="1">
      <c r="A111" s="10" t="n">
        <v>25</v>
      </c>
      <c r="B111" s="10" t="inlineStr">
        <is>
          <t>Insumo</t>
        </is>
      </c>
      <c r="C111" s="10" t="inlineStr">
        <is>
          <t>Construções temporárias</t>
        </is>
      </c>
      <c r="D111" s="10" t="inlineStr">
        <is>
          <t>MADEIRA PINUS/SIMILAR - PONTALETE 75X75MM NBR 11700/15696</t>
        </is>
      </c>
      <c r="E111" s="11">
        <f t="array" ref="E111">_xlfn.XLOOKUP(D111,Insumos!B:B,Insumos!C:$C)</f>
        <v/>
      </c>
      <c r="F111" s="14" t="n">
        <v>4.39</v>
      </c>
      <c r="G111" s="92">
        <f t="array" ref="G111">IF(B111="insumo",_xlfn.XLOOKUP($D111,Insumos!$B$1:$B$996,Insumos!$D$1:$D$996),"")</f>
        <v/>
      </c>
      <c r="H111" s="92" t="n">
        <v>30.73</v>
      </c>
      <c r="I111" s="2162" t="n">
        <v>0</v>
      </c>
      <c r="J111" s="2162" t="n">
        <v>0</v>
      </c>
      <c r="K111" s="2162" t="n"/>
    </row>
    <row r="112" outlineLevel="3" ht="15.75" customHeight="1">
      <c r="A112" s="10" t="n">
        <v>11</v>
      </c>
      <c r="B112" s="10" t="inlineStr">
        <is>
          <t>Insumo</t>
        </is>
      </c>
      <c r="C112" s="10" t="inlineStr">
        <is>
          <t>Construções temporárias</t>
        </is>
      </c>
      <c r="D112" s="10" t="inlineStr">
        <is>
          <t>MADEIRA PINUS/SIMILAR - SARRAFO PINUS 50X20MM NBR 11700/15696</t>
        </is>
      </c>
      <c r="E112" s="11">
        <f t="array" ref="E112">_xlfn.XLOOKUP(D112,Insumos!B:B,Insumos!C:$C)</f>
        <v/>
      </c>
      <c r="F112" s="14" t="n">
        <v>0.15</v>
      </c>
      <c r="G112" s="92">
        <f t="array" ref="G112">IF(B112="insumo",_xlfn.XLOOKUP($D112,Insumos!$B$1:$B$996,Insumos!$D$1:$D$996),"")</f>
        <v/>
      </c>
      <c r="H112" s="92" t="n">
        <v>6.975</v>
      </c>
      <c r="I112" s="2162" t="n">
        <v>0</v>
      </c>
      <c r="J112" s="2162" t="n">
        <v>0</v>
      </c>
      <c r="K112" s="2162" t="n"/>
    </row>
    <row r="113" outlineLevel="3" ht="15.75" customHeight="1">
      <c r="A113" s="10" t="n">
        <v>10</v>
      </c>
      <c r="B113" s="10" t="inlineStr">
        <is>
          <t>Insumo</t>
        </is>
      </c>
      <c r="C113" s="10" t="inlineStr">
        <is>
          <t>Construções temporárias</t>
        </is>
      </c>
      <c r="D113" s="10" t="inlineStr">
        <is>
          <t>MADEIRA PINUS/SIMILAR - SARRAFO PINUS 50X10MM NBR 11700</t>
        </is>
      </c>
      <c r="E113" s="11">
        <f t="array" ref="E113">_xlfn.XLOOKUP(D113,Insumos!B:B,Insumos!C:$C)</f>
        <v/>
      </c>
      <c r="F113" s="14" t="n">
        <v>1</v>
      </c>
      <c r="G113" s="92">
        <f t="array" ref="G113">IF(B113="insumo",_xlfn.XLOOKUP($D113,Insumos!$B$1:$B$996,Insumos!$D$1:$D$996),"")</f>
        <v/>
      </c>
      <c r="H113" s="92" t="n">
        <v>7.39</v>
      </c>
      <c r="I113" s="2162" t="n">
        <v>0</v>
      </c>
      <c r="J113" s="2162" t="n">
        <v>0</v>
      </c>
      <c r="K113" s="2162" t="n"/>
    </row>
    <row r="114" outlineLevel="3" ht="15.75" customHeight="1">
      <c r="A114" s="10" t="n">
        <v>40</v>
      </c>
      <c r="B114" s="10" t="inlineStr">
        <is>
          <t>Insumo</t>
        </is>
      </c>
      <c r="C114" s="10" t="inlineStr">
        <is>
          <t>Construções temporárias</t>
        </is>
      </c>
      <c r="D114" s="10" t="inlineStr">
        <is>
          <t>PREGO DE ACO POLIDO COM CABECA 17 X 21 (2 X 11)</t>
        </is>
      </c>
      <c r="E114" s="11">
        <f t="array" ref="E114">_xlfn.XLOOKUP(D114,Insumos!B:B,Insumos!C:$C)</f>
        <v/>
      </c>
      <c r="F114" s="14" t="n">
        <v>1</v>
      </c>
      <c r="G114" s="92">
        <f t="array" ref="G114">IF(B114="insumo",_xlfn.XLOOKUP($D114,Insumos!$B$1:$B$996,Insumos!$D$1:$D$996),"")</f>
        <v/>
      </c>
      <c r="H114" s="92" t="n">
        <v>18.13</v>
      </c>
      <c r="I114" s="2162" t="n">
        <v>0</v>
      </c>
      <c r="J114" s="2162" t="n">
        <v>0</v>
      </c>
      <c r="K114" s="2162" t="n"/>
    </row>
    <row r="115" outlineLevel="3" ht="15.75" customHeight="1">
      <c r="A115" s="10" t="n">
        <v>9</v>
      </c>
      <c r="B115" s="10" t="inlineStr">
        <is>
          <t>Insumo</t>
        </is>
      </c>
      <c r="C115" s="10" t="inlineStr">
        <is>
          <t>Construções temporárias</t>
        </is>
      </c>
      <c r="D115" s="10" t="inlineStr">
        <is>
          <t>Concreto Usinado bombeável 20MPa Convencional</t>
        </is>
      </c>
      <c r="E115" s="11">
        <f t="array" ref="E115">_xlfn.XLOOKUP(D115,Insumos!B:B,Insumos!C:$C)</f>
        <v/>
      </c>
      <c r="F115" s="14" t="n">
        <v>0.074</v>
      </c>
      <c r="G115" s="92">
        <f t="array" ref="G115">IF(B115="insumo",_xlfn.XLOOKUP($D115,Insumos!$B$1:$B$996,Insumos!$D$1:$D$996),"")</f>
        <v/>
      </c>
      <c r="H115" s="92" t="n">
        <v>36.26</v>
      </c>
      <c r="I115" s="2162" t="n">
        <v>0</v>
      </c>
      <c r="J115" s="2162" t="n">
        <v>0</v>
      </c>
      <c r="K115" s="2162" t="n"/>
    </row>
    <row r="116" outlineLevel="3" ht="15.75" customHeight="1">
      <c r="A116" s="10" t="n">
        <v>2</v>
      </c>
      <c r="B116" s="10" t="inlineStr">
        <is>
          <t>Insumo</t>
        </is>
      </c>
      <c r="C116" s="10" t="inlineStr">
        <is>
          <t>Construções temporárias</t>
        </is>
      </c>
      <c r="D116" s="10" t="inlineStr">
        <is>
          <t>TELA ACO CARBONO CA60 M.150X150MM F.03,4MM 245X600CM Q61 (14,26KG/UN)</t>
        </is>
      </c>
      <c r="E116" s="11">
        <f t="array" ref="E116">_xlfn.XLOOKUP(D116,Insumos!B:B,Insumos!C:$C)</f>
        <v/>
      </c>
      <c r="F116" s="14" t="n">
        <v>1.334</v>
      </c>
      <c r="G116" s="92">
        <f t="array" ref="G116">IF(B116="insumo",_xlfn.XLOOKUP($D116,Insumos!$B$1:$B$996,Insumos!$D$1:$D$996),"")</f>
        <v/>
      </c>
      <c r="H116" s="92" t="n">
        <v>8.1374</v>
      </c>
      <c r="I116" s="2162" t="n">
        <v>0</v>
      </c>
      <c r="J116" s="2162" t="n">
        <v>0</v>
      </c>
      <c r="K116" s="2162" t="n"/>
    </row>
    <row r="117" outlineLevel="3" ht="15.75" customHeight="1">
      <c r="A117" s="10" t="n">
        <v>2</v>
      </c>
      <c r="B117" s="10" t="inlineStr">
        <is>
          <t>Insumo</t>
        </is>
      </c>
      <c r="C117" s="10" t="inlineStr">
        <is>
          <t>Construções temporárias</t>
        </is>
      </c>
      <c r="D117" s="10" t="inlineStr">
        <is>
          <t>TELHA FIBROCIMENTO NATURAL S/AMIANTO 06X1100X1530MM NBR 7581/15210</t>
        </is>
      </c>
      <c r="E117" s="11">
        <f t="array" ref="E117">_xlfn.XLOOKUP(D117,Insumos!B:B,Insumos!C:$C)</f>
        <v/>
      </c>
      <c r="F117" s="14" t="n">
        <v>1.19</v>
      </c>
      <c r="G117" s="92">
        <f t="array" ref="G117">IF(B117="insumo",_xlfn.XLOOKUP($D117,Insumos!$B$1:$B$996,Insumos!$D$1:$D$996),"")</f>
        <v/>
      </c>
      <c r="H117" s="92" t="n">
        <v>25.3589</v>
      </c>
      <c r="I117" s="2162" t="n">
        <v>0</v>
      </c>
      <c r="J117" s="2162" t="n">
        <v>0</v>
      </c>
      <c r="K117" s="2162" t="n"/>
    </row>
    <row r="118" outlineLevel="3" ht="15.75" customHeight="1">
      <c r="A118" s="10" t="n">
        <v>2</v>
      </c>
      <c r="B118" s="10" t="inlineStr">
        <is>
          <t>Insumo</t>
        </is>
      </c>
      <c r="C118" s="10" t="inlineStr">
        <is>
          <t>Construções temporárias</t>
        </is>
      </c>
      <c r="D118" s="10" t="inlineStr">
        <is>
          <t>TINTA LATEX ACRILICO FOSCO INT./EXT. PREMIUM PLUS BRANCO NBR 14942</t>
        </is>
      </c>
      <c r="E118" s="11">
        <f t="array" ref="E118">_xlfn.XLOOKUP(D118,Insumos!B:B,Insumos!C:$C)</f>
        <v/>
      </c>
      <c r="F118" s="14" t="n">
        <v>0.18</v>
      </c>
      <c r="G118" s="92">
        <f t="array" ref="G118">IF(B118="insumo",_xlfn.XLOOKUP($D118,Insumos!$B$1:$B$996,Insumos!$D$1:$D$996),"")</f>
        <v/>
      </c>
      <c r="H118" s="92" t="n">
        <v>1.53</v>
      </c>
      <c r="I118" s="2162" t="n">
        <v>0</v>
      </c>
      <c r="J118" s="2162" t="n">
        <v>0</v>
      </c>
      <c r="K118" s="2162" t="n"/>
    </row>
    <row r="119" outlineLevel="3" ht="15.75" customHeight="1">
      <c r="A119" s="10" t="n">
        <v>2</v>
      </c>
      <c r="B119" s="10" t="inlineStr">
        <is>
          <t>Insumo</t>
        </is>
      </c>
      <c r="C119" s="10" t="inlineStr">
        <is>
          <t>Construções temporárias</t>
        </is>
      </c>
      <c r="D119" s="10" t="inlineStr">
        <is>
          <t>TINTA ESMALTE ACETINADO BASE SOLVENTE BRANCO NBR 15299</t>
        </is>
      </c>
      <c r="E119" s="11">
        <f t="array" ref="E119">_xlfn.XLOOKUP(D119,Insumos!B:B,Insumos!C:$C)</f>
        <v/>
      </c>
      <c r="F119" s="14" t="n">
        <v>0.06</v>
      </c>
      <c r="G119" s="92">
        <f t="array" ref="G119">IF(B119="insumo",_xlfn.XLOOKUP($D119,Insumos!$B$1:$B$996,Insumos!$D$1:$D$996),"")</f>
        <v/>
      </c>
      <c r="H119" s="92" t="n">
        <v>0.6</v>
      </c>
      <c r="I119" s="2162" t="n">
        <v>0</v>
      </c>
      <c r="J119" s="2162" t="n">
        <v>0</v>
      </c>
      <c r="K119" s="2162" t="n"/>
    </row>
    <row r="120" outlineLevel="3" ht="15.75" customHeight="1">
      <c r="A120" s="10" t="n">
        <v>2</v>
      </c>
      <c r="B120" s="10" t="inlineStr">
        <is>
          <t>Insumo</t>
        </is>
      </c>
      <c r="C120" s="10" t="inlineStr">
        <is>
          <t>Construções temporárias</t>
        </is>
      </c>
      <c r="D120" s="10" t="inlineStr">
        <is>
          <t>SOLVENTE BASE THINNER P/TINTA NBR 14725</t>
        </is>
      </c>
      <c r="E120" s="11">
        <f t="array" ref="E120">_xlfn.XLOOKUP(D120,Insumos!B:B,Insumos!C:$C)</f>
        <v/>
      </c>
      <c r="F120" s="14" t="n">
        <v>0.03</v>
      </c>
      <c r="G120" s="92">
        <f t="array" ref="G120">IF(B120="insumo",_xlfn.XLOOKUP($D120,Insumos!$B$1:$B$996,Insumos!$D$1:$D$996),"")</f>
        <v/>
      </c>
      <c r="H120" s="92" t="n">
        <v>0.48</v>
      </c>
      <c r="I120" s="2162" t="n">
        <v>0</v>
      </c>
      <c r="J120" s="2162" t="n">
        <v>0</v>
      </c>
      <c r="K120" s="2162" t="n"/>
    </row>
    <row r="121" outlineLevel="3" ht="15.75" customHeight="1">
      <c r="A121" s="10" t="n">
        <v>36</v>
      </c>
      <c r="B121" s="10" t="inlineStr">
        <is>
          <t>Insumo</t>
        </is>
      </c>
      <c r="C121" s="10" t="inlineStr">
        <is>
          <t>Construções temporárias</t>
        </is>
      </c>
      <c r="D121" s="10" t="inlineStr">
        <is>
          <t>LIXA DAGUA 225X275MM GR100</t>
        </is>
      </c>
      <c r="E121" s="11">
        <f t="array" ref="E121">_xlfn.XLOOKUP(D121,Insumos!B:B,Insumos!C:$C)</f>
        <v/>
      </c>
      <c r="F121" s="14" t="n">
        <v>0.039</v>
      </c>
      <c r="G121" s="92">
        <f t="array" ref="G121">IF(B121="insumo",_xlfn.XLOOKUP($D121,Insumos!$B$1:$B$996,Insumos!$D$1:$D$996),"")</f>
        <v/>
      </c>
      <c r="H121" s="92" t="n">
        <v>0.07371</v>
      </c>
      <c r="I121" s="2162" t="n">
        <v>0</v>
      </c>
      <c r="J121" s="2162" t="n">
        <v>0</v>
      </c>
      <c r="K121" s="2162" t="n"/>
    </row>
    <row r="122" outlineLevel="3" ht="15.75" customHeight="1">
      <c r="A122" s="10" t="n">
        <v>10</v>
      </c>
      <c r="B122" s="10" t="inlineStr">
        <is>
          <t>Insumo</t>
        </is>
      </c>
      <c r="C122" s="10" t="inlineStr">
        <is>
          <t>Construções temporárias</t>
        </is>
      </c>
      <c r="D122" s="10" t="inlineStr">
        <is>
          <t>EXTINTOR INCENDIO PO QUIMICO 06KG CLASSE ABC (COMPLETO) NBR 15808</t>
        </is>
      </c>
      <c r="E122" s="11">
        <f t="array" ref="E122">_xlfn.XLOOKUP(D122,Insumos!B:B,Insumos!C:$C)</f>
        <v/>
      </c>
      <c r="F122" s="14" t="n">
        <v>0.015</v>
      </c>
      <c r="G122" s="92">
        <f t="array" ref="G122">IF(B122="insumo",_xlfn.XLOOKUP($D122,Insumos!$B$1:$B$996,Insumos!$D$1:$D$996),"")</f>
        <v/>
      </c>
      <c r="H122" s="92" t="n">
        <v>2.78055</v>
      </c>
      <c r="I122" s="2162" t="n">
        <v>0</v>
      </c>
      <c r="J122" s="2162" t="n">
        <v>0</v>
      </c>
      <c r="K122" s="2162" t="n"/>
    </row>
    <row r="123" outlineLevel="3" ht="15.75" customHeight="1">
      <c r="A123" s="10" t="n">
        <v>10</v>
      </c>
      <c r="B123" s="10" t="inlineStr">
        <is>
          <t>Insumo</t>
        </is>
      </c>
      <c r="C123" s="10" t="inlineStr">
        <is>
          <t>Construções temporárias</t>
        </is>
      </c>
      <c r="D123" s="10" t="inlineStr">
        <is>
          <t>MATERIAL PARA INSTALAÇÃO ELÉTRICA</t>
        </is>
      </c>
      <c r="E123" s="11">
        <f t="array" ref="E123">_xlfn.XLOOKUP(D123,Insumos!B:B,Insumos!C:$C)</f>
        <v/>
      </c>
      <c r="F123" s="14" t="n">
        <v>1</v>
      </c>
      <c r="G123" s="92">
        <f t="array" ref="G123">IF(B123="insumo",_xlfn.XLOOKUP($D123,Insumos!$B$1:$B$996,Insumos!$D$1:$D$996),"")</f>
        <v/>
      </c>
      <c r="H123" s="92" t="n">
        <v>215</v>
      </c>
      <c r="I123" s="2162" t="n">
        <v>0</v>
      </c>
      <c r="J123" s="2162" t="n">
        <v>0</v>
      </c>
      <c r="K123" s="2162" t="n"/>
    </row>
    <row r="124" outlineLevel="3" ht="15.75" customHeight="1">
      <c r="A124" s="10" t="n">
        <v>10</v>
      </c>
      <c r="B124" s="10" t="inlineStr">
        <is>
          <t>Insumo</t>
        </is>
      </c>
      <c r="C124" s="10" t="inlineStr">
        <is>
          <t>Construções temporárias</t>
        </is>
      </c>
      <c r="D124" s="10" t="inlineStr">
        <is>
          <t>SERVICO INSTALAÇÃO BARRACAO ALMOXARIFADO</t>
        </is>
      </c>
      <c r="E124" s="11">
        <f t="array" ref="E124">_xlfn.XLOOKUP(D124,Insumos!B:B,Insumos!C:$C)</f>
        <v/>
      </c>
      <c r="F124" s="14" t="n">
        <v>1</v>
      </c>
      <c r="G124" s="92">
        <f t="array" ref="G124">IF(B124="insumo",_xlfn.XLOOKUP($D124,Insumos!$B$1:$B$996,Insumos!$D$1:$D$996),"")</f>
        <v/>
      </c>
      <c r="H124" s="92" t="n">
        <v>50</v>
      </c>
      <c r="I124" s="2162" t="n">
        <v>0</v>
      </c>
      <c r="J124" s="2162" t="n">
        <v>0</v>
      </c>
      <c r="K124" s="2162" t="n"/>
    </row>
    <row r="125" outlineLevel="2" ht="15.75" customHeight="1">
      <c r="A125" s="1067" t="n">
        <v>1</v>
      </c>
      <c r="B125" s="1067" t="inlineStr">
        <is>
          <t>Serviço</t>
        </is>
      </c>
      <c r="C125" s="1067" t="inlineStr">
        <is>
          <t>Almoxarifado geral</t>
        </is>
      </c>
      <c r="D125" s="1067" t="inlineStr">
        <is>
          <t>Almoxarifado geral</t>
        </is>
      </c>
      <c r="E125" s="1068" t="inlineStr">
        <is>
          <t>M2</t>
        </is>
      </c>
      <c r="F125" s="1067" t="n"/>
      <c r="G125" s="1069">
        <f t="array" ref="G125">IF(B125="insumo",_xlfn.XLOOKUP($D125,Insumos!$B$1:$B$996,Insumos!$D$1:$D$996),"")</f>
        <v/>
      </c>
      <c r="H125" s="1069" t="n">
        <v>454.5449</v>
      </c>
      <c r="I125" s="2161" t="n">
        <v>0</v>
      </c>
      <c r="J125" s="2161" t="n">
        <v>0</v>
      </c>
      <c r="K125" s="2161" t="n"/>
    </row>
    <row r="126" outlineLevel="3" ht="15.75" customHeight="1">
      <c r="A126" s="10" t="n">
        <v>11</v>
      </c>
      <c r="B126" s="10" t="inlineStr">
        <is>
          <t>Insumo</t>
        </is>
      </c>
      <c r="C126" s="10" t="inlineStr">
        <is>
          <t>Almoxarifado geral</t>
        </is>
      </c>
      <c r="D126" s="10" t="inlineStr">
        <is>
          <t>MADEIRA PINUS/SIMILAR - TABUA PINUS 200X20MM NBR 11700</t>
        </is>
      </c>
      <c r="E126" s="11">
        <f t="array" ref="E126">_xlfn.XLOOKUP(D126,Insumos!B:B,Insumos!C:$C)</f>
        <v/>
      </c>
      <c r="F126" s="14" t="n">
        <v>0.591</v>
      </c>
      <c r="G126" s="92">
        <f t="array" ref="G126">IF(B126="insumo",_xlfn.XLOOKUP($D126,Insumos!$B$1:$B$996,Insumos!$D$1:$D$996),"")</f>
        <v/>
      </c>
      <c r="H126" s="92" t="n">
        <v>27.4815</v>
      </c>
      <c r="I126" s="2162" t="n">
        <v>0</v>
      </c>
      <c r="J126" s="2162" t="n">
        <v>0</v>
      </c>
      <c r="K126" s="2162" t="n"/>
    </row>
    <row r="127" outlineLevel="3" ht="15.75" customHeight="1">
      <c r="A127" s="10" t="n">
        <v>10</v>
      </c>
      <c r="B127" s="10" t="inlineStr">
        <is>
          <t>Insumo</t>
        </is>
      </c>
      <c r="C127" s="10" t="inlineStr">
        <is>
          <t>Almoxarifado geral</t>
        </is>
      </c>
      <c r="D127" s="10" t="inlineStr">
        <is>
          <t>COMPENSADO MADEIRA TIPO RESINADO COLA FENOLICA 2440X1220X10MM</t>
        </is>
      </c>
      <c r="E127" s="11">
        <f t="array" ref="E127">_xlfn.XLOOKUP(D127,Insumos!B:B,Insumos!C:$C)</f>
        <v/>
      </c>
      <c r="F127" s="14" t="n">
        <v>0.404</v>
      </c>
      <c r="G127" s="92">
        <f t="array" ref="G127">IF(B127="insumo",_xlfn.XLOOKUP($D127,Insumos!$B$1:$B$996,Insumos!$D$1:$D$996),"")</f>
        <v/>
      </c>
      <c r="H127" s="92" t="n">
        <v>23.61784</v>
      </c>
      <c r="I127" s="2162" t="n">
        <v>0</v>
      </c>
      <c r="J127" s="2162" t="n">
        <v>0</v>
      </c>
      <c r="K127" s="2162" t="n"/>
    </row>
    <row r="128" outlineLevel="3" ht="15.75" customHeight="1">
      <c r="A128" s="10" t="n">
        <v>25</v>
      </c>
      <c r="B128" s="10" t="inlineStr">
        <is>
          <t>Insumo</t>
        </is>
      </c>
      <c r="C128" s="10" t="inlineStr">
        <is>
          <t>Almoxarifado geral</t>
        </is>
      </c>
      <c r="D128" s="10" t="inlineStr">
        <is>
          <t>MADEIRA PINUS/SIMILAR - PONTALETE 75X75MM NBR 11700/15696</t>
        </is>
      </c>
      <c r="E128" s="11">
        <f t="array" ref="E128">_xlfn.XLOOKUP(D128,Insumos!B:B,Insumos!C:$C)</f>
        <v/>
      </c>
      <c r="F128" s="14" t="n">
        <v>4.39</v>
      </c>
      <c r="G128" s="92">
        <f t="array" ref="G128">IF(B128="insumo",_xlfn.XLOOKUP($D128,Insumos!$B$1:$B$996,Insumos!$D$1:$D$996),"")</f>
        <v/>
      </c>
      <c r="H128" s="92" t="n">
        <v>30.73</v>
      </c>
      <c r="I128" s="2162" t="n">
        <v>0</v>
      </c>
      <c r="J128" s="2162" t="n">
        <v>0</v>
      </c>
      <c r="K128" s="2162" t="n"/>
    </row>
    <row r="129" outlineLevel="3" ht="15.75" customHeight="1">
      <c r="A129" s="10" t="n">
        <v>11</v>
      </c>
      <c r="B129" s="10" t="inlineStr">
        <is>
          <t>Insumo</t>
        </is>
      </c>
      <c r="C129" s="10" t="inlineStr">
        <is>
          <t>Almoxarifado geral</t>
        </is>
      </c>
      <c r="D129" s="10" t="inlineStr">
        <is>
          <t>MADEIRA PINUS/SIMILAR - SARRAFO PINUS 50X20MM NBR 11700/15696</t>
        </is>
      </c>
      <c r="E129" s="11">
        <f t="array" ref="E129">_xlfn.XLOOKUP(D129,Insumos!B:B,Insumos!C:$C)</f>
        <v/>
      </c>
      <c r="F129" s="14" t="n">
        <v>0.15</v>
      </c>
      <c r="G129" s="92">
        <f t="array" ref="G129">IF(B129="insumo",_xlfn.XLOOKUP($D129,Insumos!$B$1:$B$996,Insumos!$D$1:$D$996),"")</f>
        <v/>
      </c>
      <c r="H129" s="92" t="n">
        <v>6.975</v>
      </c>
      <c r="I129" s="2162" t="n">
        <v>0</v>
      </c>
      <c r="J129" s="2162" t="n">
        <v>0</v>
      </c>
      <c r="K129" s="2162" t="n"/>
    </row>
    <row r="130" outlineLevel="3" ht="15.75" customHeight="1">
      <c r="A130" s="10" t="n">
        <v>10</v>
      </c>
      <c r="B130" s="10" t="inlineStr">
        <is>
          <t>Insumo</t>
        </is>
      </c>
      <c r="C130" s="10" t="inlineStr">
        <is>
          <t>Almoxarifado geral</t>
        </is>
      </c>
      <c r="D130" s="10" t="inlineStr">
        <is>
          <t>MADEIRA PINUS/SIMILAR - SARRAFO PINUS 50X10MM NBR 11700</t>
        </is>
      </c>
      <c r="E130" s="11">
        <f t="array" ref="E130">_xlfn.XLOOKUP(D130,Insumos!B:B,Insumos!C:$C)</f>
        <v/>
      </c>
      <c r="F130" s="14" t="n">
        <v>1</v>
      </c>
      <c r="G130" s="92">
        <f t="array" ref="G130">IF(B130="insumo",_xlfn.XLOOKUP($D130,Insumos!$B$1:$B$996,Insumos!$D$1:$D$996),"")</f>
        <v/>
      </c>
      <c r="H130" s="92" t="n">
        <v>7.39</v>
      </c>
      <c r="I130" s="2162" t="n">
        <v>0</v>
      </c>
      <c r="J130" s="2162" t="n">
        <v>0</v>
      </c>
      <c r="K130" s="2162" t="n"/>
    </row>
    <row r="131" outlineLevel="3" ht="15.75" customHeight="1">
      <c r="A131" s="10" t="n">
        <v>40</v>
      </c>
      <c r="B131" s="10" t="inlineStr">
        <is>
          <t>Insumo</t>
        </is>
      </c>
      <c r="C131" s="10" t="inlineStr">
        <is>
          <t>Almoxarifado geral</t>
        </is>
      </c>
      <c r="D131" s="10" t="inlineStr">
        <is>
          <t>PREGO DE ACO POLIDO COM CABECA 17 X 21 (2 X 11)</t>
        </is>
      </c>
      <c r="E131" s="11">
        <f t="array" ref="E131">_xlfn.XLOOKUP(D131,Insumos!B:B,Insumos!C:$C)</f>
        <v/>
      </c>
      <c r="F131" s="14" t="n">
        <v>1</v>
      </c>
      <c r="G131" s="92">
        <f t="array" ref="G131">IF(B131="insumo",_xlfn.XLOOKUP($D131,Insumos!$B$1:$B$996,Insumos!$D$1:$D$996),"")</f>
        <v/>
      </c>
      <c r="H131" s="92" t="n">
        <v>18.13</v>
      </c>
      <c r="I131" s="2162" t="n">
        <v>0</v>
      </c>
      <c r="J131" s="2162" t="n">
        <v>0</v>
      </c>
      <c r="K131" s="2162" t="n"/>
    </row>
    <row r="132" outlineLevel="3" ht="15.75" customHeight="1">
      <c r="A132" s="10" t="n">
        <v>9</v>
      </c>
      <c r="B132" s="10" t="inlineStr">
        <is>
          <t>Insumo</t>
        </is>
      </c>
      <c r="C132" s="10" t="inlineStr">
        <is>
          <t>Almoxarifado geral</t>
        </is>
      </c>
      <c r="D132" s="10" t="inlineStr">
        <is>
          <t>Concreto Usinado bombeável 20MPa Convencional</t>
        </is>
      </c>
      <c r="E132" s="11">
        <f t="array" ref="E132">_xlfn.XLOOKUP(D132,Insumos!B:B,Insumos!C:$C)</f>
        <v/>
      </c>
      <c r="F132" s="14" t="n">
        <v>0.074</v>
      </c>
      <c r="G132" s="92">
        <f t="array" ref="G132">IF(B132="insumo",_xlfn.XLOOKUP($D132,Insumos!$B$1:$B$996,Insumos!$D$1:$D$996),"")</f>
        <v/>
      </c>
      <c r="H132" s="92" t="n">
        <v>36.26</v>
      </c>
      <c r="I132" s="2162" t="n">
        <v>0</v>
      </c>
      <c r="J132" s="2162" t="n">
        <v>0</v>
      </c>
      <c r="K132" s="2162" t="n"/>
    </row>
    <row r="133" outlineLevel="3" ht="15.75" customHeight="1">
      <c r="A133" s="10" t="n">
        <v>2</v>
      </c>
      <c r="B133" s="10" t="inlineStr">
        <is>
          <t>Insumo</t>
        </is>
      </c>
      <c r="C133" s="10" t="inlineStr">
        <is>
          <t>Almoxarifado geral</t>
        </is>
      </c>
      <c r="D133" s="10" t="inlineStr">
        <is>
          <t>TELA ACO CARBONO CA60 M.150X150MM F.03,4MM 245X600CM Q61 (14,26KG/UN)</t>
        </is>
      </c>
      <c r="E133" s="11">
        <f t="array" ref="E133">_xlfn.XLOOKUP(D133,Insumos!B:B,Insumos!C:$C)</f>
        <v/>
      </c>
      <c r="F133" s="14" t="n">
        <v>1.334</v>
      </c>
      <c r="G133" s="92">
        <f t="array" ref="G133">IF(B133="insumo",_xlfn.XLOOKUP($D133,Insumos!$B$1:$B$996,Insumos!$D$1:$D$996),"")</f>
        <v/>
      </c>
      <c r="H133" s="92" t="n">
        <v>8.1374</v>
      </c>
      <c r="I133" s="2162" t="n">
        <v>0</v>
      </c>
      <c r="J133" s="2162" t="n">
        <v>0</v>
      </c>
      <c r="K133" s="2162" t="n"/>
    </row>
    <row r="134" outlineLevel="3" ht="15.75" customHeight="1">
      <c r="A134" s="10" t="n">
        <v>2</v>
      </c>
      <c r="B134" s="10" t="inlineStr">
        <is>
          <t>Insumo</t>
        </is>
      </c>
      <c r="C134" s="10" t="inlineStr">
        <is>
          <t>Almoxarifado geral</t>
        </is>
      </c>
      <c r="D134" s="10" t="inlineStr">
        <is>
          <t>TELHA FIBROCIMENTO NATURAL S/AMIANTO 06X1100X1530MM NBR 7581/15210</t>
        </is>
      </c>
      <c r="E134" s="11">
        <f t="array" ref="E134">_xlfn.XLOOKUP(D134,Insumos!B:B,Insumos!C:$C)</f>
        <v/>
      </c>
      <c r="F134" s="14" t="n">
        <v>1.19</v>
      </c>
      <c r="G134" s="92">
        <f t="array" ref="G134">IF(B134="insumo",_xlfn.XLOOKUP($D134,Insumos!$B$1:$B$996,Insumos!$D$1:$D$996),"")</f>
        <v/>
      </c>
      <c r="H134" s="92" t="n">
        <v>25.3589</v>
      </c>
      <c r="I134" s="2162" t="n">
        <v>0</v>
      </c>
      <c r="J134" s="2162" t="n">
        <v>0</v>
      </c>
      <c r="K134" s="2162" t="n"/>
    </row>
    <row r="135" outlineLevel="3" ht="15.75" customHeight="1">
      <c r="A135" s="10" t="n">
        <v>2</v>
      </c>
      <c r="B135" s="10" t="inlineStr">
        <is>
          <t>Insumo</t>
        </is>
      </c>
      <c r="C135" s="10" t="inlineStr">
        <is>
          <t>Almoxarifado geral</t>
        </is>
      </c>
      <c r="D135" s="10" t="inlineStr">
        <is>
          <t>TINTA LATEX ACRILICO FOSCO INT./EXT. PREMIUM PLUS BRANCO NBR 14942</t>
        </is>
      </c>
      <c r="E135" s="11">
        <f t="array" ref="E135">_xlfn.XLOOKUP(D135,Insumos!B:B,Insumos!C:$C)</f>
        <v/>
      </c>
      <c r="F135" s="14" t="n">
        <v>0.18</v>
      </c>
      <c r="G135" s="92">
        <f t="array" ref="G135">IF(B135="insumo",_xlfn.XLOOKUP($D135,Insumos!$B$1:$B$996,Insumos!$D$1:$D$996),"")</f>
        <v/>
      </c>
      <c r="H135" s="92" t="n">
        <v>1.53</v>
      </c>
      <c r="I135" s="2162" t="n">
        <v>0</v>
      </c>
      <c r="J135" s="2162" t="n">
        <v>0</v>
      </c>
      <c r="K135" s="2162" t="n"/>
    </row>
    <row r="136" outlineLevel="3" ht="15.75" customHeight="1">
      <c r="A136" s="10" t="n">
        <v>2</v>
      </c>
      <c r="B136" s="10" t="inlineStr">
        <is>
          <t>Insumo</t>
        </is>
      </c>
      <c r="C136" s="10" t="inlineStr">
        <is>
          <t>Almoxarifado geral</t>
        </is>
      </c>
      <c r="D136" s="10" t="inlineStr">
        <is>
          <t>TINTA ESMALTE ACETINADO BASE SOLVENTE BRANCO NBR 15299</t>
        </is>
      </c>
      <c r="E136" s="11">
        <f t="array" ref="E136">_xlfn.XLOOKUP(D136,Insumos!B:B,Insumos!C:$C)</f>
        <v/>
      </c>
      <c r="F136" s="14" t="n">
        <v>0.06</v>
      </c>
      <c r="G136" s="92">
        <f t="array" ref="G136">IF(B136="insumo",_xlfn.XLOOKUP($D136,Insumos!$B$1:$B$996,Insumos!$D$1:$D$996),"")</f>
        <v/>
      </c>
      <c r="H136" s="92" t="n">
        <v>0.6</v>
      </c>
      <c r="I136" s="2162" t="n">
        <v>0</v>
      </c>
      <c r="J136" s="2162" t="n">
        <v>0</v>
      </c>
      <c r="K136" s="2162" t="n"/>
    </row>
    <row r="137" outlineLevel="3" ht="15.75" customHeight="1">
      <c r="A137" s="10" t="n">
        <v>2</v>
      </c>
      <c r="B137" s="10" t="inlineStr">
        <is>
          <t>Insumo</t>
        </is>
      </c>
      <c r="C137" s="10" t="inlineStr">
        <is>
          <t>Almoxarifado geral</t>
        </is>
      </c>
      <c r="D137" s="10" t="inlineStr">
        <is>
          <t>SOLVENTE BASE THINNER P/TINTA NBR 14725</t>
        </is>
      </c>
      <c r="E137" s="11">
        <f t="array" ref="E137">_xlfn.XLOOKUP(D137,Insumos!B:B,Insumos!C:$C)</f>
        <v/>
      </c>
      <c r="F137" s="14" t="n">
        <v>0.03</v>
      </c>
      <c r="G137" s="92">
        <f t="array" ref="G137">IF(B137="insumo",_xlfn.XLOOKUP($D137,Insumos!$B$1:$B$996,Insumos!$D$1:$D$996),"")</f>
        <v/>
      </c>
      <c r="H137" s="92" t="n">
        <v>0.48</v>
      </c>
      <c r="I137" s="2162" t="n">
        <v>0</v>
      </c>
      <c r="J137" s="2162" t="n">
        <v>0</v>
      </c>
      <c r="K137" s="2162" t="n"/>
    </row>
    <row r="138" outlineLevel="3" ht="15.75" customHeight="1">
      <c r="A138" s="10" t="n">
        <v>36</v>
      </c>
      <c r="B138" s="10" t="inlineStr">
        <is>
          <t>Insumo</t>
        </is>
      </c>
      <c r="C138" s="10" t="inlineStr">
        <is>
          <t>Almoxarifado geral</t>
        </is>
      </c>
      <c r="D138" s="10" t="inlineStr">
        <is>
          <t>LIXA DAGUA 225X275MM GR100</t>
        </is>
      </c>
      <c r="E138" s="11">
        <f t="array" ref="E138">_xlfn.XLOOKUP(D138,Insumos!B:B,Insumos!C:$C)</f>
        <v/>
      </c>
      <c r="F138" s="14" t="n">
        <v>0.039</v>
      </c>
      <c r="G138" s="92">
        <f t="array" ref="G138">IF(B138="insumo",_xlfn.XLOOKUP($D138,Insumos!$B$1:$B$996,Insumos!$D$1:$D$996),"")</f>
        <v/>
      </c>
      <c r="H138" s="92" t="n">
        <v>0.07371</v>
      </c>
      <c r="I138" s="2162" t="n">
        <v>0</v>
      </c>
      <c r="J138" s="2162" t="n">
        <v>0</v>
      </c>
      <c r="K138" s="2162" t="n"/>
    </row>
    <row r="139" outlineLevel="3" ht="15.75" customHeight="1">
      <c r="A139" s="10" t="n">
        <v>10</v>
      </c>
      <c r="B139" s="10" t="inlineStr">
        <is>
          <t>Insumo</t>
        </is>
      </c>
      <c r="C139" s="10" t="inlineStr">
        <is>
          <t>Almoxarifado geral</t>
        </is>
      </c>
      <c r="D139" s="10" t="inlineStr">
        <is>
          <t>EXTINTOR INCENDIO PO QUIMICO 06KG CLASSE ABC (COMPLETO) NBR 15808</t>
        </is>
      </c>
      <c r="E139" s="11">
        <f t="array" ref="E139">_xlfn.XLOOKUP(D139,Insumos!B:B,Insumos!C:$C)</f>
        <v/>
      </c>
      <c r="F139" s="14" t="n">
        <v>0.015</v>
      </c>
      <c r="G139" s="92">
        <f t="array" ref="G139">IF(B139="insumo",_xlfn.XLOOKUP($D139,Insumos!$B$1:$B$996,Insumos!$D$1:$D$996),"")</f>
        <v/>
      </c>
      <c r="H139" s="92" t="n">
        <v>2.78055</v>
      </c>
      <c r="I139" s="2162" t="n">
        <v>0</v>
      </c>
      <c r="J139" s="2162" t="n">
        <v>0</v>
      </c>
      <c r="K139" s="2162" t="n"/>
    </row>
    <row r="140" outlineLevel="3" ht="15.75" customHeight="1">
      <c r="A140" s="10" t="n">
        <v>10</v>
      </c>
      <c r="B140" s="10" t="inlineStr">
        <is>
          <t>Insumo</t>
        </is>
      </c>
      <c r="C140" s="10" t="inlineStr">
        <is>
          <t>Almoxarifado geral</t>
        </is>
      </c>
      <c r="D140" s="10" t="inlineStr">
        <is>
          <t>MATERIAL PARA INSTALAÇÃO ELÉTRICA</t>
        </is>
      </c>
      <c r="E140" s="11">
        <f t="array" ref="E140">_xlfn.XLOOKUP(D140,Insumos!B:B,Insumos!C:$C)</f>
        <v/>
      </c>
      <c r="F140" s="14" t="n">
        <v>1</v>
      </c>
      <c r="G140" s="92">
        <f t="array" ref="G140">IF(B140="insumo",_xlfn.XLOOKUP($D140,Insumos!$B$1:$B$996,Insumos!$D$1:$D$996),"")</f>
        <v/>
      </c>
      <c r="H140" s="92" t="n">
        <v>215</v>
      </c>
      <c r="I140" s="2162" t="n">
        <v>0</v>
      </c>
      <c r="J140" s="2162" t="n">
        <v>0</v>
      </c>
      <c r="K140" s="2162" t="n"/>
    </row>
    <row r="141" outlineLevel="3" ht="15.75" customHeight="1">
      <c r="A141" s="10" t="n">
        <v>10</v>
      </c>
      <c r="B141" s="10" t="inlineStr">
        <is>
          <t>Insumo</t>
        </is>
      </c>
      <c r="C141" s="10" t="inlineStr">
        <is>
          <t>Almoxarifado geral</t>
        </is>
      </c>
      <c r="D141" s="10" t="inlineStr">
        <is>
          <t>SERVICO INSTALAÇÃO BARRACAO ALMOXARIFADO</t>
        </is>
      </c>
      <c r="E141" s="11">
        <f t="array" ref="E141">_xlfn.XLOOKUP(D141,Insumos!B:B,Insumos!C:$C)</f>
        <v/>
      </c>
      <c r="F141" s="14" t="n">
        <v>1</v>
      </c>
      <c r="G141" s="92">
        <f t="array" ref="G141">IF(B141="insumo",_xlfn.XLOOKUP($D141,Insumos!$B$1:$B$996,Insumos!$D$1:$D$996),"")</f>
        <v/>
      </c>
      <c r="H141" s="92" t="n">
        <v>50</v>
      </c>
      <c r="I141" s="2162" t="n">
        <v>0</v>
      </c>
      <c r="J141" s="2162" t="n">
        <v>0</v>
      </c>
      <c r="K141" s="2162" t="n"/>
    </row>
    <row r="142" outlineLevel="2" ht="15.75" customHeight="1">
      <c r="A142" s="1067" t="n">
        <v>1</v>
      </c>
      <c r="B142" s="1067" t="inlineStr">
        <is>
          <t>Serviço</t>
        </is>
      </c>
      <c r="C142" s="1067" t="inlineStr">
        <is>
          <t>Placa indicativa fixada na estrutura por pregos</t>
        </is>
      </c>
      <c r="D142" s="1067" t="inlineStr">
        <is>
          <t>Placa indicativa fixada na estrutura por pregos</t>
        </is>
      </c>
      <c r="E142" s="1068" t="inlineStr">
        <is>
          <t>M2</t>
        </is>
      </c>
      <c r="F142" s="1067" t="n"/>
      <c r="G142" s="1069">
        <f t="array" ref="G142">IF(B142="insumo",_xlfn.XLOOKUP($D142,Insumos!$B$1:$B$996,Insumos!$D$1:$D$996),"")</f>
        <v/>
      </c>
      <c r="H142" s="1069" t="n">
        <v>7891.02</v>
      </c>
      <c r="I142" s="2161" t="n">
        <v>0</v>
      </c>
      <c r="J142" s="2161" t="n">
        <v>0</v>
      </c>
      <c r="K142" s="2161" t="n"/>
    </row>
    <row r="143" outlineLevel="3" ht="15.75" customHeight="1">
      <c r="A143" s="10" t="n">
        <v>1</v>
      </c>
      <c r="B143" s="10" t="inlineStr">
        <is>
          <t>Insumo</t>
        </is>
      </c>
      <c r="C143" s="10" t="inlineStr">
        <is>
          <t>Placa indicativa fixada na estrutura por pregos</t>
        </is>
      </c>
      <c r="D143" s="10" t="inlineStr">
        <is>
          <t>BANNER LONA VINILICA</t>
        </is>
      </c>
      <c r="E143" s="11">
        <f t="array" ref="E143">_xlfn.XLOOKUP(D143,Insumos!B:B,Insumos!C:$C)</f>
        <v/>
      </c>
      <c r="F143" s="14" t="n">
        <v>3</v>
      </c>
      <c r="G143" s="92">
        <f t="array" ref="G143">IF(B143="insumo",_xlfn.XLOOKUP($D143,Insumos!$B$1:$B$996,Insumos!$D$1:$D$996),"")</f>
        <v/>
      </c>
      <c r="H143" s="92" t="n">
        <v>3156.33</v>
      </c>
      <c r="I143" s="2162" t="n">
        <v>0</v>
      </c>
      <c r="J143" s="2162" t="n">
        <v>0</v>
      </c>
      <c r="K143" s="2162" t="n"/>
    </row>
    <row r="144" outlineLevel="3" ht="15.75" customHeight="1">
      <c r="A144" s="10" t="n">
        <v>1</v>
      </c>
      <c r="B144" s="10" t="inlineStr">
        <is>
          <t>Insumo</t>
        </is>
      </c>
      <c r="C144" s="10" t="inlineStr">
        <is>
          <t>Placa indicativa fixada na estrutura por pregos</t>
        </is>
      </c>
      <c r="D144" s="10" t="inlineStr">
        <is>
          <t xml:space="preserve">PLACA SINALIZACAO PVC C/ADESIVO </t>
        </is>
      </c>
      <c r="E144" s="11">
        <f t="array" ref="E144">_xlfn.XLOOKUP(D144,Insumos!B:B,Insumos!C:$C)</f>
        <v/>
      </c>
      <c r="F144" s="14" t="n">
        <v>3</v>
      </c>
      <c r="G144" s="92">
        <f t="array" ref="G144">IF(B144="insumo",_xlfn.XLOOKUP($D144,Insumos!$B$1:$B$996,Insumos!$D$1:$D$996),"")</f>
        <v/>
      </c>
      <c r="H144" s="92" t="n">
        <v>1609.59</v>
      </c>
      <c r="I144" s="2162" t="n">
        <v>0</v>
      </c>
      <c r="J144" s="2162" t="n">
        <v>0</v>
      </c>
      <c r="K144" s="2162" t="n"/>
    </row>
    <row r="145" outlineLevel="3" ht="15.75" customHeight="1">
      <c r="A145" s="10" t="n">
        <v>1</v>
      </c>
      <c r="B145" s="10" t="inlineStr">
        <is>
          <t>Insumo</t>
        </is>
      </c>
      <c r="C145" s="10" t="inlineStr">
        <is>
          <t>Placa indicativa fixada na estrutura por pregos</t>
        </is>
      </c>
      <c r="D145" s="10" t="inlineStr">
        <is>
          <t>SUPORTE ACO CARBONO P/PLACA - REQ. CANTONEIRA 1.1/4"X1/8" 160X250CM</t>
        </is>
      </c>
      <c r="E145" s="11">
        <f t="array" ref="E145">_xlfn.XLOOKUP(D145,Insumos!B:B,Insumos!C:$C)</f>
        <v/>
      </c>
      <c r="F145" s="14" t="n">
        <v>6</v>
      </c>
      <c r="G145" s="92">
        <f t="array" ref="G145">IF(B145="insumo",_xlfn.XLOOKUP($D145,Insumos!$B$1:$B$996,Insumos!$D$1:$D$996),"")</f>
        <v/>
      </c>
      <c r="H145" s="92" t="n">
        <v>3125.1</v>
      </c>
      <c r="I145" s="2162" t="n">
        <v>0</v>
      </c>
      <c r="J145" s="2162" t="n">
        <v>0</v>
      </c>
      <c r="K145" s="2162" t="n"/>
    </row>
    <row r="146" outlineLevel="2" ht="15.75" customHeight="1">
      <c r="A146" s="1067" t="n">
        <v>1</v>
      </c>
      <c r="B146" s="1067" t="inlineStr">
        <is>
          <t>Serviço</t>
        </is>
      </c>
      <c r="C146" s="1067" t="inlineStr">
        <is>
          <t>Locação da obra</t>
        </is>
      </c>
      <c r="D146" s="1067" t="inlineStr">
        <is>
          <t>Locação da obra</t>
        </is>
      </c>
      <c r="E146" s="1068" t="inlineStr">
        <is>
          <t>M2</t>
        </is>
      </c>
      <c r="F146" s="1067" t="n"/>
      <c r="G146" s="1069">
        <f t="array" ref="G146">IF(B146="insumo",_xlfn.XLOOKUP($D146,Insumos!$B$1:$B$996,Insumos!$D$1:$D$996),"")</f>
        <v/>
      </c>
      <c r="H146" s="1069" t="n">
        <v>25.2262633333333</v>
      </c>
      <c r="I146" s="2161" t="n">
        <v>1040</v>
      </c>
      <c r="J146" s="2161" t="n">
        <v>26235.3138666666</v>
      </c>
      <c r="K146" s="2161" t="n"/>
    </row>
    <row r="147" outlineLevel="3" ht="15.75" customHeight="1">
      <c r="A147" s="10" t="n">
        <v>3</v>
      </c>
      <c r="B147" s="10" t="inlineStr">
        <is>
          <t>Insumo</t>
        </is>
      </c>
      <c r="C147" s="10" t="inlineStr">
        <is>
          <t>Locação da obra</t>
        </is>
      </c>
      <c r="D147" s="10" t="inlineStr">
        <is>
          <t>TINTA ACRILICA A BASE DE SOLVENTE</t>
        </is>
      </c>
      <c r="E147" s="11">
        <f t="array" ref="E147">_xlfn.XLOOKUP(D147,Insumos!B:B,Insumos!C:$C)</f>
        <v/>
      </c>
      <c r="F147" s="14" t="n">
        <v>0.0256</v>
      </c>
      <c r="G147" s="92">
        <f t="array" ref="G147">IF(B147="insumo",_xlfn.XLOOKUP($D147,Insumos!$B$1:$B$996,Insumos!$D$1:$D$996),"")</f>
        <v/>
      </c>
      <c r="H147" s="92" t="n">
        <v>0.8533333333333331</v>
      </c>
      <c r="I147" s="2162" t="n">
        <v>1040</v>
      </c>
      <c r="J147" s="2162" t="n">
        <v>887.466666666666</v>
      </c>
      <c r="K147" s="2162" t="n"/>
    </row>
    <row r="148" outlineLevel="3" ht="15.75" customHeight="1">
      <c r="A148" s="10" t="n">
        <v>11</v>
      </c>
      <c r="B148" s="10" t="inlineStr">
        <is>
          <t>Insumo</t>
        </is>
      </c>
      <c r="C148" s="10" t="inlineStr">
        <is>
          <t>Locação da obra</t>
        </is>
      </c>
      <c r="D148" s="10" t="inlineStr">
        <is>
          <t>MADEIRA PINUS/SIMILAR - TABUA PINUS 200X20MM NBR 11700</t>
        </is>
      </c>
      <c r="E148" s="11">
        <f t="array" ref="E148">_xlfn.XLOOKUP(D148,Insumos!B:B,Insumos!C:$C)</f>
        <v/>
      </c>
      <c r="F148" s="14" t="n">
        <v>0.112</v>
      </c>
      <c r="G148" s="92">
        <f t="array" ref="G148">IF(B148="insumo",_xlfn.XLOOKUP($D148,Insumos!$B$1:$B$996,Insumos!$D$1:$D$996),"")</f>
        <v/>
      </c>
      <c r="H148" s="92" t="n">
        <v>5.208</v>
      </c>
      <c r="I148" s="2162" t="n">
        <v>1040</v>
      </c>
      <c r="J148" s="2162" t="n">
        <v>5416.32</v>
      </c>
      <c r="K148" s="2162" t="n"/>
    </row>
    <row r="149" outlineLevel="3" ht="15.75" customHeight="1">
      <c r="A149" s="10" t="n">
        <v>40</v>
      </c>
      <c r="B149" s="10" t="inlineStr">
        <is>
          <t>Insumo</t>
        </is>
      </c>
      <c r="C149" s="10" t="inlineStr">
        <is>
          <t>Locação da obra</t>
        </is>
      </c>
      <c r="D149" s="10" t="inlineStr">
        <is>
          <t>PREGO DE ACO POLIDO COM CABECA 17 X 21 (2 X 11)</t>
        </is>
      </c>
      <c r="E149" s="11">
        <f t="array" ref="E149">_xlfn.XLOOKUP(D149,Insumos!B:B,Insumos!C:$C)</f>
        <v/>
      </c>
      <c r="F149" s="14" t="n">
        <v>0.111</v>
      </c>
      <c r="G149" s="92">
        <f t="array" ref="G149">IF(B149="insumo",_xlfn.XLOOKUP($D149,Insumos!$B$1:$B$996,Insumos!$D$1:$D$996),"")</f>
        <v/>
      </c>
      <c r="H149" s="92" t="n">
        <v>2.01243</v>
      </c>
      <c r="I149" s="2162" t="n">
        <v>1040</v>
      </c>
      <c r="J149" s="2162" t="n">
        <v>2092.9272</v>
      </c>
      <c r="K149" s="2162" t="n"/>
    </row>
    <row r="150" outlineLevel="3" ht="15.75" customHeight="1">
      <c r="A150" s="10" t="n">
        <v>11</v>
      </c>
      <c r="B150" s="10" t="inlineStr">
        <is>
          <t>Insumo</t>
        </is>
      </c>
      <c r="C150" s="10" t="inlineStr">
        <is>
          <t>Locação da obra</t>
        </is>
      </c>
      <c r="D150" s="10" t="inlineStr">
        <is>
          <t>MADEIRA PINUS/SIMILAR - SARRAFO PINUS 50X20MM NBR 11700/15696</t>
        </is>
      </c>
      <c r="E150" s="11">
        <f t="array" ref="E150">_xlfn.XLOOKUP(D150,Insumos!B:B,Insumos!C:$C)</f>
        <v/>
      </c>
      <c r="F150" s="14" t="n">
        <v>0.15</v>
      </c>
      <c r="G150" s="92">
        <f t="array" ref="G150">IF(B150="insumo",_xlfn.XLOOKUP($D150,Insumos!$B$1:$B$996,Insumos!$D$1:$D$996),"")</f>
        <v/>
      </c>
      <c r="H150" s="92" t="n">
        <v>6.975</v>
      </c>
      <c r="I150" s="2162" t="n">
        <v>1040</v>
      </c>
      <c r="J150" s="2162" t="n">
        <v>7254</v>
      </c>
      <c r="K150" s="2162" t="n"/>
    </row>
    <row r="151" outlineLevel="3" ht="15.75" customHeight="1">
      <c r="A151" s="10" t="n">
        <v>1</v>
      </c>
      <c r="B151" s="10" t="inlineStr">
        <is>
          <t>Insumo</t>
        </is>
      </c>
      <c r="C151" s="10" t="inlineStr">
        <is>
          <t>Locação da obra</t>
        </is>
      </c>
      <c r="D151" s="10" t="inlineStr">
        <is>
          <t>CAIBRO NAO APARELHADO *5 X 6* CM, EM MACARANDUBA/MASSARANDUBA, ANGELIM OU EQUIVALENTE DA REGIAO - BRUTA</t>
        </is>
      </c>
      <c r="E151" s="11">
        <f t="array" ref="E151">_xlfn.XLOOKUP(D151,Insumos!B:B,Insumos!C:$C)</f>
        <v/>
      </c>
      <c r="F151" s="14" t="n">
        <v>0.345</v>
      </c>
      <c r="G151" s="92">
        <f t="array" ref="G151">IF(B151="insumo",_xlfn.XLOOKUP($D151,Insumos!$B$1:$B$996,Insumos!$D$1:$D$996),"")</f>
        <v/>
      </c>
      <c r="H151" s="92" t="n">
        <v>10.1775</v>
      </c>
      <c r="I151" s="2162" t="n">
        <v>1040</v>
      </c>
      <c r="J151" s="2162" t="n">
        <v>10584.6</v>
      </c>
      <c r="K151" s="2162" t="n"/>
    </row>
    <row r="152" outlineLevel="1" ht="15.75" customHeight="1">
      <c r="A152" s="1090" t="n">
        <v>1</v>
      </c>
      <c r="B152" s="1090" t="inlineStr">
        <is>
          <t>Subetapa</t>
        </is>
      </c>
      <c r="C152" s="1090" t="inlineStr">
        <is>
          <t>Locação da obra</t>
        </is>
      </c>
      <c r="D152" s="1090" t="inlineStr">
        <is>
          <t>EPC'S</t>
        </is>
      </c>
      <c r="E152" s="1091" t="n"/>
      <c r="F152" s="1091" t="n"/>
      <c r="G152" s="1091" t="n"/>
      <c r="H152" s="1091" t="n">
        <v>0</v>
      </c>
      <c r="I152" s="2160" t="n">
        <v>0</v>
      </c>
      <c r="J152" s="2160" t="n">
        <v>0</v>
      </c>
      <c r="K152" s="2160" t="n"/>
    </row>
    <row r="153" outlineLevel="2" ht="15.75" customHeight="1">
      <c r="A153" s="1067" t="n">
        <v>1</v>
      </c>
      <c r="B153" s="1067" t="inlineStr">
        <is>
          <t>Serviço</t>
        </is>
      </c>
      <c r="C153" s="1067" t="inlineStr">
        <is>
          <t>Bandeja de proteção primária</t>
        </is>
      </c>
      <c r="D153" s="1067" t="inlineStr">
        <is>
          <t>Bandeja de proteção primária</t>
        </is>
      </c>
      <c r="E153" s="1068" t="inlineStr">
        <is>
          <t>M</t>
        </is>
      </c>
      <c r="F153" s="1067" t="n"/>
      <c r="G153" s="1069">
        <f t="array" ref="G153">IF(B153="insumo",_xlfn.XLOOKUP($D153,Insumos!$B$1:$B$996,Insumos!$D$1:$D$996),"")</f>
        <v/>
      </c>
      <c r="H153" s="1069" t="n">
        <v>243.956146372819</v>
      </c>
      <c r="I153" s="2161" t="n">
        <v>0</v>
      </c>
      <c r="J153" s="2161" t="n">
        <v>0</v>
      </c>
      <c r="K153" s="2161" t="n"/>
    </row>
    <row r="154" outlineLevel="3" ht="15.75" customHeight="1">
      <c r="A154" s="10" t="n">
        <v>2</v>
      </c>
      <c r="B154" s="10" t="inlineStr">
        <is>
          <t>Insumo</t>
        </is>
      </c>
      <c r="C154" s="10" t="inlineStr">
        <is>
          <t>Bandeja de proteção primária</t>
        </is>
      </c>
      <c r="D154" s="10" t="inlineStr">
        <is>
          <t>PREGO DE ACO POLIDO COM CABECA 16 X 24 (2 1/4 X 12)</t>
        </is>
      </c>
      <c r="E154" s="11">
        <f t="array" ref="E154">_xlfn.XLOOKUP(D154,Insumos!B:B,Insumos!C:$C)</f>
        <v/>
      </c>
      <c r="F154" s="14" t="n">
        <v>0.17</v>
      </c>
      <c r="G154" s="92">
        <f t="array" ref="G154">IF(B154="insumo",_xlfn.XLOOKUP($D154,Insumos!$B$1:$B$996,Insumos!$D$1:$D$996),"")</f>
        <v/>
      </c>
      <c r="H154" s="92" t="n">
        <v>2.2236</v>
      </c>
      <c r="I154" s="2162" t="n">
        <v>0</v>
      </c>
      <c r="J154" s="2162" t="n">
        <v>0</v>
      </c>
      <c r="K154" s="2162" t="n"/>
    </row>
    <row r="155" outlineLevel="3" ht="15.75" customHeight="1">
      <c r="A155" s="10" t="n">
        <v>2</v>
      </c>
      <c r="B155" s="10" t="inlineStr">
        <is>
          <t>Insumo</t>
        </is>
      </c>
      <c r="C155" s="10" t="inlineStr">
        <is>
          <t>Bandeja de proteção primária</t>
        </is>
      </c>
      <c r="D155" s="10" t="inlineStr">
        <is>
          <t>CHAPA/PAINEL DE MADEIRA COMPENSADA PLASTIFICADA, DE 2200 X 1100 MM, E = 14 MM</t>
        </is>
      </c>
      <c r="E155" s="11">
        <f t="array" ref="E155">_xlfn.XLOOKUP(D155,Insumos!B:B,Insumos!C:$C)</f>
        <v/>
      </c>
      <c r="F155" s="14" t="n">
        <v>2.54</v>
      </c>
      <c r="G155" s="92">
        <f t="array" ref="G155">IF(B155="insumo",_xlfn.XLOOKUP($D155,Insumos!$B$1:$B$996,Insumos!$D$1:$D$996),"")</f>
        <v/>
      </c>
      <c r="H155" s="92" t="n">
        <v>117.145546372819</v>
      </c>
      <c r="I155" s="2162" t="n">
        <v>0</v>
      </c>
      <c r="J155" s="2162" t="n">
        <v>0</v>
      </c>
      <c r="K155" s="2162" t="n"/>
    </row>
    <row r="156" outlineLevel="3" ht="15.75" customHeight="1">
      <c r="A156" s="10" t="n">
        <v>2</v>
      </c>
      <c r="B156" s="10" t="inlineStr">
        <is>
          <t>Insumo</t>
        </is>
      </c>
      <c r="C156" s="10" t="inlineStr">
        <is>
          <t>Bandeja de proteção primária</t>
        </is>
      </c>
      <c r="D156" s="10" t="inlineStr">
        <is>
          <t>CHUMBADOR PARABOLT ACO CARBONO CBA 1/2"X75MM</t>
        </is>
      </c>
      <c r="E156" s="11">
        <f t="array" ref="E156">_xlfn.XLOOKUP(D156,Insumos!B:B,Insumos!C:$C)</f>
        <v/>
      </c>
      <c r="F156" s="14" t="n">
        <v>3.39</v>
      </c>
      <c r="G156" s="92">
        <f t="array" ref="G156">IF(B156="insumo",_xlfn.XLOOKUP($D156,Insumos!$B$1:$B$996,Insumos!$D$1:$D$996),"")</f>
        <v/>
      </c>
      <c r="H156" s="92" t="n">
        <v>17.967</v>
      </c>
      <c r="I156" s="2162" t="n">
        <v>0</v>
      </c>
      <c r="J156" s="2162" t="n">
        <v>0</v>
      </c>
      <c r="K156" s="2162" t="n"/>
    </row>
    <row r="157" outlineLevel="3" ht="15.75" customHeight="1">
      <c r="A157" s="10" t="n">
        <v>2</v>
      </c>
      <c r="B157" s="10" t="inlineStr">
        <is>
          <t>Insumo</t>
        </is>
      </c>
      <c r="C157" s="10" t="inlineStr">
        <is>
          <t>Bandeja de proteção primária</t>
        </is>
      </c>
      <c r="D157" s="10" t="inlineStr">
        <is>
          <t>PERFIL METALICO BANDEJA PRIMARIA 2,50M</t>
        </is>
      </c>
      <c r="E157" s="11">
        <f t="array" ref="E157">_xlfn.XLOOKUP(D157,Insumos!B:B,Insumos!C:$C)</f>
        <v/>
      </c>
      <c r="F157" s="14" t="n">
        <v>1.13</v>
      </c>
      <c r="G157" s="92">
        <f t="array" ref="G157">IF(B157="insumo",_xlfn.XLOOKUP($D157,Insumos!$B$1:$B$996,Insumos!$D$1:$D$996),"")</f>
        <v/>
      </c>
      <c r="H157" s="92" t="n">
        <v>50.85</v>
      </c>
      <c r="I157" s="2162" t="n">
        <v>0</v>
      </c>
      <c r="J157" s="2162" t="n">
        <v>0</v>
      </c>
      <c r="K157" s="2162" t="n"/>
    </row>
    <row r="158" outlineLevel="3" ht="15.75" customHeight="1">
      <c r="A158" s="10" t="n">
        <v>7</v>
      </c>
      <c r="B158" s="10" t="inlineStr">
        <is>
          <t>Insumo</t>
        </is>
      </c>
      <c r="C158" s="10" t="inlineStr">
        <is>
          <t>Bandeja de proteção primária</t>
        </is>
      </c>
      <c r="D158" s="10" t="inlineStr">
        <is>
          <t>PONTALETE *7,5 X 7,5* CM EM PINUS, MISTA OU EQUIVALENTE DA REGIAO - BRUTA</t>
        </is>
      </c>
      <c r="E158" s="11">
        <f t="array" ref="E158">_xlfn.XLOOKUP(D158,Insumos!B:B,Insumos!C:$C)</f>
        <v/>
      </c>
      <c r="F158" s="14" t="n">
        <v>0.0507</v>
      </c>
      <c r="G158" s="92">
        <f t="array" ref="G158">IF(B158="insumo",_xlfn.XLOOKUP($D158,Insumos!$B$1:$B$996,Insumos!$D$1:$D$996),"")</f>
        <v/>
      </c>
      <c r="H158" s="92" t="n">
        <v>55.77</v>
      </c>
      <c r="I158" s="2162" t="n">
        <v>0</v>
      </c>
      <c r="J158" s="2162" t="n">
        <v>0</v>
      </c>
      <c r="K158" s="2162" t="n"/>
    </row>
    <row r="159" outlineLevel="2" ht="15.75" customHeight="1">
      <c r="A159" s="1067" t="n">
        <v>1</v>
      </c>
      <c r="B159" s="1067" t="inlineStr">
        <is>
          <t>Serviço</t>
        </is>
      </c>
      <c r="C159" s="1067" t="inlineStr">
        <is>
          <t>Bandeja de proteção secundária</t>
        </is>
      </c>
      <c r="D159" s="1067" t="inlineStr">
        <is>
          <t>Bandeja de proteção secundária</t>
        </is>
      </c>
      <c r="E159" s="1068" t="inlineStr">
        <is>
          <t>M</t>
        </is>
      </c>
      <c r="F159" s="1067" t="n"/>
      <c r="G159" s="1069">
        <f t="array" ref="G159">IF(B159="insumo",_xlfn.XLOOKUP($D159,Insumos!$B$1:$B$996,Insumos!$D$1:$D$996),"")</f>
        <v/>
      </c>
      <c r="H159" s="1069" t="n">
        <v>230.096146372819</v>
      </c>
      <c r="I159" s="2161" t="n">
        <v>0</v>
      </c>
      <c r="J159" s="2161" t="n">
        <v>0</v>
      </c>
      <c r="K159" s="2161" t="n"/>
    </row>
    <row r="160" outlineLevel="3" ht="15.75" customHeight="1">
      <c r="A160" s="10" t="n">
        <v>2</v>
      </c>
      <c r="B160" s="10" t="inlineStr">
        <is>
          <t>Insumo</t>
        </is>
      </c>
      <c r="C160" s="10" t="inlineStr">
        <is>
          <t>Bandeja de proteção secundária</t>
        </is>
      </c>
      <c r="D160" s="10" t="inlineStr">
        <is>
          <t>PREGO DE ACO POLIDO COM CABECA 16 X 24 (2 1/4 X 12)</t>
        </is>
      </c>
      <c r="E160" s="11">
        <f t="array" ref="E160">_xlfn.XLOOKUP(D160,Insumos!B:B,Insumos!C:$C)</f>
        <v/>
      </c>
      <c r="F160" s="14" t="n">
        <v>0.17</v>
      </c>
      <c r="G160" s="92">
        <f t="array" ref="G160">IF(B160="insumo",_xlfn.XLOOKUP($D160,Insumos!$B$1:$B$996,Insumos!$D$1:$D$996),"")</f>
        <v/>
      </c>
      <c r="H160" s="92" t="n">
        <v>2.2236</v>
      </c>
      <c r="I160" s="2162" t="n">
        <v>0</v>
      </c>
      <c r="J160" s="2162" t="n">
        <v>0</v>
      </c>
      <c r="K160" s="2162" t="n"/>
    </row>
    <row r="161" outlineLevel="3" ht="15.75" customHeight="1">
      <c r="A161" s="10" t="n">
        <v>2</v>
      </c>
      <c r="B161" s="10" t="inlineStr">
        <is>
          <t>Insumo</t>
        </is>
      </c>
      <c r="C161" s="10" t="inlineStr">
        <is>
          <t>Bandeja de proteção secundária</t>
        </is>
      </c>
      <c r="D161" s="10" t="inlineStr">
        <is>
          <t>CHAPA/PAINEL DE MADEIRA COMPENSADA PLASTIFICADA, DE 2200 X 1100 MM, E = 14 MM</t>
        </is>
      </c>
      <c r="E161" s="11">
        <f t="array" ref="E161">_xlfn.XLOOKUP(D161,Insumos!B:B,Insumos!C:$C)</f>
        <v/>
      </c>
      <c r="F161" s="14" t="n">
        <v>2.54</v>
      </c>
      <c r="G161" s="92">
        <f t="array" ref="G161">IF(B161="insumo",_xlfn.XLOOKUP($D161,Insumos!$B$1:$B$996,Insumos!$D$1:$D$996),"")</f>
        <v/>
      </c>
      <c r="H161" s="92" t="n">
        <v>117.145546372819</v>
      </c>
      <c r="I161" s="2162" t="n">
        <v>0</v>
      </c>
      <c r="J161" s="2162" t="n">
        <v>0</v>
      </c>
      <c r="K161" s="2162" t="n"/>
    </row>
    <row r="162" outlineLevel="3" ht="15.75" customHeight="1">
      <c r="A162" s="10" t="n">
        <v>2</v>
      </c>
      <c r="B162" s="10" t="inlineStr">
        <is>
          <t>Insumo</t>
        </is>
      </c>
      <c r="C162" s="10" t="inlineStr">
        <is>
          <t>Bandeja de proteção secundária</t>
        </is>
      </c>
      <c r="D162" s="10" t="inlineStr">
        <is>
          <t>CHUMBADOR PARABOLT ACO CARBONO CBA 1/2"X75MM</t>
        </is>
      </c>
      <c r="E162" s="11">
        <f t="array" ref="E162">_xlfn.XLOOKUP(D162,Insumos!B:B,Insumos!C:$C)</f>
        <v/>
      </c>
      <c r="F162" s="14" t="n">
        <v>3.39</v>
      </c>
      <c r="G162" s="92">
        <f t="array" ref="G162">IF(B162="insumo",_xlfn.XLOOKUP($D162,Insumos!$B$1:$B$996,Insumos!$D$1:$D$996),"")</f>
        <v/>
      </c>
      <c r="H162" s="92" t="n">
        <v>17.967</v>
      </c>
      <c r="I162" s="2162" t="n">
        <v>0</v>
      </c>
      <c r="J162" s="2162" t="n">
        <v>0</v>
      </c>
      <c r="K162" s="2162" t="n"/>
    </row>
    <row r="163" outlineLevel="3" ht="15.75" customHeight="1">
      <c r="A163" s="10" t="n">
        <v>2</v>
      </c>
      <c r="B163" s="10" t="inlineStr">
        <is>
          <t>Insumo</t>
        </is>
      </c>
      <c r="C163" s="10" t="inlineStr">
        <is>
          <t>Bandeja de proteção secundária</t>
        </is>
      </c>
      <c r="D163" s="10" t="inlineStr">
        <is>
          <t>PERFIL METALICO BANDEJA PRIMARIA 2,50M</t>
        </is>
      </c>
      <c r="E163" s="11">
        <f t="array" ref="E163">_xlfn.XLOOKUP(D163,Insumos!B:B,Insumos!C:$C)</f>
        <v/>
      </c>
      <c r="F163" s="14" t="n">
        <v>1.13</v>
      </c>
      <c r="G163" s="92">
        <f t="array" ref="G163">IF(B163="insumo",_xlfn.XLOOKUP($D163,Insumos!$B$1:$B$996,Insumos!$D$1:$D$996),"")</f>
        <v/>
      </c>
      <c r="H163" s="92" t="n">
        <v>50.85</v>
      </c>
      <c r="I163" s="2162" t="n">
        <v>0</v>
      </c>
      <c r="J163" s="2162" t="n">
        <v>0</v>
      </c>
      <c r="K163" s="2162" t="n"/>
    </row>
    <row r="164" outlineLevel="3" ht="15.75" customHeight="1">
      <c r="A164" s="10" t="n">
        <v>7</v>
      </c>
      <c r="B164" s="10" t="inlineStr">
        <is>
          <t>Insumo</t>
        </is>
      </c>
      <c r="C164" s="10" t="inlineStr">
        <is>
          <t>Bandeja de proteção secundária</t>
        </is>
      </c>
      <c r="D164" s="10" t="inlineStr">
        <is>
          <t>PONTALETE *7,5 X 7,5* CM EM PINUS, MISTA OU EQUIVALENTE DA REGIAO - BRUTA</t>
        </is>
      </c>
      <c r="E164" s="11">
        <f t="array" ref="E164">_xlfn.XLOOKUP(D164,Insumos!B:B,Insumos!C:$C)</f>
        <v/>
      </c>
      <c r="F164" s="14" t="n">
        <v>0.0381</v>
      </c>
      <c r="G164" s="92">
        <f t="array" ref="G164">IF(B164="insumo",_xlfn.XLOOKUP($D164,Insumos!$B$1:$B$996,Insumos!$D$1:$D$996),"")</f>
        <v/>
      </c>
      <c r="H164" s="92" t="n">
        <v>41.91</v>
      </c>
      <c r="I164" s="2162" t="n">
        <v>0</v>
      </c>
      <c r="J164" s="2162" t="n">
        <v>0</v>
      </c>
      <c r="K164" s="2162" t="n"/>
    </row>
    <row r="165" outlineLevel="2" ht="15.75" customHeight="1">
      <c r="A165" s="1067" t="n">
        <v>1</v>
      </c>
      <c r="B165" s="1067" t="inlineStr">
        <is>
          <t>Serviço</t>
        </is>
      </c>
      <c r="C165" s="1067" t="inlineStr">
        <is>
          <t>Guarda-corpo de vãos, fixado em fôrma de madeira, em trama de madeira com tela de polipropileno</t>
        </is>
      </c>
      <c r="D165" s="1067" t="inlineStr">
        <is>
          <t>Guarda-corpo de vãos, fixado em fôrma de madeira, em trama de madeira com tela de polipropileno</t>
        </is>
      </c>
      <c r="E165" s="1068" t="inlineStr">
        <is>
          <t>M2</t>
        </is>
      </c>
      <c r="F165" s="1067" t="n"/>
      <c r="G165" s="1069">
        <f t="array" ref="G165">IF(B165="insumo",_xlfn.XLOOKUP($D165,Insumos!$B$1:$B$996,Insumos!$D$1:$D$996),"")</f>
        <v/>
      </c>
      <c r="H165" s="1069" t="n">
        <v>38.622647</v>
      </c>
      <c r="I165" s="2161" t="n">
        <v>0</v>
      </c>
      <c r="J165" s="2161" t="n">
        <v>0</v>
      </c>
      <c r="K165" s="2161" t="n"/>
    </row>
    <row r="166" outlineLevel="3" ht="15.75" customHeight="1">
      <c r="A166" s="10" t="n">
        <v>40</v>
      </c>
      <c r="B166" s="10" t="inlineStr">
        <is>
          <t>Insumo</t>
        </is>
      </c>
      <c r="C166" s="10" t="inlineStr">
        <is>
          <t>Guarda-corpo de vãos, fixado em fôrma de madeira, em trama de madeira com tela de polipropileno</t>
        </is>
      </c>
      <c r="D166" s="10" t="inlineStr">
        <is>
          <t>PREGO DE ACO POLIDO COM CABECA 17 X 21 (2 X 11)</t>
        </is>
      </c>
      <c r="E166" s="11">
        <f t="array" ref="E166">_xlfn.XLOOKUP(D166,Insumos!B:B,Insumos!C:$C)</f>
        <v/>
      </c>
      <c r="F166" s="14" t="n">
        <v>0.0389</v>
      </c>
      <c r="G166" s="92">
        <f t="array" ref="G166">IF(B166="insumo",_xlfn.XLOOKUP($D166,Insumos!$B$1:$B$996,Insumos!$D$1:$D$996),"")</f>
        <v/>
      </c>
      <c r="H166" s="92" t="n">
        <v>0.705257</v>
      </c>
      <c r="I166" s="2162" t="n">
        <v>0</v>
      </c>
      <c r="J166" s="2162" t="n">
        <v>0</v>
      </c>
      <c r="K166" s="2162" t="n"/>
    </row>
    <row r="167" outlineLevel="3" ht="15.75" customHeight="1">
      <c r="A167" s="10" t="n">
        <v>4</v>
      </c>
      <c r="B167" s="10" t="inlineStr">
        <is>
          <t>Insumo</t>
        </is>
      </c>
      <c r="C167" s="10" t="inlineStr">
        <is>
          <t>Guarda-corpo de vãos, fixado em fôrma de madeira, em trama de madeira com tela de polipropileno</t>
        </is>
      </c>
      <c r="D167" s="10" t="inlineStr">
        <is>
          <t>TABUA *2,5 X 15 CM EM PINUS, MISTA OU EQUIVALENTE DA REGIAO - BRUTA</t>
        </is>
      </c>
      <c r="E167" s="11">
        <f t="array" ref="E167">_xlfn.XLOOKUP(D167,Insumos!B:B,Insumos!C:$C)</f>
        <v/>
      </c>
      <c r="F167" s="14" t="n">
        <v>1.418</v>
      </c>
      <c r="G167" s="92">
        <f t="array" ref="G167">IF(B167="insumo",_xlfn.XLOOKUP($D167,Insumos!$B$1:$B$996,Insumos!$D$1:$D$996),"")</f>
        <v/>
      </c>
      <c r="H167" s="92" t="n">
        <v>30.10414</v>
      </c>
      <c r="I167" s="2162" t="n">
        <v>0</v>
      </c>
      <c r="J167" s="2162" t="n">
        <v>0</v>
      </c>
      <c r="K167" s="2162" t="n"/>
    </row>
    <row r="168" outlineLevel="3" ht="15.75" customHeight="1">
      <c r="A168" s="10" t="n">
        <v>3</v>
      </c>
      <c r="B168" s="10" t="inlineStr">
        <is>
          <t>Insumo</t>
        </is>
      </c>
      <c r="C168" s="10" t="inlineStr">
        <is>
          <t>Guarda-corpo de vãos, fixado em fôrma de madeira, em trama de madeira com tela de polipropileno</t>
        </is>
      </c>
      <c r="D168" s="10" t="inlineStr">
        <is>
          <t>TELA PLASTICA TECIDA LISTRADA BRANCA E LARANJA, EM POLIETILENO MONOFILADO</t>
        </is>
      </c>
      <c r="E168" s="11">
        <f t="array" ref="E168">_xlfn.XLOOKUP(D168,Insumos!B:B,Insumos!C:$C)</f>
        <v/>
      </c>
      <c r="F168" s="14" t="n">
        <v>0.525</v>
      </c>
      <c r="G168" s="92">
        <f t="array" ref="G168">IF(B168="insumo",_xlfn.XLOOKUP($D168,Insumos!$B$1:$B$996,Insumos!$D$1:$D$996),"")</f>
        <v/>
      </c>
      <c r="H168" s="92" t="n">
        <v>1.43325</v>
      </c>
      <c r="I168" s="2162" t="n">
        <v>0</v>
      </c>
      <c r="J168" s="2162" t="n">
        <v>0</v>
      </c>
      <c r="K168" s="2162" t="n"/>
    </row>
    <row r="169" outlineLevel="3" ht="15.75" customHeight="1">
      <c r="A169" s="10" t="n">
        <v>7</v>
      </c>
      <c r="B169" s="10" t="inlineStr">
        <is>
          <t>Insumo</t>
        </is>
      </c>
      <c r="C169" s="10" t="inlineStr">
        <is>
          <t>Guarda-corpo de vãos, fixado em fôrma de madeira, em trama de madeira com tela de polipropileno</t>
        </is>
      </c>
      <c r="D169" s="10" t="inlineStr">
        <is>
          <t>PONTALETE *7,5 X 7,5* CM EM PINUS, MISTA OU EQUIVALENTE DA REGIAO - BRUTA</t>
        </is>
      </c>
      <c r="E169" s="11">
        <f t="array" ref="E169">_xlfn.XLOOKUP(D169,Insumos!B:B,Insumos!C:$C)</f>
        <v/>
      </c>
      <c r="F169" s="14" t="n">
        <v>0.0058</v>
      </c>
      <c r="G169" s="92">
        <f t="array" ref="G169">IF(B169="insumo",_xlfn.XLOOKUP($D169,Insumos!$B$1:$B$996,Insumos!$D$1:$D$996),"")</f>
        <v/>
      </c>
      <c r="H169" s="92" t="n">
        <v>6.38</v>
      </c>
      <c r="I169" s="2162" t="n">
        <v>0</v>
      </c>
      <c r="J169" s="2162" t="n">
        <v>0</v>
      </c>
      <c r="K169" s="2162" t="n"/>
    </row>
    <row r="170" outlineLevel="2" ht="15.75" customHeight="1">
      <c r="A170" s="1067" t="n">
        <v>1</v>
      </c>
      <c r="B170" s="1067" t="inlineStr">
        <is>
          <t>Serviço</t>
        </is>
      </c>
      <c r="C170" s="1067" t="inlineStr">
        <is>
          <t>Guarda-corpo em laje pós-desforma com Escora metálica, travessões e tela</t>
        </is>
      </c>
      <c r="D170" s="1067" t="inlineStr">
        <is>
          <t>Guarda-corpo em laje pós-desforma com Escora metálica, travessões e tela</t>
        </is>
      </c>
      <c r="E170" s="1068" t="inlineStr">
        <is>
          <t>M</t>
        </is>
      </c>
      <c r="F170" s="1067" t="n"/>
      <c r="G170" s="1069">
        <f t="array" ref="G170">IF(B170="insumo",_xlfn.XLOOKUP($D170,Insumos!$B$1:$B$996,Insumos!$D$1:$D$996),"")</f>
        <v/>
      </c>
      <c r="H170" s="1069" t="n">
        <v>42.431057</v>
      </c>
      <c r="I170" s="2161" t="n">
        <v>0</v>
      </c>
      <c r="J170" s="2161" t="n">
        <v>0</v>
      </c>
      <c r="K170" s="2161" t="n"/>
    </row>
    <row r="171" outlineLevel="3" ht="15.75" customHeight="1">
      <c r="A171" s="10" t="n">
        <v>40</v>
      </c>
      <c r="B171" s="10" t="inlineStr">
        <is>
          <t>Insumo</t>
        </is>
      </c>
      <c r="C171" s="10" t="inlineStr">
        <is>
          <t>Guarda-corpo em laje pós-desforma com Escora metálica, travessões e tela</t>
        </is>
      </c>
      <c r="D171" s="10" t="inlineStr">
        <is>
          <t>PREGO DE ACO POLIDO COM CABECA 17 X 21 (2 X 11)</t>
        </is>
      </c>
      <c r="E171" s="11">
        <f t="array" ref="E171">_xlfn.XLOOKUP(D171,Insumos!B:B,Insumos!C:$C)</f>
        <v/>
      </c>
      <c r="F171" s="14" t="n">
        <v>0.0389</v>
      </c>
      <c r="G171" s="92">
        <f t="array" ref="G171">IF(B171="insumo",_xlfn.XLOOKUP($D171,Insumos!$B$1:$B$996,Insumos!$D$1:$D$996),"")</f>
        <v/>
      </c>
      <c r="H171" s="92" t="n">
        <v>0.705257</v>
      </c>
      <c r="I171" s="2162" t="n">
        <v>0</v>
      </c>
      <c r="J171" s="2162" t="n">
        <v>0</v>
      </c>
      <c r="K171" s="2162" t="n"/>
    </row>
    <row r="172" outlineLevel="3" ht="15.75" customHeight="1">
      <c r="A172" s="10" t="n">
        <v>4</v>
      </c>
      <c r="B172" s="10" t="inlineStr">
        <is>
          <t>Insumo</t>
        </is>
      </c>
      <c r="C172" s="10" t="inlineStr">
        <is>
          <t>Guarda-corpo em laje pós-desforma com Escora metálica, travessões e tela</t>
        </is>
      </c>
      <c r="D172" s="10" t="inlineStr">
        <is>
          <t>TABUA *2,5 X 15 CM EM PINUS, MISTA OU EQUIVALENTE DA REGIAO - BRUTA</t>
        </is>
      </c>
      <c r="E172" s="11">
        <f t="array" ref="E172">_xlfn.XLOOKUP(D172,Insumos!B:B,Insumos!C:$C)</f>
        <v/>
      </c>
      <c r="F172" s="14" t="n">
        <v>1.41</v>
      </c>
      <c r="G172" s="92">
        <f t="array" ref="G172">IF(B172="insumo",_xlfn.XLOOKUP($D172,Insumos!$B$1:$B$996,Insumos!$D$1:$D$996),"")</f>
        <v/>
      </c>
      <c r="H172" s="92" t="n">
        <v>29.9343</v>
      </c>
      <c r="I172" s="2162" t="n">
        <v>0</v>
      </c>
      <c r="J172" s="2162" t="n">
        <v>0</v>
      </c>
      <c r="K172" s="2162" t="n"/>
    </row>
    <row r="173" outlineLevel="3" ht="15.75" customHeight="1">
      <c r="A173" s="10" t="n">
        <v>2</v>
      </c>
      <c r="B173" s="10" t="inlineStr">
        <is>
          <t>Insumo</t>
        </is>
      </c>
      <c r="C173" s="10" t="inlineStr">
        <is>
          <t>Guarda-corpo em laje pós-desforma com Escora metálica, travessões e tela</t>
        </is>
      </c>
      <c r="D173" s="10" t="inlineStr">
        <is>
          <t>ESCORA METALICA TELESCOPICA, COM ALTURA REGULAVEL DE *1,80* A *3,20* M, INCLUSO TRIPE E FORCADO</t>
        </is>
      </c>
      <c r="E173" s="11">
        <f t="array" ref="E173">_xlfn.XLOOKUP(D173,Insumos!B:B,Insumos!C:$C)</f>
        <v/>
      </c>
      <c r="F173" s="14" t="n">
        <v>0.1</v>
      </c>
      <c r="G173" s="92">
        <f t="array" ref="G173">IF(B173="insumo",_xlfn.XLOOKUP($D173,Insumos!$B$1:$B$996,Insumos!$D$1:$D$996),"")</f>
        <v/>
      </c>
      <c r="H173" s="92" t="n">
        <v>3.29</v>
      </c>
      <c r="I173" s="2162" t="n">
        <v>0</v>
      </c>
      <c r="J173" s="2162" t="n">
        <v>0</v>
      </c>
      <c r="K173" s="2162" t="n"/>
    </row>
    <row r="174" outlineLevel="3" ht="15.75" customHeight="1">
      <c r="A174" s="10" t="n">
        <v>3</v>
      </c>
      <c r="B174" s="10" t="inlineStr">
        <is>
          <t>Insumo</t>
        </is>
      </c>
      <c r="C174" s="10" t="inlineStr">
        <is>
          <t>Guarda-corpo em laje pós-desforma com Escora metálica, travessões e tela</t>
        </is>
      </c>
      <c r="D174" s="10" t="inlineStr">
        <is>
          <t>TELA PLASTICA TECIDA LISTRADA BRANCA E LARANJA, EM POLIETILENO MONOFILADO</t>
        </is>
      </c>
      <c r="E174" s="11">
        <f t="array" ref="E174">_xlfn.XLOOKUP(D174,Insumos!B:B,Insumos!C:$C)</f>
        <v/>
      </c>
      <c r="F174" s="14" t="n">
        <v>0.55</v>
      </c>
      <c r="G174" s="92">
        <f t="array" ref="G174">IF(B174="insumo",_xlfn.XLOOKUP($D174,Insumos!$B$1:$B$996,Insumos!$D$1:$D$996),"")</f>
        <v/>
      </c>
      <c r="H174" s="92" t="n">
        <v>1.5015</v>
      </c>
      <c r="I174" s="2162" t="n">
        <v>0</v>
      </c>
      <c r="J174" s="2162" t="n">
        <v>0</v>
      </c>
      <c r="K174" s="2162" t="n"/>
    </row>
    <row r="175" outlineLevel="3" ht="15.75" customHeight="1">
      <c r="A175" s="10" t="n">
        <v>1</v>
      </c>
      <c r="B175" s="10" t="inlineStr">
        <is>
          <t>Insumo</t>
        </is>
      </c>
      <c r="C175" s="10" t="inlineStr">
        <is>
          <t>Guarda-corpo em laje pós-desforma com Escora metálica, travessões e tela</t>
        </is>
      </c>
      <c r="D175" s="10" t="inlineStr">
        <is>
          <t>Travessão metálico 2"</t>
        </is>
      </c>
      <c r="E175" s="11">
        <f t="array" ref="E175">_xlfn.XLOOKUP(D175,Insumos!B:B,Insumos!C:$C)</f>
        <v/>
      </c>
      <c r="F175" s="14" t="n">
        <v>0.35</v>
      </c>
      <c r="G175" s="92">
        <f t="array" ref="G175">IF(B175="insumo",_xlfn.XLOOKUP($D175,Insumos!$B$1:$B$996,Insumos!$D$1:$D$996),"")</f>
        <v/>
      </c>
      <c r="H175" s="92" t="n">
        <v>7</v>
      </c>
      <c r="I175" s="2162" t="n">
        <v>0</v>
      </c>
      <c r="J175" s="2162" t="n">
        <v>0</v>
      </c>
      <c r="K175" s="2162" t="n"/>
    </row>
    <row r="176" outlineLevel="2" ht="15.75" customHeight="1">
      <c r="A176" s="1067" t="n">
        <v>1</v>
      </c>
      <c r="B176" s="1067" t="inlineStr">
        <is>
          <t>Serviço</t>
        </is>
      </c>
      <c r="C176" s="1067" t="inlineStr">
        <is>
          <t>Guarda-corpo em laje pós-desforma com pontalete de madeira, travessões e tela</t>
        </is>
      </c>
      <c r="D176" s="1067" t="inlineStr">
        <is>
          <t>Guarda-corpo em laje pós-desforma com pontalete de madeira, travessões e tela</t>
        </is>
      </c>
      <c r="E176" s="1068" t="inlineStr">
        <is>
          <t>M</t>
        </is>
      </c>
      <c r="F176" s="1067" t="n"/>
      <c r="G176" s="1069">
        <f t="array" ref="G176">IF(B176="insumo",_xlfn.XLOOKUP($D176,Insumos!$B$1:$B$996,Insumos!$D$1:$D$996),"")</f>
        <v/>
      </c>
      <c r="H176" s="1069" t="n">
        <v>41.811057</v>
      </c>
      <c r="I176" s="2161" t="n">
        <v>0</v>
      </c>
      <c r="J176" s="2161" t="n">
        <v>0</v>
      </c>
      <c r="K176" s="2161" t="n"/>
    </row>
    <row r="177" outlineLevel="3" ht="15.75" customHeight="1">
      <c r="A177" s="10" t="n">
        <v>40</v>
      </c>
      <c r="B177" s="10" t="inlineStr">
        <is>
          <t>Insumo</t>
        </is>
      </c>
      <c r="C177" s="10" t="inlineStr">
        <is>
          <t>Guarda-corpo em laje pós-desforma com pontalete de madeira, travessões e tela</t>
        </is>
      </c>
      <c r="D177" s="10" t="inlineStr">
        <is>
          <t>PREGO DE ACO POLIDO COM CABECA 17 X 21 (2 X 11)</t>
        </is>
      </c>
      <c r="E177" s="11">
        <f t="array" ref="E177">_xlfn.XLOOKUP(D177,Insumos!B:B,Insumos!C:$C)</f>
        <v/>
      </c>
      <c r="F177" s="14" t="n">
        <v>0.0389</v>
      </c>
      <c r="G177" s="92">
        <f t="array" ref="G177">IF(B177="insumo",_xlfn.XLOOKUP($D177,Insumos!$B$1:$B$996,Insumos!$D$1:$D$996),"")</f>
        <v/>
      </c>
      <c r="H177" s="92" t="n">
        <v>0.705257</v>
      </c>
      <c r="I177" s="2162" t="n">
        <v>0</v>
      </c>
      <c r="J177" s="2162" t="n">
        <v>0</v>
      </c>
      <c r="K177" s="2162" t="n"/>
    </row>
    <row r="178" outlineLevel="3" ht="15.75" customHeight="1">
      <c r="A178" s="10" t="n">
        <v>4</v>
      </c>
      <c r="B178" s="10" t="inlineStr">
        <is>
          <t>Insumo</t>
        </is>
      </c>
      <c r="C178" s="10" t="inlineStr">
        <is>
          <t>Guarda-corpo em laje pós-desforma com pontalete de madeira, travessões e tela</t>
        </is>
      </c>
      <c r="D178" s="10" t="inlineStr">
        <is>
          <t>TABUA *2,5 X 15 CM EM PINUS, MISTA OU EQUIVALENTE DA REGIAO - BRUTA</t>
        </is>
      </c>
      <c r="E178" s="11">
        <f t="array" ref="E178">_xlfn.XLOOKUP(D178,Insumos!B:B,Insumos!C:$C)</f>
        <v/>
      </c>
      <c r="F178" s="14" t="n">
        <v>1.41</v>
      </c>
      <c r="G178" s="92">
        <f t="array" ref="G178">IF(B178="insumo",_xlfn.XLOOKUP($D178,Insumos!$B$1:$B$996,Insumos!$D$1:$D$996),"")</f>
        <v/>
      </c>
      <c r="H178" s="92" t="n">
        <v>29.9343</v>
      </c>
      <c r="I178" s="2162" t="n">
        <v>0</v>
      </c>
      <c r="J178" s="2162" t="n">
        <v>0</v>
      </c>
      <c r="K178" s="2162" t="n"/>
    </row>
    <row r="179" outlineLevel="3" ht="15.75" customHeight="1">
      <c r="A179" s="10" t="n">
        <v>2</v>
      </c>
      <c r="B179" s="10" t="inlineStr">
        <is>
          <t>Insumo</t>
        </is>
      </c>
      <c r="C179" s="10" t="inlineStr">
        <is>
          <t>Guarda-corpo em laje pós-desforma com pontalete de madeira, travessões e tela</t>
        </is>
      </c>
      <c r="D179" s="10" t="inlineStr">
        <is>
          <t>ESCORA METALICA TELESCOPICA, COM ALTURA REGULAVEL DE *1,80* A *3,20* M, INCLUSO TRIPE E FORCADO</t>
        </is>
      </c>
      <c r="E179" s="11">
        <f t="array" ref="E179">_xlfn.XLOOKUP(D179,Insumos!B:B,Insumos!C:$C)</f>
        <v/>
      </c>
      <c r="F179" s="14" t="n">
        <v>0.1</v>
      </c>
      <c r="G179" s="92">
        <f t="array" ref="G179">IF(B179="insumo",_xlfn.XLOOKUP($D179,Insumos!$B$1:$B$996,Insumos!$D$1:$D$996),"")</f>
        <v/>
      </c>
      <c r="H179" s="92" t="n">
        <v>3.29</v>
      </c>
      <c r="I179" s="2162" t="n">
        <v>0</v>
      </c>
      <c r="J179" s="2162" t="n">
        <v>0</v>
      </c>
      <c r="K179" s="2162" t="n"/>
    </row>
    <row r="180" outlineLevel="3" ht="15.75" customHeight="1">
      <c r="A180" s="10" t="n">
        <v>3</v>
      </c>
      <c r="B180" s="10" t="inlineStr">
        <is>
          <t>Insumo</t>
        </is>
      </c>
      <c r="C180" s="10" t="inlineStr">
        <is>
          <t>Guarda-corpo em laje pós-desforma com pontalete de madeira, travessões e tela</t>
        </is>
      </c>
      <c r="D180" s="10" t="inlineStr">
        <is>
          <t>TELA PLASTICA TECIDA LISTRADA BRANCA E LARANJA, EM POLIETILENO MONOFILADO</t>
        </is>
      </c>
      <c r="E180" s="11">
        <f t="array" ref="E180">_xlfn.XLOOKUP(D180,Insumos!B:B,Insumos!C:$C)</f>
        <v/>
      </c>
      <c r="F180" s="14" t="n">
        <v>0.55</v>
      </c>
      <c r="G180" s="92">
        <f t="array" ref="G180">IF(B180="insumo",_xlfn.XLOOKUP($D180,Insumos!$B$1:$B$996,Insumos!$D$1:$D$996),"")</f>
        <v/>
      </c>
      <c r="H180" s="92" t="n">
        <v>1.5015</v>
      </c>
      <c r="I180" s="2162" t="n">
        <v>0</v>
      </c>
      <c r="J180" s="2162" t="n">
        <v>0</v>
      </c>
      <c r="K180" s="2162" t="n"/>
    </row>
    <row r="181" outlineLevel="3" ht="15.75" customHeight="1">
      <c r="A181" s="10" t="n">
        <v>7</v>
      </c>
      <c r="B181" s="10" t="inlineStr">
        <is>
          <t>Insumo</t>
        </is>
      </c>
      <c r="C181" s="10" t="inlineStr">
        <is>
          <t>Guarda-corpo em laje pós-desforma com pontalete de madeira, travessões e tela</t>
        </is>
      </c>
      <c r="D181" s="10" t="inlineStr">
        <is>
          <t>PONTALETE *7,5 X 7,5* CM EM PINUS, MISTA OU EQUIVALENTE DA REGIAO - BRUTA</t>
        </is>
      </c>
      <c r="E181" s="11">
        <f t="array" ref="E181">_xlfn.XLOOKUP(D181,Insumos!B:B,Insumos!C:$C)</f>
        <v/>
      </c>
      <c r="F181" s="14" t="n">
        <v>0.0058</v>
      </c>
      <c r="G181" s="92">
        <f t="array" ref="G181">IF(B181="insumo",_xlfn.XLOOKUP($D181,Insumos!$B$1:$B$996,Insumos!$D$1:$D$996),"")</f>
        <v/>
      </c>
      <c r="H181" s="92" t="n">
        <v>6.38</v>
      </c>
      <c r="I181" s="2162" t="n">
        <v>0</v>
      </c>
      <c r="J181" s="2162" t="n">
        <v>0</v>
      </c>
      <c r="K181" s="2162" t="n"/>
    </row>
    <row r="182" outlineLevel="2" ht="15.75" customHeight="1">
      <c r="A182" s="1067" t="n">
        <v>1</v>
      </c>
      <c r="B182" s="1067" t="inlineStr">
        <is>
          <t>Serviço</t>
        </is>
      </c>
      <c r="C182" s="1067" t="inlineStr">
        <is>
          <t>Tela fachadeira</t>
        </is>
      </c>
      <c r="D182" s="1067" t="inlineStr">
        <is>
          <t>Tela fachadeira</t>
        </is>
      </c>
      <c r="E182" s="1068" t="inlineStr">
        <is>
          <t>M2</t>
        </is>
      </c>
      <c r="F182" s="1067" t="n"/>
      <c r="G182" s="1069">
        <f t="array" ref="G182">IF(B182="insumo",_xlfn.XLOOKUP($D182,Insumos!$B$1:$B$996,Insumos!$D$1:$D$996),"")</f>
        <v/>
      </c>
      <c r="H182" s="1069" t="n">
        <v>8.5113</v>
      </c>
      <c r="I182" s="2161" t="n">
        <v>0</v>
      </c>
      <c r="J182" s="2161" t="n">
        <v>0</v>
      </c>
      <c r="K182" s="2161" t="n"/>
    </row>
    <row r="183" outlineLevel="3" ht="15.75" customHeight="1">
      <c r="A183" s="10" t="n">
        <v>40</v>
      </c>
      <c r="B183" s="10" t="inlineStr">
        <is>
          <t>Insumo</t>
        </is>
      </c>
      <c r="C183" s="10" t="inlineStr">
        <is>
          <t>Tela fachadeira</t>
        </is>
      </c>
      <c r="D183" s="10" t="inlineStr">
        <is>
          <t>PREGO DE ACO POLIDO COM CABECA 17 X 21 (2 X 11)</t>
        </is>
      </c>
      <c r="E183" s="11">
        <f t="array" ref="E183">_xlfn.XLOOKUP(D183,Insumos!B:B,Insumos!C:$C)</f>
        <v/>
      </c>
      <c r="F183" s="14" t="n">
        <v>0.01</v>
      </c>
      <c r="G183" s="92">
        <f t="array" ref="G183">IF(B183="insumo",_xlfn.XLOOKUP($D183,Insumos!$B$1:$B$996,Insumos!$D$1:$D$996),"")</f>
        <v/>
      </c>
      <c r="H183" s="92" t="n">
        <v>0.1813</v>
      </c>
      <c r="I183" s="2162" t="n">
        <v>0</v>
      </c>
      <c r="J183" s="2162" t="n">
        <v>0</v>
      </c>
      <c r="K183" s="2162" t="n"/>
    </row>
    <row r="184" outlineLevel="3" ht="15.75" customHeight="1">
      <c r="A184" s="10" t="n">
        <v>1</v>
      </c>
      <c r="B184" s="10" t="inlineStr">
        <is>
          <t>Insumo</t>
        </is>
      </c>
      <c r="C184" s="10" t="inlineStr">
        <is>
          <t>Tela fachadeira</t>
        </is>
      </c>
      <c r="D184" s="10" t="inlineStr">
        <is>
          <t>TELA FACHADEIRA POLIETILENO MALHA 1,5X1,5MM</t>
        </is>
      </c>
      <c r="E184" s="11">
        <f t="array" ref="E184">_xlfn.XLOOKUP(D184,Insumos!B:B,Insumos!C:$C)</f>
        <v/>
      </c>
      <c r="F184" s="14" t="n">
        <v>1.05</v>
      </c>
      <c r="G184" s="92">
        <f t="array" ref="G184">IF(B184="insumo",_xlfn.XLOOKUP($D184,Insumos!$B$1:$B$996,Insumos!$D$1:$D$996),"")</f>
        <v/>
      </c>
      <c r="H184" s="92" t="n">
        <v>3.675</v>
      </c>
      <c r="I184" s="2162" t="n">
        <v>0</v>
      </c>
      <c r="J184" s="2162" t="n">
        <v>0</v>
      </c>
      <c r="K184" s="2162" t="n"/>
    </row>
    <row r="185" outlineLevel="3" ht="15.75" customHeight="1">
      <c r="A185" s="10" t="n">
        <v>7</v>
      </c>
      <c r="B185" s="10" t="inlineStr">
        <is>
          <t>Insumo</t>
        </is>
      </c>
      <c r="C185" s="10" t="inlineStr">
        <is>
          <t>Tela fachadeira</t>
        </is>
      </c>
      <c r="D185" s="10" t="inlineStr">
        <is>
          <t>PONTALETE *7,5 X 7,5* CM EM PINUS, MISTA OU EQUIVALENTE DA REGIAO - BRUTA</t>
        </is>
      </c>
      <c r="E185" s="11">
        <f t="array" ref="E185">_xlfn.XLOOKUP(D185,Insumos!B:B,Insumos!C:$C)</f>
        <v/>
      </c>
      <c r="F185" s="14" t="n">
        <v>0.0019</v>
      </c>
      <c r="G185" s="92">
        <f t="array" ref="G185">IF(B185="insumo",_xlfn.XLOOKUP($D185,Insumos!$B$1:$B$996,Insumos!$D$1:$D$996),"")</f>
        <v/>
      </c>
      <c r="H185" s="92" t="n">
        <v>2.09</v>
      </c>
      <c r="I185" s="2162" t="n">
        <v>0</v>
      </c>
      <c r="J185" s="2162" t="n">
        <v>0</v>
      </c>
      <c r="K185" s="2162" t="n"/>
    </row>
    <row r="186" outlineLevel="3" ht="15.75" customHeight="1">
      <c r="A186" s="10" t="n">
        <v>19</v>
      </c>
      <c r="B186" s="10" t="inlineStr">
        <is>
          <t>Insumo</t>
        </is>
      </c>
      <c r="C186" s="10" t="inlineStr">
        <is>
          <t>Tela fachadeira</t>
        </is>
      </c>
      <c r="D186" s="10" t="inlineStr">
        <is>
          <t>SARRAFO *2,5 X 7,5* CM EM PINUS, MISTA OU EQUIVALENTE DA REGIAO - BRUTA</t>
        </is>
      </c>
      <c r="E186" s="11">
        <f t="array" ref="E186">_xlfn.XLOOKUP(D186,Insumos!B:B,Insumos!C:$C)</f>
        <v/>
      </c>
      <c r="F186" s="14" t="n">
        <v>0.0019</v>
      </c>
      <c r="G186" s="92">
        <f t="array" ref="G186">IF(B186="insumo",_xlfn.XLOOKUP($D186,Insumos!$B$1:$B$996,Insumos!$D$1:$D$996),"")</f>
        <v/>
      </c>
      <c r="H186" s="92" t="n">
        <v>2.565</v>
      </c>
      <c r="I186" s="2162" t="n">
        <v>0</v>
      </c>
      <c r="J186" s="2162" t="n">
        <v>0</v>
      </c>
      <c r="K186" s="2162" t="n"/>
    </row>
    <row r="187" outlineLevel="2" ht="15.75" customHeight="1">
      <c r="A187" s="1067" t="n">
        <v>1</v>
      </c>
      <c r="B187" s="1067" t="inlineStr">
        <is>
          <t>Serviço</t>
        </is>
      </c>
      <c r="C187" s="1067" t="inlineStr">
        <is>
          <t>Fechamento removível de vãos de porta de elevador em madeira</t>
        </is>
      </c>
      <c r="D187" s="1067" t="inlineStr">
        <is>
          <t>Fechamento removível de vãos de porta de elevador em madeira</t>
        </is>
      </c>
      <c r="E187" s="1068" t="inlineStr">
        <is>
          <t>M2</t>
        </is>
      </c>
      <c r="F187" s="1067" t="n"/>
      <c r="G187" s="1069">
        <f t="array" ref="G187">IF(B187="insumo",_xlfn.XLOOKUP($D187,Insumos!$B$1:$B$996,Insumos!$D$1:$D$996),"")</f>
        <v/>
      </c>
      <c r="H187" s="1069" t="n">
        <v>49.519651</v>
      </c>
      <c r="I187" s="2161" t="n">
        <v>0</v>
      </c>
      <c r="J187" s="2161" t="n">
        <v>0</v>
      </c>
      <c r="K187" s="2161" t="n"/>
    </row>
    <row r="188" outlineLevel="3" ht="15.75" customHeight="1">
      <c r="A188" s="10" t="n">
        <v>40</v>
      </c>
      <c r="B188" s="10" t="inlineStr">
        <is>
          <t>Insumo</t>
        </is>
      </c>
      <c r="C188" s="10" t="inlineStr">
        <is>
          <t>Fechamento removível de vãos de porta de elevador em madeira</t>
        </is>
      </c>
      <c r="D188" s="10" t="inlineStr">
        <is>
          <t>PREGO DE ACO POLIDO COM CABECA 17 X 21 (2 X 11)</t>
        </is>
      </c>
      <c r="E188" s="11">
        <f t="array" ref="E188">_xlfn.XLOOKUP(D188,Insumos!B:B,Insumos!C:$C)</f>
        <v/>
      </c>
      <c r="F188" s="14" t="n">
        <v>0.0667</v>
      </c>
      <c r="G188" s="92">
        <f t="array" ref="G188">IF(B188="insumo",_xlfn.XLOOKUP($D188,Insumos!$B$1:$B$996,Insumos!$D$1:$D$996),"")</f>
        <v/>
      </c>
      <c r="H188" s="92" t="n">
        <v>1.209271</v>
      </c>
      <c r="I188" s="2162" t="n">
        <v>0</v>
      </c>
      <c r="J188" s="2162" t="n">
        <v>0</v>
      </c>
      <c r="K188" s="2162" t="n"/>
    </row>
    <row r="189" outlineLevel="3" ht="15.75" customHeight="1">
      <c r="A189" s="10" t="n">
        <v>3</v>
      </c>
      <c r="B189" s="10" t="inlineStr">
        <is>
          <t>Insumo</t>
        </is>
      </c>
      <c r="C189" s="10" t="inlineStr">
        <is>
          <t>Fechamento removível de vãos de porta de elevador em madeira</t>
        </is>
      </c>
      <c r="D189" s="10" t="inlineStr">
        <is>
          <t>CHAPA/PAINEL DE MADEIRA COMPENSADA RESINADA, DE 2200 X 1100 MM, E = 14 MM</t>
        </is>
      </c>
      <c r="E189" s="11">
        <f t="array" ref="E189">_xlfn.XLOOKUP(D189,Insumos!B:B,Insumos!C:$C)</f>
        <v/>
      </c>
      <c r="F189" s="14" t="n">
        <v>1.071</v>
      </c>
      <c r="G189" s="92">
        <f t="array" ref="G189">IF(B189="insumo",_xlfn.XLOOKUP($D189,Insumos!$B$1:$B$996,Insumos!$D$1:$D$996),"")</f>
        <v/>
      </c>
      <c r="H189" s="92" t="n">
        <v>38.32038</v>
      </c>
      <c r="I189" s="2162" t="n">
        <v>0</v>
      </c>
      <c r="J189" s="2162" t="n">
        <v>0</v>
      </c>
      <c r="K189" s="2162" t="n"/>
    </row>
    <row r="190" outlineLevel="3" ht="15.75" customHeight="1">
      <c r="A190" s="10" t="n">
        <v>19</v>
      </c>
      <c r="B190" s="10" t="inlineStr">
        <is>
          <t>Insumo</t>
        </is>
      </c>
      <c r="C190" s="10" t="inlineStr">
        <is>
          <t>Fechamento removível de vãos de porta de elevador em madeira</t>
        </is>
      </c>
      <c r="D190" s="10" t="inlineStr">
        <is>
          <t>SARRAFO *2,5 X 7,5* CM EM PINUS, MISTA OU EQUIVALENTE DA REGIAO - BRUTA</t>
        </is>
      </c>
      <c r="E190" s="11">
        <f t="array" ref="E190">_xlfn.XLOOKUP(D190,Insumos!B:B,Insumos!C:$C)</f>
        <v/>
      </c>
      <c r="F190" s="14" t="n">
        <v>0.0074</v>
      </c>
      <c r="G190" s="92">
        <f t="array" ref="G190">IF(B190="insumo",_xlfn.XLOOKUP($D190,Insumos!$B$1:$B$996,Insumos!$D$1:$D$996),"")</f>
        <v/>
      </c>
      <c r="H190" s="92" t="n">
        <v>9.99</v>
      </c>
      <c r="I190" s="2162" t="n">
        <v>0</v>
      </c>
      <c r="J190" s="2162" t="n">
        <v>0</v>
      </c>
      <c r="K190" s="2162" t="n"/>
    </row>
    <row r="191" outlineLevel="2" ht="15.75" customHeight="1">
      <c r="A191" s="1067" t="n">
        <v>1</v>
      </c>
      <c r="B191" s="1067" t="inlineStr">
        <is>
          <t>Serviço</t>
        </is>
      </c>
      <c r="C191" s="1067" t="inlineStr">
        <is>
          <t>Fechamento removível de vãos de porta de entrada dos aptos. em madeira</t>
        </is>
      </c>
      <c r="D191" s="1067" t="inlineStr">
        <is>
          <t>Fechamento removível de vãos de porta de entrada dos aptos. em madeira</t>
        </is>
      </c>
      <c r="E191" s="1068" t="inlineStr">
        <is>
          <t>M2</t>
        </is>
      </c>
      <c r="F191" s="1067" t="n"/>
      <c r="G191" s="1069">
        <f t="array" ref="G191">IF(B191="insumo",_xlfn.XLOOKUP($D191,Insumos!$B$1:$B$996,Insumos!$D$1:$D$996),"")</f>
        <v/>
      </c>
      <c r="H191" s="1069" t="n">
        <v>49.519651</v>
      </c>
      <c r="I191" s="2161" t="n">
        <v>0</v>
      </c>
      <c r="J191" s="2161" t="n">
        <v>0</v>
      </c>
      <c r="K191" s="2161" t="n"/>
    </row>
    <row r="192" outlineLevel="3" ht="15.75" customHeight="1">
      <c r="A192" s="10" t="n">
        <v>40</v>
      </c>
      <c r="B192" s="10" t="inlineStr">
        <is>
          <t>Insumo</t>
        </is>
      </c>
      <c r="C192" s="10" t="inlineStr">
        <is>
          <t>Fechamento removível de vãos de porta de entrada dos aptos. em madeira</t>
        </is>
      </c>
      <c r="D192" s="10" t="inlineStr">
        <is>
          <t>PREGO DE ACO POLIDO COM CABECA 17 X 21 (2 X 11)</t>
        </is>
      </c>
      <c r="E192" s="11">
        <f t="array" ref="E192">_xlfn.XLOOKUP(D192,Insumos!B:B,Insumos!C:$C)</f>
        <v/>
      </c>
      <c r="F192" s="14" t="n">
        <v>0.0667</v>
      </c>
      <c r="G192" s="92">
        <f t="array" ref="G192">IF(B192="insumo",_xlfn.XLOOKUP($D192,Insumos!$B$1:$B$996,Insumos!$D$1:$D$996),"")</f>
        <v/>
      </c>
      <c r="H192" s="92" t="n">
        <v>1.209271</v>
      </c>
      <c r="I192" s="2162" t="n">
        <v>0</v>
      </c>
      <c r="J192" s="2162" t="n">
        <v>0</v>
      </c>
      <c r="K192" s="2162" t="n"/>
    </row>
    <row r="193" outlineLevel="3" ht="15.75" customHeight="1">
      <c r="A193" s="10" t="n">
        <v>3</v>
      </c>
      <c r="B193" s="10" t="inlineStr">
        <is>
          <t>Insumo</t>
        </is>
      </c>
      <c r="C193" s="10" t="inlineStr">
        <is>
          <t>Fechamento removível de vãos de porta de entrada dos aptos. em madeira</t>
        </is>
      </c>
      <c r="D193" s="10" t="inlineStr">
        <is>
          <t>CHAPA/PAINEL DE MADEIRA COMPENSADA RESINADA, DE 2200 X 1100 MM, E = 14 MM</t>
        </is>
      </c>
      <c r="E193" s="11">
        <f t="array" ref="E193">_xlfn.XLOOKUP(D193,Insumos!B:B,Insumos!C:$C)</f>
        <v/>
      </c>
      <c r="F193" s="14" t="n">
        <v>1.071</v>
      </c>
      <c r="G193" s="92">
        <f t="array" ref="G193">IF(B193="insumo",_xlfn.XLOOKUP($D193,Insumos!$B$1:$B$996,Insumos!$D$1:$D$996),"")</f>
        <v/>
      </c>
      <c r="H193" s="92" t="n">
        <v>38.32038</v>
      </c>
      <c r="I193" s="2162" t="n">
        <v>0</v>
      </c>
      <c r="J193" s="2162" t="n">
        <v>0</v>
      </c>
      <c r="K193" s="2162" t="n"/>
    </row>
    <row r="194" outlineLevel="3" ht="15.75" customHeight="1">
      <c r="A194" s="10" t="n">
        <v>19</v>
      </c>
      <c r="B194" s="10" t="inlineStr">
        <is>
          <t>Insumo</t>
        </is>
      </c>
      <c r="C194" s="10" t="inlineStr">
        <is>
          <t>Fechamento removível de vãos de porta de entrada dos aptos. em madeira</t>
        </is>
      </c>
      <c r="D194" s="10" t="inlineStr">
        <is>
          <t>SARRAFO *2,5 X 7,5* CM EM PINUS, MISTA OU EQUIVALENTE DA REGIAO - BRUTA</t>
        </is>
      </c>
      <c r="E194" s="11">
        <f t="array" ref="E194">_xlfn.XLOOKUP(D194,Insumos!B:B,Insumos!C:$C)</f>
        <v/>
      </c>
      <c r="F194" s="14" t="n">
        <v>0.0074</v>
      </c>
      <c r="G194" s="92">
        <f t="array" ref="G194">IF(B194="insumo",_xlfn.XLOOKUP($D194,Insumos!$B$1:$B$996,Insumos!$D$1:$D$996),"")</f>
        <v/>
      </c>
      <c r="H194" s="92" t="n">
        <v>9.99</v>
      </c>
      <c r="I194" s="2162" t="n">
        <v>0</v>
      </c>
      <c r="J194" s="2162" t="n">
        <v>0</v>
      </c>
      <c r="K194" s="2162" t="n"/>
    </row>
    <row r="195" outlineLevel="2" ht="15.75" customHeight="1">
      <c r="A195" s="1067" t="n">
        <v>1</v>
      </c>
      <c r="B195" s="1067" t="inlineStr">
        <is>
          <t>Serviço</t>
        </is>
      </c>
      <c r="C195" s="1067" t="inlineStr">
        <is>
          <t>Fechamento removível de abertura no piso do elevador em madeira</t>
        </is>
      </c>
      <c r="D195" s="1067" t="inlineStr">
        <is>
          <t>Fechamento removível de abertura no piso do elevador em madeira</t>
        </is>
      </c>
      <c r="E195" s="1068" t="inlineStr">
        <is>
          <t>M2</t>
        </is>
      </c>
      <c r="F195" s="1067" t="n"/>
      <c r="G195" s="1069">
        <f t="array" ref="G195">IF(B195="insumo",_xlfn.XLOOKUP($D195,Insumos!$B$1:$B$996,Insumos!$D$1:$D$996),"")</f>
        <v/>
      </c>
      <c r="H195" s="1069" t="n">
        <v>49.519651</v>
      </c>
      <c r="I195" s="2161" t="n">
        <v>0</v>
      </c>
      <c r="J195" s="2161" t="n">
        <v>0</v>
      </c>
      <c r="K195" s="2161" t="n"/>
    </row>
    <row r="196" outlineLevel="3" ht="15.75" customHeight="1">
      <c r="A196" s="10" t="n">
        <v>40</v>
      </c>
      <c r="B196" s="10" t="inlineStr">
        <is>
          <t>Insumo</t>
        </is>
      </c>
      <c r="C196" s="10" t="inlineStr">
        <is>
          <t>Fechamento removível de abertura no piso do elevador em madeira</t>
        </is>
      </c>
      <c r="D196" s="10" t="inlineStr">
        <is>
          <t>PREGO DE ACO POLIDO COM CABECA 17 X 21 (2 X 11)</t>
        </is>
      </c>
      <c r="E196" s="11">
        <f t="array" ref="E196">_xlfn.XLOOKUP(D196,Insumos!B:B,Insumos!C:$C)</f>
        <v/>
      </c>
      <c r="F196" s="14" t="n">
        <v>0.0667</v>
      </c>
      <c r="G196" s="92">
        <f t="array" ref="G196">IF(B196="insumo",_xlfn.XLOOKUP($D196,Insumos!$B$1:$B$996,Insumos!$D$1:$D$996),"")</f>
        <v/>
      </c>
      <c r="H196" s="92" t="n">
        <v>1.209271</v>
      </c>
      <c r="I196" s="2162" t="n">
        <v>0</v>
      </c>
      <c r="J196" s="2162" t="n">
        <v>0</v>
      </c>
      <c r="K196" s="2162" t="n"/>
    </row>
    <row r="197" outlineLevel="3" ht="15.75" customHeight="1">
      <c r="A197" s="10" t="n">
        <v>3</v>
      </c>
      <c r="B197" s="10" t="inlineStr">
        <is>
          <t>Insumo</t>
        </is>
      </c>
      <c r="C197" s="10" t="inlineStr">
        <is>
          <t>Fechamento removível de abertura no piso do elevador em madeira</t>
        </is>
      </c>
      <c r="D197" s="10" t="inlineStr">
        <is>
          <t>CHAPA/PAINEL DE MADEIRA COMPENSADA RESINADA, DE 2200 X 1100 MM, E = 14 MM</t>
        </is>
      </c>
      <c r="E197" s="11">
        <f t="array" ref="E197">_xlfn.XLOOKUP(D197,Insumos!B:B,Insumos!C:$C)</f>
        <v/>
      </c>
      <c r="F197" s="14" t="n">
        <v>1.071</v>
      </c>
      <c r="G197" s="92">
        <f t="array" ref="G197">IF(B197="insumo",_xlfn.XLOOKUP($D197,Insumos!$B$1:$B$996,Insumos!$D$1:$D$996),"")</f>
        <v/>
      </c>
      <c r="H197" s="92" t="n">
        <v>38.32038</v>
      </c>
      <c r="I197" s="2162" t="n">
        <v>0</v>
      </c>
      <c r="J197" s="2162" t="n">
        <v>0</v>
      </c>
      <c r="K197" s="2162" t="n"/>
    </row>
    <row r="198" outlineLevel="3" ht="15.75" customHeight="1">
      <c r="A198" s="10" t="n">
        <v>19</v>
      </c>
      <c r="B198" s="10" t="inlineStr">
        <is>
          <t>Insumo</t>
        </is>
      </c>
      <c r="C198" s="10" t="inlineStr">
        <is>
          <t>Fechamento removível de abertura no piso do elevador em madeira</t>
        </is>
      </c>
      <c r="D198" s="10" t="inlineStr">
        <is>
          <t>SARRAFO *2,5 X 7,5* CM EM PINUS, MISTA OU EQUIVALENTE DA REGIAO - BRUTA</t>
        </is>
      </c>
      <c r="E198" s="11">
        <f t="array" ref="E198">_xlfn.XLOOKUP(D198,Insumos!B:B,Insumos!C:$C)</f>
        <v/>
      </c>
      <c r="F198" s="14" t="n">
        <v>0.0074</v>
      </c>
      <c r="G198" s="92">
        <f t="array" ref="G198">IF(B198="insumo",_xlfn.XLOOKUP($D198,Insumos!$B$1:$B$996,Insumos!$D$1:$D$996),"")</f>
        <v/>
      </c>
      <c r="H198" s="92" t="n">
        <v>9.99</v>
      </c>
      <c r="I198" s="2162" t="n">
        <v>0</v>
      </c>
      <c r="J198" s="2162" t="n">
        <v>0</v>
      </c>
      <c r="K198" s="2162" t="n"/>
    </row>
    <row r="199" outlineLevel="2" ht="15.75" customHeight="1">
      <c r="A199" s="1067" t="n">
        <v>1</v>
      </c>
      <c r="B199" s="1067" t="inlineStr">
        <is>
          <t>Serviço</t>
        </is>
      </c>
      <c r="C199" s="1067" t="inlineStr">
        <is>
          <t>Cobertura para Proteção de Pedestres</t>
        </is>
      </c>
      <c r="D199" s="1067" t="inlineStr">
        <is>
          <t>Cobertura para Proteção de Pedestres</t>
        </is>
      </c>
      <c r="E199" s="1068" t="inlineStr">
        <is>
          <t>M2</t>
        </is>
      </c>
      <c r="F199" s="1067" t="n"/>
      <c r="G199" s="1069">
        <f t="array" ref="G199">IF(B199="insumo",_xlfn.XLOOKUP($D199,Insumos!$B$1:$B$996,Insumos!$D$1:$D$996),"")</f>
        <v/>
      </c>
      <c r="H199" s="1069" t="n">
        <v>880</v>
      </c>
      <c r="I199" s="2161" t="n">
        <v>0</v>
      </c>
      <c r="J199" s="2161" t="n">
        <v>0</v>
      </c>
      <c r="K199" s="2161" t="n"/>
    </row>
    <row r="200" outlineLevel="3" ht="15.75" customHeight="1">
      <c r="A200" s="10" t="n">
        <v>1</v>
      </c>
      <c r="B200" s="10" t="inlineStr">
        <is>
          <t>Insumo</t>
        </is>
      </c>
      <c r="C200" s="10" t="inlineStr">
        <is>
          <t>Cobertura para Proteção de Pedestres</t>
        </is>
      </c>
      <c r="D200" s="10" t="inlineStr">
        <is>
          <t>Locação estrutura metálica para proteção de pesdestres</t>
        </is>
      </c>
      <c r="E200" s="11">
        <f t="array" ref="E200">_xlfn.XLOOKUP(D200,Insumos!B:B,Insumos!C:$C)</f>
        <v/>
      </c>
      <c r="F200" s="14" t="n">
        <v>1</v>
      </c>
      <c r="G200" s="92">
        <f t="array" ref="G200">IF(B200="insumo",_xlfn.XLOOKUP($D200,Insumos!$B$1:$B$996,Insumos!$D$1:$D$996),"")</f>
        <v/>
      </c>
      <c r="H200" s="92" t="n">
        <v>880</v>
      </c>
      <c r="I200" s="2162" t="n">
        <v>0</v>
      </c>
      <c r="J200" s="2162" t="n">
        <v>0</v>
      </c>
      <c r="K200" s="2162" t="n"/>
    </row>
    <row r="201" outlineLevel="2" ht="15.75" customHeight="1">
      <c r="A201" s="1067" t="n">
        <v>1</v>
      </c>
      <c r="B201" s="1067" t="inlineStr">
        <is>
          <t>Serviço</t>
        </is>
      </c>
      <c r="C201" s="1067" t="inlineStr">
        <is>
          <t>Tapume em telha metálica trapezoidal</t>
        </is>
      </c>
      <c r="D201" s="1067" t="inlineStr">
        <is>
          <t>Tapume em telha metálica trapezoidal</t>
        </is>
      </c>
      <c r="E201" s="1068" t="inlineStr">
        <is>
          <t>M2</t>
        </is>
      </c>
      <c r="F201" s="1067" t="n"/>
      <c r="G201" s="1069">
        <f t="array" ref="G201">IF(B201="insumo",_xlfn.XLOOKUP($D201,Insumos!$B$1:$B$996,Insumos!$D$1:$D$996),"")</f>
        <v/>
      </c>
      <c r="H201" s="1069" t="n">
        <v>164.0766</v>
      </c>
      <c r="I201" s="2161" t="n">
        <v>0</v>
      </c>
      <c r="J201" s="2161" t="n">
        <v>0</v>
      </c>
      <c r="K201" s="2161" t="n"/>
    </row>
    <row r="202" outlineLevel="3" ht="15.75" customHeight="1">
      <c r="A202" s="10" t="n">
        <v>6</v>
      </c>
      <c r="B202" s="10" t="inlineStr">
        <is>
          <t>Insumo</t>
        </is>
      </c>
      <c r="C202" s="10" t="inlineStr">
        <is>
          <t>Tapume em telha metálica trapezoidal</t>
        </is>
      </c>
      <c r="D202" s="10" t="inlineStr">
        <is>
          <t>PREGO DE ACO POLIDO COM CABECA 18 X 27 (2 1/2 X 10)</t>
        </is>
      </c>
      <c r="E202" s="11">
        <f t="array" ref="E202">_xlfn.XLOOKUP(D202,Insumos!B:B,Insumos!C:$C)</f>
        <v/>
      </c>
      <c r="F202" s="14" t="n">
        <v>0.068</v>
      </c>
      <c r="G202" s="92">
        <f t="array" ref="G202">IF(B202="insumo",_xlfn.XLOOKUP($D202,Insumos!$B$1:$B$996,Insumos!$D$1:$D$996),"")</f>
        <v/>
      </c>
      <c r="H202" s="92" t="n">
        <v>1.0642</v>
      </c>
      <c r="I202" s="2162" t="n">
        <v>0</v>
      </c>
      <c r="J202" s="2162" t="n">
        <v>0</v>
      </c>
      <c r="K202" s="2162" t="n"/>
    </row>
    <row r="203" outlineLevel="3" ht="15.75" customHeight="1">
      <c r="A203" s="10" t="n">
        <v>7</v>
      </c>
      <c r="B203" s="10" t="inlineStr">
        <is>
          <t>Insumo</t>
        </is>
      </c>
      <c r="C203" s="10" t="inlineStr">
        <is>
          <t>Tapume em telha metálica trapezoidal</t>
        </is>
      </c>
      <c r="D203" s="10" t="inlineStr">
        <is>
          <t>PONTALETE *7,5 X 7,5* CM EM PINUS, MISTA OU EQUIVALENTE DA REGIAO - BRUTA</t>
        </is>
      </c>
      <c r="E203" s="11">
        <f t="array" ref="E203">_xlfn.XLOOKUP(D203,Insumos!B:B,Insumos!C:$C)</f>
        <v/>
      </c>
      <c r="F203" s="14" t="n">
        <v>0.0078</v>
      </c>
      <c r="G203" s="92">
        <f t="array" ref="G203">IF(B203="insumo",_xlfn.XLOOKUP($D203,Insumos!$B$1:$B$996,Insumos!$D$1:$D$996),"")</f>
        <v/>
      </c>
      <c r="H203" s="92" t="n">
        <v>8.58</v>
      </c>
      <c r="I203" s="2162" t="n">
        <v>0</v>
      </c>
      <c r="J203" s="2162" t="n">
        <v>0</v>
      </c>
      <c r="K203" s="2162" t="n"/>
    </row>
    <row r="204" outlineLevel="3" ht="15.75" customHeight="1">
      <c r="A204" s="10" t="n">
        <v>4</v>
      </c>
      <c r="B204" s="10" t="inlineStr">
        <is>
          <t>Insumo</t>
        </is>
      </c>
      <c r="C204" s="10" t="inlineStr">
        <is>
          <t>Tapume em telha metálica trapezoidal</t>
        </is>
      </c>
      <c r="D204" s="10" t="inlineStr">
        <is>
          <t>TABUA *2,5 X 15 CM EM PINUS, MISTA OU EQUIVALENTE DA REGIAO - BRUTA</t>
        </is>
      </c>
      <c r="E204" s="11">
        <f t="array" ref="E204">_xlfn.XLOOKUP(D204,Insumos!B:B,Insumos!C:$C)</f>
        <v/>
      </c>
      <c r="F204" s="14" t="n">
        <v>2</v>
      </c>
      <c r="G204" s="92">
        <f t="array" ref="G204">IF(B204="insumo",_xlfn.XLOOKUP($D204,Insumos!$B$1:$B$996,Insumos!$D$1:$D$996),"")</f>
        <v/>
      </c>
      <c r="H204" s="92" t="n">
        <v>42.46</v>
      </c>
      <c r="I204" s="2162" t="n">
        <v>0</v>
      </c>
      <c r="J204" s="2162" t="n">
        <v>0</v>
      </c>
      <c r="K204" s="2162" t="n"/>
    </row>
    <row r="205" outlineLevel="3" ht="15.75" customHeight="1">
      <c r="A205" s="10" t="n">
        <v>1</v>
      </c>
      <c r="B205" s="10" t="inlineStr">
        <is>
          <t>Insumo</t>
        </is>
      </c>
      <c r="C205" s="10" t="inlineStr">
        <is>
          <t>Tapume em telha metálica trapezoidal</t>
        </is>
      </c>
      <c r="D205" s="10" t="inlineStr">
        <is>
          <t>TELHA TRAPEZOIDAL EM ACO ZINCADO, ESPESSURA DE 0,50 MM</t>
        </is>
      </c>
      <c r="E205" s="11">
        <f t="array" ref="E205">_xlfn.XLOOKUP(D205,Insumos!B:B,Insumos!C:$C)</f>
        <v/>
      </c>
      <c r="F205" s="14" t="n">
        <v>1.15</v>
      </c>
      <c r="G205" s="92">
        <f t="array" ref="G205">IF(B205="insumo",_xlfn.XLOOKUP($D205,Insumos!$B$1:$B$996,Insumos!$D$1:$D$996),"")</f>
        <v/>
      </c>
      <c r="H205" s="92" t="n">
        <v>111.55</v>
      </c>
      <c r="I205" s="2162" t="n">
        <v>0</v>
      </c>
      <c r="J205" s="2162" t="n">
        <v>0</v>
      </c>
      <c r="K205" s="2162" t="n"/>
    </row>
    <row r="206" outlineLevel="3" ht="15.75" customHeight="1">
      <c r="A206" s="10" t="n">
        <v>1</v>
      </c>
      <c r="B206" s="10" t="inlineStr">
        <is>
          <t>Insumo</t>
        </is>
      </c>
      <c r="C206" s="10" t="inlineStr">
        <is>
          <t>Tapume em telha metálica trapezoidal</t>
        </is>
      </c>
      <c r="D206" s="10" t="inlineStr">
        <is>
          <t>CONCRETO MAGRO USINADO, COM BRITA 1</t>
        </is>
      </c>
      <c r="E206" s="11">
        <f t="array" ref="E206">_xlfn.XLOOKUP(D206,Insumos!B:B,Insumos!C:$C)</f>
        <v/>
      </c>
      <c r="F206" s="14" t="n">
        <v>0.0012</v>
      </c>
      <c r="G206" s="92">
        <f t="array" ref="G206">IF(B206="insumo",_xlfn.XLOOKUP($D206,Insumos!$B$1:$B$996,Insumos!$D$1:$D$996),"")</f>
        <v/>
      </c>
      <c r="H206" s="92" t="n">
        <v>0.4224</v>
      </c>
      <c r="I206" s="2162" t="n">
        <v>0</v>
      </c>
      <c r="J206" s="2162" t="n">
        <v>0</v>
      </c>
      <c r="K206" s="2162" t="n"/>
    </row>
    <row r="207" outlineLevel="2" ht="15.75" customHeight="1">
      <c r="A207" s="1067" t="n">
        <v>1</v>
      </c>
      <c r="B207" s="1067" t="inlineStr">
        <is>
          <t>Serviço</t>
        </is>
      </c>
      <c r="C207" s="1067" t="inlineStr">
        <is>
          <t>Varal de segurança com cabo de aço (linha de vida)</t>
        </is>
      </c>
      <c r="D207" s="1067" t="inlineStr">
        <is>
          <t>Varal de segurança com cabo de aço (linha de vida)</t>
        </is>
      </c>
      <c r="E207" s="1068" t="inlineStr">
        <is>
          <t>M</t>
        </is>
      </c>
      <c r="F207" s="1067" t="n"/>
      <c r="G207" s="1069">
        <f t="array" ref="G207">IF(B207="insumo",_xlfn.XLOOKUP($D207,Insumos!$B$1:$B$996,Insumos!$D$1:$D$996),"")</f>
        <v/>
      </c>
      <c r="H207" s="1069" t="n">
        <v>87.214</v>
      </c>
      <c r="I207" s="2161" t="n">
        <v>0</v>
      </c>
      <c r="J207" s="2161" t="n">
        <v>0</v>
      </c>
      <c r="K207" s="2161" t="n"/>
    </row>
    <row r="208" outlineLevel="3" ht="15.75" customHeight="1">
      <c r="A208" s="10" t="n">
        <v>1</v>
      </c>
      <c r="B208" s="10" t="inlineStr">
        <is>
          <t>Insumo</t>
        </is>
      </c>
      <c r="C208" s="10" t="inlineStr">
        <is>
          <t>Varal de segurança com cabo de aço (linha de vida)</t>
        </is>
      </c>
      <c r="D208" s="10" t="inlineStr">
        <is>
          <t>CABO DE AÇO GALVANIZADO 3/8</t>
        </is>
      </c>
      <c r="E208" s="11">
        <f t="array" ref="E208">_xlfn.XLOOKUP(D208,Insumos!B:B,Insumos!C:$C)</f>
        <v/>
      </c>
      <c r="F208" s="14" t="n">
        <v>1</v>
      </c>
      <c r="G208" s="92">
        <f t="array" ref="G208">IF(B208="insumo",_xlfn.XLOOKUP($D208,Insumos!$B$1:$B$996,Insumos!$D$1:$D$996),"")</f>
        <v/>
      </c>
      <c r="H208" s="92" t="n">
        <v>5.2</v>
      </c>
      <c r="I208" s="2162" t="n">
        <v>0</v>
      </c>
      <c r="J208" s="2162" t="n">
        <v>0</v>
      </c>
      <c r="K208" s="2162" t="n"/>
    </row>
    <row r="209" outlineLevel="3" ht="15.75" customHeight="1">
      <c r="A209" s="10" t="n">
        <v>1</v>
      </c>
      <c r="B209" s="10" t="inlineStr">
        <is>
          <t>Insumo</t>
        </is>
      </c>
      <c r="C209" s="10" t="inlineStr">
        <is>
          <t>Varal de segurança com cabo de aço (linha de vida)</t>
        </is>
      </c>
      <c r="D209" s="10" t="inlineStr">
        <is>
          <t>CLIPS PARA CABO DE AÇO 5/16</t>
        </is>
      </c>
      <c r="E209" s="11">
        <f t="array" ref="E209">_xlfn.XLOOKUP(D209,Insumos!B:B,Insumos!C:$C)</f>
        <v/>
      </c>
      <c r="F209" s="14" t="n">
        <v>0.92</v>
      </c>
      <c r="G209" s="92">
        <f t="array" ref="G209">IF(B209="insumo",_xlfn.XLOOKUP($D209,Insumos!$B$1:$B$996,Insumos!$D$1:$D$996),"")</f>
        <v/>
      </c>
      <c r="H209" s="92" t="n">
        <v>1.564</v>
      </c>
      <c r="I209" s="2162" t="n">
        <v>0</v>
      </c>
      <c r="J209" s="2162" t="n">
        <v>0</v>
      </c>
      <c r="K209" s="2162" t="n"/>
    </row>
    <row r="210" outlineLevel="3" ht="15.75" customHeight="1">
      <c r="A210" s="10" t="n">
        <v>1</v>
      </c>
      <c r="B210" s="10" t="inlineStr">
        <is>
          <t>Insumo</t>
        </is>
      </c>
      <c r="C210" s="10" t="inlineStr">
        <is>
          <t>Varal de segurança com cabo de aço (linha de vida)</t>
        </is>
      </c>
      <c r="D210" s="10" t="inlineStr">
        <is>
          <t>TUBO GALV. 3" X 2,65MM - 8M C/ RUPTURA: 40 MPA (LINHA DE VIDA)</t>
        </is>
      </c>
      <c r="E210" s="11">
        <f t="array" ref="E210">_xlfn.XLOOKUP(D210,Insumos!B:B,Insumos!C:$C)</f>
        <v/>
      </c>
      <c r="F210" s="14" t="n">
        <v>1.609</v>
      </c>
      <c r="G210" s="92">
        <f t="array" ref="G210">IF(B210="insumo",_xlfn.XLOOKUP($D210,Insumos!$B$1:$B$996,Insumos!$D$1:$D$996),"")</f>
        <v/>
      </c>
      <c r="H210" s="92" t="n">
        <v>80.45</v>
      </c>
      <c r="I210" s="2162" t="n">
        <v>0</v>
      </c>
      <c r="J210" s="2162" t="n">
        <v>0</v>
      </c>
      <c r="K210" s="2162" t="n"/>
    </row>
    <row r="211" outlineLevel="2" ht="15.75" customHeight="1">
      <c r="A211" s="1067" t="n">
        <v>1</v>
      </c>
      <c r="B211" s="1067" t="inlineStr">
        <is>
          <t>Serviço</t>
        </is>
      </c>
      <c r="C211" s="1067" t="inlineStr">
        <is>
          <t>Tela SLQA</t>
        </is>
      </c>
      <c r="D211" s="1067" t="inlineStr">
        <is>
          <t>Tela SLQA</t>
        </is>
      </c>
      <c r="E211" s="1068" t="inlineStr">
        <is>
          <t>M</t>
        </is>
      </c>
      <c r="F211" s="1067" t="n"/>
      <c r="G211" s="1069">
        <f t="array" ref="G211">IF(B211="insumo",_xlfn.XLOOKUP($D211,Insumos!$B$1:$B$996,Insumos!$D$1:$D$996),"")</f>
        <v/>
      </c>
      <c r="H211" s="1069" t="n">
        <v>110</v>
      </c>
      <c r="I211" s="2161" t="n">
        <v>0</v>
      </c>
      <c r="J211" s="2161" t="n">
        <v>0</v>
      </c>
      <c r="K211" s="2161" t="n"/>
    </row>
    <row r="212" outlineLevel="3" ht="15.75" customHeight="1">
      <c r="A212" s="10" t="n">
        <v>1</v>
      </c>
      <c r="B212" s="10" t="inlineStr">
        <is>
          <t>Insumo</t>
        </is>
      </c>
      <c r="C212" s="10" t="inlineStr">
        <is>
          <t>Tela SLQA</t>
        </is>
      </c>
      <c r="D212" s="10" t="inlineStr">
        <is>
          <t>Locação estrutura para proteção SLQA</t>
        </is>
      </c>
      <c r="E212" s="11">
        <f t="array" ref="E212">_xlfn.XLOOKUP(D212,Insumos!B:B,Insumos!C:$C)</f>
        <v/>
      </c>
      <c r="F212" s="14" t="n">
        <v>1</v>
      </c>
      <c r="G212" s="92">
        <f t="array" ref="G212">IF(B212="insumo",_xlfn.XLOOKUP($D212,Insumos!$B$1:$B$996,Insumos!$D$1:$D$996),"")</f>
        <v/>
      </c>
      <c r="H212" s="92" t="n">
        <v>110</v>
      </c>
      <c r="I212" s="2162" t="n">
        <v>0</v>
      </c>
      <c r="J212" s="2162" t="n">
        <v>0</v>
      </c>
      <c r="K212" s="2162" t="n"/>
    </row>
    <row r="213" ht="15.75" customHeight="1">
      <c r="A213" s="7" t="n">
        <v>1</v>
      </c>
      <c r="B213" s="7" t="inlineStr">
        <is>
          <t>Etapa</t>
        </is>
      </c>
      <c r="C213" s="7" t="inlineStr">
        <is>
          <t>Tela SLQA</t>
        </is>
      </c>
      <c r="D213" s="7" t="inlineStr">
        <is>
          <t>MOVIMENTAÇÃO DE TERRA</t>
        </is>
      </c>
      <c r="E213" s="8" t="n"/>
      <c r="F213" s="2159" t="n"/>
      <c r="G213" s="91">
        <f t="array" ref="G213">IF(B213="insumo",_xlfn.XLOOKUP($D213,Insumos!$B$1:$B$996,Insumos!$D$1:$D$996),"")</f>
        <v/>
      </c>
      <c r="H213" s="91" t="n">
        <v>0</v>
      </c>
      <c r="I213" s="2159" t="n">
        <v>0</v>
      </c>
      <c r="J213" s="2159" t="n">
        <v>0</v>
      </c>
      <c r="K213" s="2159" t="n"/>
    </row>
    <row r="214" outlineLevel="1" ht="15.75" customHeight="1">
      <c r="A214" s="1090" t="n">
        <v>1</v>
      </c>
      <c r="B214" s="1090" t="inlineStr">
        <is>
          <t>Subetapa</t>
        </is>
      </c>
      <c r="C214" s="1090" t="inlineStr">
        <is>
          <t>Tela SLQA</t>
        </is>
      </c>
      <c r="D214" s="1090" t="inlineStr">
        <is>
          <t>TERRAPLENAGEM E LIMPEZA</t>
        </is>
      </c>
      <c r="E214" s="1091" t="n"/>
      <c r="F214" s="1091" t="n"/>
      <c r="G214" s="1091" t="n"/>
      <c r="H214" s="1091" t="n">
        <v>0</v>
      </c>
      <c r="I214" s="2160" t="n">
        <v>0</v>
      </c>
      <c r="J214" s="2160" t="n">
        <v>0</v>
      </c>
      <c r="K214" s="2160" t="n"/>
    </row>
    <row r="215" outlineLevel="2" ht="15.75" customHeight="1">
      <c r="A215" s="1067" t="n">
        <v>1</v>
      </c>
      <c r="B215" s="1067" t="inlineStr">
        <is>
          <t>Serviço</t>
        </is>
      </c>
      <c r="C215" s="1067" t="inlineStr">
        <is>
          <t>Limpeza Terreno Pernamente</t>
        </is>
      </c>
      <c r="D215" s="1067" t="inlineStr">
        <is>
          <t>Limpeza Terreno Pernamente</t>
        </is>
      </c>
      <c r="E215" s="1068" t="inlineStr">
        <is>
          <t>M2</t>
        </is>
      </c>
      <c r="F215" s="1067" t="n"/>
      <c r="G215" s="1069">
        <f t="array" ref="G215">IF(B215="insumo",_xlfn.XLOOKUP($D215,Insumos!$B$1:$B$996,Insumos!$D$1:$D$996),"")</f>
        <v/>
      </c>
      <c r="H215" s="1069" t="n">
        <v>1.64</v>
      </c>
      <c r="I215" s="2161" t="n">
        <v>0</v>
      </c>
      <c r="J215" s="2161" t="n">
        <v>0</v>
      </c>
      <c r="K215" s="2161" t="n"/>
    </row>
    <row r="216" outlineLevel="3" ht="15.75" customHeight="1">
      <c r="A216" s="10" t="n">
        <v>1</v>
      </c>
      <c r="B216" s="10" t="inlineStr">
        <is>
          <t>Insumo</t>
        </is>
      </c>
      <c r="C216" s="10" t="inlineStr">
        <is>
          <t>Limpeza Terreno Pernamente</t>
        </is>
      </c>
      <c r="D216" s="10" t="inlineStr">
        <is>
          <t>Serviço de Limpeza permanete de Terreno</t>
        </is>
      </c>
      <c r="E216" s="11">
        <f t="array" ref="E216">_xlfn.XLOOKUP(D216,Insumos!B:B,Insumos!C:$C)</f>
        <v/>
      </c>
      <c r="F216" s="14" t="n">
        <v>1</v>
      </c>
      <c r="G216" s="92">
        <f t="array" ref="G216">IF(B216="insumo",_xlfn.XLOOKUP($D216,Insumos!$B$1:$B$996,Insumos!$D$1:$D$996),"")</f>
        <v/>
      </c>
      <c r="H216" s="92" t="n">
        <v>1.64</v>
      </c>
      <c r="I216" s="2162" t="n">
        <v>0</v>
      </c>
      <c r="J216" s="2162" t="n">
        <v>0</v>
      </c>
      <c r="K216" s="2162" t="n"/>
    </row>
    <row r="217" outlineLevel="2" ht="15.75" customHeight="1">
      <c r="A217" s="1067" t="n">
        <v>1</v>
      </c>
      <c r="B217" s="1067" t="inlineStr">
        <is>
          <t>Serviço</t>
        </is>
      </c>
      <c r="C217" s="1067" t="inlineStr">
        <is>
          <t>Rebaixamento de Lençol freático</t>
        </is>
      </c>
      <c r="D217" s="1067" t="inlineStr">
        <is>
          <t>Rebaixamento de Lençol freático</t>
        </is>
      </c>
      <c r="E217" s="1068" t="inlineStr">
        <is>
          <t>MÊS</t>
        </is>
      </c>
      <c r="F217" s="1067" t="n"/>
      <c r="G217" s="1069">
        <f t="array" ref="G217">IF(B217="insumo",_xlfn.XLOOKUP($D217,Insumos!$B$1:$B$996,Insumos!$D$1:$D$996),"")</f>
        <v/>
      </c>
      <c r="H217" s="1069" t="n">
        <v>29600</v>
      </c>
      <c r="I217" s="2161" t="n">
        <v>1</v>
      </c>
      <c r="J217" s="2161" t="n">
        <v>29600</v>
      </c>
      <c r="K217" s="2161" t="n"/>
    </row>
    <row r="218" outlineLevel="3" ht="15.75" customHeight="1">
      <c r="A218" s="10" t="n">
        <v>1</v>
      </c>
      <c r="B218" s="10" t="inlineStr">
        <is>
          <t>Insumo</t>
        </is>
      </c>
      <c r="C218" s="10" t="inlineStr">
        <is>
          <t>Rebaixamento de Lençol freático</t>
        </is>
      </c>
      <c r="D218" s="10" t="inlineStr">
        <is>
          <t>Locação 30 dias de cada equipamento de rebaixamento com 22,5 HP, vazão máxima = 100 m³/h, em operação ou a disposição.</t>
        </is>
      </c>
      <c r="E218" s="11">
        <f t="array" ref="E218">_xlfn.XLOOKUP(D218,Insumos!B:B,Insumos!C:$C)</f>
        <v/>
      </c>
      <c r="F218" s="14">
        <f>ROUNDUP(0.00347*'Dados Base'!$C$8,)</f>
        <v/>
      </c>
      <c r="G218" s="92">
        <f t="array" ref="G218">IF(B218="insumo",_xlfn.XLOOKUP($D218,Insumos!$B$1:$B$996,Insumos!$D$1:$D$996),"")</f>
        <v/>
      </c>
      <c r="H218" s="92" t="n">
        <v>26000</v>
      </c>
      <c r="I218" s="2162" t="n">
        <v>1</v>
      </c>
      <c r="J218" s="2162" t="n">
        <v>26000</v>
      </c>
      <c r="K218" s="2162" t="n"/>
    </row>
    <row r="219" outlineLevel="3" ht="15.75" customHeight="1">
      <c r="A219" s="10" t="n">
        <v>1</v>
      </c>
      <c r="B219" s="10" t="inlineStr">
        <is>
          <t>Insumo</t>
        </is>
      </c>
      <c r="C219" s="10" t="inlineStr">
        <is>
          <t>Rebaixamento de Lençol freático</t>
        </is>
      </c>
      <c r="D219" s="10" t="inlineStr">
        <is>
          <t>Locação 30 dias de cada mangote de descarga CDF-A com lance de 50,00 metros cada.</t>
        </is>
      </c>
      <c r="E219" s="11">
        <f t="array" ref="E219">_xlfn.XLOOKUP(D219,Insumos!B:B,Insumos!C:$C)</f>
        <v/>
      </c>
      <c r="F219" s="14">
        <f>ROUNDUP(0.00347*'Dados Base'!$C$8,)</f>
        <v/>
      </c>
      <c r="G219" s="92">
        <f t="array" ref="G219">IF(B219="insumo",_xlfn.XLOOKUP($D219,Insumos!$B$1:$B$996,Insumos!$D$1:$D$996),"")</f>
        <v/>
      </c>
      <c r="H219" s="92" t="n">
        <v>3600</v>
      </c>
      <c r="I219" s="2162" t="n">
        <v>1</v>
      </c>
      <c r="J219" s="2162" t="n">
        <v>3600</v>
      </c>
      <c r="K219" s="2162" t="n"/>
    </row>
    <row r="220" outlineLevel="2" ht="15.75" customHeight="1">
      <c r="A220" s="1067" t="n">
        <v>1</v>
      </c>
      <c r="B220" s="1067" t="inlineStr">
        <is>
          <t>Serviço</t>
        </is>
      </c>
      <c r="C220" s="1067" t="inlineStr">
        <is>
          <t>Instalação de equipamentos para Rebaixamento de Lençol freático</t>
        </is>
      </c>
      <c r="D220" s="1067" t="inlineStr">
        <is>
          <t>Instalação de equipamentos para Rebaixamento de Lençol freático</t>
        </is>
      </c>
      <c r="E220" s="1068" t="inlineStr">
        <is>
          <t>DIA</t>
        </is>
      </c>
      <c r="F220" s="1067" t="n"/>
      <c r="G220" s="1069">
        <f t="array" ref="G220">IF(B220="insumo",_xlfn.XLOOKUP($D220,Insumos!$B$1:$B$996,Insumos!$D$1:$D$996),"")</f>
        <v/>
      </c>
      <c r="H220" s="1069" t="n">
        <v>1200</v>
      </c>
      <c r="I220" s="2161" t="n">
        <v>0</v>
      </c>
      <c r="J220" s="2161" t="n">
        <v>0</v>
      </c>
      <c r="K220" s="2161" t="n"/>
    </row>
    <row r="221" outlineLevel="3" ht="15.75" customHeight="1">
      <c r="A221" s="10" t="n">
        <v>1</v>
      </c>
      <c r="B221" s="10" t="inlineStr">
        <is>
          <t>Insumo</t>
        </is>
      </c>
      <c r="C221" s="10" t="inlineStr">
        <is>
          <t>Instalação de equipamentos para Rebaixamento de Lençol freático</t>
        </is>
      </c>
      <c r="D221" s="10" t="inlineStr">
        <is>
          <t>Instalação e entrega técnica do(s) equipamento(s) de rebaixamento temporário de aquíferos AQ-EL 44-100. (Previsão de 04 dias)</t>
        </is>
      </c>
      <c r="E221" s="11">
        <f t="array" ref="E221">_xlfn.XLOOKUP(D221,Insumos!B:B,Insumos!C:$C)</f>
        <v/>
      </c>
      <c r="F221" s="14" t="n">
        <v>1</v>
      </c>
      <c r="G221" s="92">
        <f t="array" ref="G221">IF(B221="insumo",_xlfn.XLOOKUP($D221,Insumos!$B$1:$B$996,Insumos!$D$1:$D$996),"")</f>
        <v/>
      </c>
      <c r="H221" s="92" t="n">
        <v>1200</v>
      </c>
      <c r="I221" s="2162" t="n">
        <v>0</v>
      </c>
      <c r="J221" s="2162" t="n">
        <v>0</v>
      </c>
      <c r="K221" s="2162" t="n"/>
    </row>
    <row r="222" outlineLevel="2" ht="15.75" customHeight="1">
      <c r="A222" s="1067" t="n">
        <v>1</v>
      </c>
      <c r="B222" s="1067" t="inlineStr">
        <is>
          <t>Serviço</t>
        </is>
      </c>
      <c r="C222" s="1067" t="inlineStr">
        <is>
          <t>Detonação de rochas</t>
        </is>
      </c>
      <c r="D222" s="1067" t="inlineStr">
        <is>
          <t>Detonação de rochas</t>
        </is>
      </c>
      <c r="E222" s="1068" t="inlineStr">
        <is>
          <t>M3</t>
        </is>
      </c>
      <c r="F222" s="1067" t="n"/>
      <c r="G222" s="1069">
        <f t="array" ref="G222">IF(B222="insumo",_xlfn.XLOOKUP($D222,Insumos!$B$1:$B$996,Insumos!$D$1:$D$996),"")</f>
        <v/>
      </c>
      <c r="H222" s="1069" t="n">
        <v>320</v>
      </c>
      <c r="I222" s="2161" t="n">
        <v>0</v>
      </c>
      <c r="J222" s="2161" t="n">
        <v>0</v>
      </c>
      <c r="K222" s="2161" t="n"/>
    </row>
    <row r="223" outlineLevel="3" ht="15.75" customHeight="1">
      <c r="A223" s="10" t="n">
        <v>1</v>
      </c>
      <c r="B223" s="10" t="inlineStr">
        <is>
          <t>Insumo</t>
        </is>
      </c>
      <c r="C223" s="10" t="inlineStr">
        <is>
          <t>Detonação de rochas</t>
        </is>
      </c>
      <c r="D223" s="10" t="inlineStr">
        <is>
          <t>Detonação de rochas</t>
        </is>
      </c>
      <c r="E223" s="11">
        <f t="array" ref="E223">_xlfn.XLOOKUP(D223,Insumos!B:B,Insumos!C:$C)</f>
        <v/>
      </c>
      <c r="F223" s="14" t="n">
        <v>1</v>
      </c>
      <c r="G223" s="92">
        <f t="array" ref="G223">IF(B223="insumo",_xlfn.XLOOKUP($D223,Insumos!$B$1:$B$996,Insumos!$D$1:$D$996),"")</f>
        <v/>
      </c>
      <c r="H223" s="92" t="n">
        <v>320</v>
      </c>
      <c r="I223" s="2162" t="n">
        <v>0</v>
      </c>
      <c r="J223" s="2162" t="n">
        <v>0</v>
      </c>
      <c r="K223" s="2162" t="n"/>
    </row>
    <row r="224" outlineLevel="2" ht="15.75" customHeight="1">
      <c r="A224" s="1067" t="n">
        <v>1</v>
      </c>
      <c r="B224" s="1067" t="inlineStr">
        <is>
          <t>Serviço</t>
        </is>
      </c>
      <c r="C224" s="1067" t="inlineStr">
        <is>
          <t>Terraplanagem - Corte e Desaterro Solo</t>
        </is>
      </c>
      <c r="D224" s="1067" t="inlineStr">
        <is>
          <t>Terraplanagem - Corte e Desaterro Solo</t>
        </is>
      </c>
      <c r="E224" s="1068" t="inlineStr">
        <is>
          <t>M3</t>
        </is>
      </c>
      <c r="F224" s="1067" t="n"/>
      <c r="G224" s="1069">
        <f t="array" ref="G224">IF(B224="insumo",_xlfn.XLOOKUP($D224,Insumos!$B$1:$B$996,Insumos!$D$1:$D$996),"")</f>
        <v/>
      </c>
      <c r="H224" s="1069" t="n">
        <v>2.7132</v>
      </c>
      <c r="I224" s="2161" t="n">
        <v>0</v>
      </c>
      <c r="J224" s="2161" t="n">
        <v>0</v>
      </c>
      <c r="K224" s="2161" t="n"/>
    </row>
    <row r="225" outlineLevel="3" ht="15.75" customHeight="1">
      <c r="A225" s="10" t="n">
        <v>1</v>
      </c>
      <c r="B225" s="10" t="inlineStr">
        <is>
          <t>Insumo</t>
        </is>
      </c>
      <c r="C225" s="10" t="inlineStr">
        <is>
          <t>Terraplanagem - Corte e Desaterro Solo</t>
        </is>
      </c>
      <c r="D225" s="10" t="inlineStr">
        <is>
          <t>Escavação e Carga Mecanizada em Corte - Desaterro Solo</t>
        </is>
      </c>
      <c r="E225" s="11">
        <f t="array" ref="E225">_xlfn.XLOOKUP(D225,Insumos!B:B,Insumos!C:$C)</f>
        <v/>
      </c>
      <c r="F225" s="14" t="n">
        <v>1</v>
      </c>
      <c r="G225" s="92">
        <f t="array" ref="G225">IF(B225="insumo",_xlfn.XLOOKUP($D225,Insumos!$B$1:$B$996,Insumos!$D$1:$D$996),"")</f>
        <v/>
      </c>
      <c r="H225" s="92" t="n">
        <v>2.7132</v>
      </c>
      <c r="I225" s="2162" t="n">
        <v>0</v>
      </c>
      <c r="J225" s="2162" t="n">
        <v>0</v>
      </c>
      <c r="K225" s="2162" t="n"/>
    </row>
    <row r="226" outlineLevel="2" ht="15.75" customHeight="1">
      <c r="A226" s="1067" t="n">
        <v>1</v>
      </c>
      <c r="B226" s="1067" t="inlineStr">
        <is>
          <t>Serviço</t>
        </is>
      </c>
      <c r="C226" s="1067" t="inlineStr">
        <is>
          <t>Desmonte de Rocha</t>
        </is>
      </c>
      <c r="D226" s="1067" t="inlineStr">
        <is>
          <t>Desmonte de Rocha</t>
        </is>
      </c>
      <c r="E226" s="1068" t="inlineStr">
        <is>
          <t>M3</t>
        </is>
      </c>
      <c r="F226" s="1067" t="n"/>
      <c r="G226" s="1069">
        <f t="array" ref="G226">IF(B226="insumo",_xlfn.XLOOKUP($D226,Insumos!$B$1:$B$996,Insumos!$D$1:$D$996),"")</f>
        <v/>
      </c>
      <c r="H226" s="1069" t="n">
        <v>4.4982</v>
      </c>
      <c r="I226" s="2161" t="n">
        <v>0</v>
      </c>
      <c r="J226" s="2161" t="n">
        <v>0</v>
      </c>
      <c r="K226" s="2161" t="n"/>
    </row>
    <row r="227" outlineLevel="3" ht="15.75" customHeight="1">
      <c r="A227" s="10" t="n">
        <v>1</v>
      </c>
      <c r="B227" s="10" t="inlineStr">
        <is>
          <t>Insumo</t>
        </is>
      </c>
      <c r="C227" s="10" t="inlineStr">
        <is>
          <t>Desmonte de Rocha</t>
        </is>
      </c>
      <c r="D227" s="10" t="inlineStr">
        <is>
          <t>Escavação e Carga Mecanizada em Corte - Desaterro Rocha</t>
        </is>
      </c>
      <c r="E227" s="11">
        <f t="array" ref="E227">_xlfn.XLOOKUP(D227,Insumos!B:B,Insumos!C:$C)</f>
        <v/>
      </c>
      <c r="F227" s="14" t="n">
        <v>1</v>
      </c>
      <c r="G227" s="92">
        <f t="array" ref="G227">IF(B227="insumo",_xlfn.XLOOKUP($D227,Insumos!$B$1:$B$996,Insumos!$D$1:$D$996),"")</f>
        <v/>
      </c>
      <c r="H227" s="92" t="n">
        <v>4.4982</v>
      </c>
      <c r="I227" s="2162" t="n">
        <v>0</v>
      </c>
      <c r="J227" s="2162" t="n">
        <v>0</v>
      </c>
      <c r="K227" s="2162" t="n"/>
    </row>
    <row r="228" outlineLevel="2" ht="15.75" customHeight="1">
      <c r="A228" s="1067" t="n">
        <v>1</v>
      </c>
      <c r="B228" s="1067" t="inlineStr">
        <is>
          <t>Serviço</t>
        </is>
      </c>
      <c r="C228" s="1067" t="inlineStr">
        <is>
          <t>Terraplanagem - Aterro material de 1º categoria</t>
        </is>
      </c>
      <c r="D228" s="1067" t="inlineStr">
        <is>
          <t>Terraplanagem - Aterro material de 1º categoria</t>
        </is>
      </c>
      <c r="E228" s="1068" t="inlineStr">
        <is>
          <t>M3</t>
        </is>
      </c>
      <c r="F228" s="1067" t="n"/>
      <c r="G228" s="1069">
        <f t="array" ref="G228">IF(B228="insumo",_xlfn.XLOOKUP($D228,Insumos!$B$1:$B$996,Insumos!$D$1:$D$996),"")</f>
        <v/>
      </c>
      <c r="H228" s="1069" t="n">
        <v>9.271800000000001</v>
      </c>
      <c r="I228" s="2161" t="n">
        <v>0</v>
      </c>
      <c r="J228" s="2161" t="n">
        <v>0</v>
      </c>
      <c r="K228" s="2161" t="n"/>
    </row>
    <row r="229" outlineLevel="3" ht="15.75" customHeight="1">
      <c r="A229" s="10" t="n">
        <v>1</v>
      </c>
      <c r="B229" s="10" t="inlineStr">
        <is>
          <t>Insumo</t>
        </is>
      </c>
      <c r="C229" s="10" t="inlineStr">
        <is>
          <t>Terraplanagem - Aterro material de 1º categoria</t>
        </is>
      </c>
      <c r="D229" s="10" t="inlineStr">
        <is>
          <t>Espalhamento / Umedecimento / Compactação em Material de 1ª Categoria - 95% PN - Aterro</t>
        </is>
      </c>
      <c r="E229" s="11">
        <f t="array" ref="E229">_xlfn.XLOOKUP(D229,Insumos!B:B,Insumos!C:$C)</f>
        <v/>
      </c>
      <c r="F229" s="14" t="n">
        <v>1</v>
      </c>
      <c r="G229" s="92">
        <f t="array" ref="G229">IF(B229="insumo",_xlfn.XLOOKUP($D229,Insumos!$B$1:$B$996,Insumos!$D$1:$D$996),"")</f>
        <v/>
      </c>
      <c r="H229" s="92" t="n">
        <v>9.271800000000001</v>
      </c>
      <c r="I229" s="2162" t="n">
        <v>0</v>
      </c>
      <c r="J229" s="2162" t="n">
        <v>0</v>
      </c>
      <c r="K229" s="2162" t="n"/>
    </row>
    <row r="230" outlineLevel="2" ht="15.75" customHeight="1">
      <c r="A230" s="1067" t="n">
        <v>1</v>
      </c>
      <c r="B230" s="1067" t="inlineStr">
        <is>
          <t>Serviço</t>
        </is>
      </c>
      <c r="C230" s="1067" t="inlineStr">
        <is>
          <t>Terraplanagem - Corte e aterro (Produtividade 1890m3/dia) - Mão de Obra Própria</t>
        </is>
      </c>
      <c r="D230" s="1067" t="inlineStr">
        <is>
          <t>Terraplanagem - Corte e aterro (Produtividade 1890m3/dia) - Mão de Obra Própria</t>
        </is>
      </c>
      <c r="E230" s="1068" t="inlineStr">
        <is>
          <t>M3</t>
        </is>
      </c>
      <c r="F230" s="1067" t="n"/>
      <c r="G230" s="1069">
        <f t="array" ref="G230">IF(B230="insumo",_xlfn.XLOOKUP($D230,Insumos!$B$1:$B$996,Insumos!$D$1:$D$996),"")</f>
        <v/>
      </c>
      <c r="H230" s="1069" t="n">
        <v>2.9215</v>
      </c>
      <c r="I230" s="2161" t="n">
        <v>0</v>
      </c>
      <c r="J230" s="2161" t="n">
        <v>0</v>
      </c>
      <c r="K230" s="2161" t="n"/>
    </row>
    <row r="231" outlineLevel="3" ht="15.75" customHeight="1">
      <c r="A231" s="10" t="n">
        <v>1</v>
      </c>
      <c r="B231" s="10" t="inlineStr">
        <is>
          <t>Insumo</t>
        </is>
      </c>
      <c r="C231" s="10" t="inlineStr">
        <is>
          <t>Terraplanagem - Corte e aterro (Produtividade 1890m3/dia) - Mão de Obra Própria</t>
        </is>
      </c>
      <c r="D231" s="10" t="inlineStr">
        <is>
          <t>Escavadeira DOOSAN DX225 (terceirizado)</t>
        </is>
      </c>
      <c r="E231" s="11">
        <f t="array" ref="E231">_xlfn.XLOOKUP(D231,Insumos!B:B,Insumos!C:$C)</f>
        <v/>
      </c>
      <c r="F231" s="14" t="n">
        <v>1.1e-05</v>
      </c>
      <c r="G231" s="92">
        <f t="array" ref="G231">IF(B231="insumo",_xlfn.XLOOKUP($D231,Insumos!$B$1:$B$996,Insumos!$D$1:$D$996),"")</f>
        <v/>
      </c>
      <c r="H231" s="92" t="n">
        <v>0.37026</v>
      </c>
      <c r="I231" s="2162" t="n">
        <v>0</v>
      </c>
      <c r="J231" s="2162" t="n">
        <v>0</v>
      </c>
      <c r="K231" s="2162" t="n"/>
    </row>
    <row r="232" outlineLevel="3" ht="15.75" customHeight="1">
      <c r="A232" s="10" t="n">
        <v>1</v>
      </c>
      <c r="B232" s="10" t="inlineStr">
        <is>
          <t>Insumo</t>
        </is>
      </c>
      <c r="C232" s="10" t="inlineStr">
        <is>
          <t>Terraplanagem - Corte e aterro (Produtividade 1890m3/dia) - Mão de Obra Própria</t>
        </is>
      </c>
      <c r="D232" s="10" t="inlineStr">
        <is>
          <t>Trator esteira CAT D51 (terceirizado)</t>
        </is>
      </c>
      <c r="E232" s="11">
        <f t="array" ref="E232">_xlfn.XLOOKUP(D232,Insumos!B:B,Insumos!C:$C)</f>
        <v/>
      </c>
      <c r="F232" s="14" t="n">
        <v>1.2e-05</v>
      </c>
      <c r="G232" s="92">
        <f t="array" ref="G232">IF(B232="insumo",_xlfn.XLOOKUP($D232,Insumos!$B$1:$B$996,Insumos!$D$1:$D$996),"")</f>
        <v/>
      </c>
      <c r="H232" s="92" t="n">
        <v>0.38724</v>
      </c>
      <c r="I232" s="2162" t="n">
        <v>0</v>
      </c>
      <c r="J232" s="2162" t="n">
        <v>0</v>
      </c>
      <c r="K232" s="2162" t="n"/>
    </row>
    <row r="233" outlineLevel="3" ht="15.75" customHeight="1">
      <c r="A233" s="10" t="n">
        <v>1</v>
      </c>
      <c r="B233" s="10" t="inlineStr">
        <is>
          <t>Insumo</t>
        </is>
      </c>
      <c r="C233" s="10" t="inlineStr">
        <is>
          <t>Terraplanagem - Corte e aterro (Produtividade 1890m3/dia) - Mão de Obra Própria</t>
        </is>
      </c>
      <c r="D233" s="10" t="inlineStr">
        <is>
          <t>Escaveideira 320 CAT 2019</t>
        </is>
      </c>
      <c r="E233" s="11">
        <f t="array" ref="E233">_xlfn.XLOOKUP(D233,Insumos!B:B,Insumos!C:$C)</f>
        <v/>
      </c>
      <c r="F233" s="14" t="n">
        <v>2.4e-05</v>
      </c>
      <c r="G233" s="92">
        <f t="array" ref="G233">IF(B233="insumo",_xlfn.XLOOKUP($D233,Insumos!$B$1:$B$996,Insumos!$D$1:$D$996),"")</f>
        <v/>
      </c>
      <c r="H233" s="92" t="n">
        <v>0.36</v>
      </c>
      <c r="I233" s="2162" t="n">
        <v>0</v>
      </c>
      <c r="J233" s="2162" t="n">
        <v>0</v>
      </c>
      <c r="K233" s="2162" t="n"/>
    </row>
    <row r="234" outlineLevel="3" ht="15.75" customHeight="1">
      <c r="A234" s="10" t="n">
        <v>1</v>
      </c>
      <c r="B234" s="10" t="inlineStr">
        <is>
          <t>Insumo</t>
        </is>
      </c>
      <c r="C234" s="10" t="inlineStr">
        <is>
          <t>Terraplanagem - Corte e aterro (Produtividade 1890m3/dia) - Mão de Obra Própria</t>
        </is>
      </c>
      <c r="D234" s="10" t="inlineStr">
        <is>
          <t>Trator esteira 700 j john dree 2016</t>
        </is>
      </c>
      <c r="E234" s="11">
        <f t="array" ref="E234">_xlfn.XLOOKUP(D234,Insumos!B:B,Insumos!C:$C)</f>
        <v/>
      </c>
      <c r="F234" s="14" t="n">
        <v>5.2e-05</v>
      </c>
      <c r="G234" s="92">
        <f t="array" ref="G234">IF(B234="insumo",_xlfn.XLOOKUP($D234,Insumos!$B$1:$B$996,Insumos!$D$1:$D$996),"")</f>
        <v/>
      </c>
      <c r="H234" s="92" t="n">
        <v>0.364</v>
      </c>
      <c r="I234" s="2162" t="n">
        <v>0</v>
      </c>
      <c r="J234" s="2162" t="n">
        <v>0</v>
      </c>
      <c r="K234" s="2162" t="n"/>
    </row>
    <row r="235" outlineLevel="3" ht="15.75" customHeight="1">
      <c r="A235" s="10" t="n">
        <v>1</v>
      </c>
      <c r="B235" s="10" t="inlineStr">
        <is>
          <t>Insumo</t>
        </is>
      </c>
      <c r="C235" s="10" t="inlineStr">
        <is>
          <t>Terraplanagem - Corte e aterro (Produtividade 1890m3/dia) - Mão de Obra Própria</t>
        </is>
      </c>
      <c r="D235" s="10" t="inlineStr">
        <is>
          <t>Operador de máquina 1</t>
        </is>
      </c>
      <c r="E235" s="11">
        <f t="array" ref="E235">_xlfn.XLOOKUP(D235,Insumos!B:B,Insumos!C:$C)</f>
        <v/>
      </c>
      <c r="F235" s="14" t="n">
        <v>0.00036</v>
      </c>
      <c r="G235" s="92">
        <f t="array" ref="G235">IF(B235="insumo",_xlfn.XLOOKUP($D235,Insumos!$B$1:$B$996,Insumos!$D$1:$D$996),"")</f>
        <v/>
      </c>
      <c r="H235" s="92" t="n">
        <v>1.44</v>
      </c>
      <c r="I235" s="2162" t="n">
        <v>0</v>
      </c>
      <c r="J235" s="2162" t="n">
        <v>0</v>
      </c>
      <c r="K235" s="2162" t="n"/>
    </row>
    <row r="236" outlineLevel="2" ht="15.75" customHeight="1">
      <c r="A236" s="1067" t="n">
        <v>1</v>
      </c>
      <c r="B236" s="1067" t="inlineStr">
        <is>
          <t>Serviço</t>
        </is>
      </c>
      <c r="C236" s="1067" t="inlineStr">
        <is>
          <t>Movimentação de terra para bota-fora - Escavação Vertical Terraplenagem</t>
        </is>
      </c>
      <c r="D236" s="1067" t="inlineStr">
        <is>
          <t>Movimentação de terra para bota-fora - Escavação Vertical Terraplenagem</t>
        </is>
      </c>
      <c r="E236" s="1068" t="inlineStr">
        <is>
          <t>M3</t>
        </is>
      </c>
      <c r="F236" s="1067" t="n"/>
      <c r="G236" s="1069">
        <f t="array" ref="G236">IF(B236="insumo",_xlfn.XLOOKUP($D236,Insumos!$B$1:$B$996,Insumos!$D$1:$D$996),"")</f>
        <v/>
      </c>
      <c r="H236" s="1069" t="n">
        <v>45.45</v>
      </c>
      <c r="I236" s="2161" t="n">
        <v>0</v>
      </c>
      <c r="J236" s="2161" t="n">
        <v>0</v>
      </c>
      <c r="K236" s="2161" t="n"/>
    </row>
    <row r="237" outlineLevel="3" ht="15.75" customHeight="1">
      <c r="A237" s="10" t="n">
        <v>2</v>
      </c>
      <c r="B237" s="10" t="inlineStr">
        <is>
          <t>Insumo</t>
        </is>
      </c>
      <c r="C237" s="10" t="inlineStr">
        <is>
          <t>Movimentação de terra para bota-fora - Escavação Vertical Terraplenagem</t>
        </is>
      </c>
      <c r="D237" s="10" t="inlineStr">
        <is>
          <t>Movimentação de terra para bota-fora - Escavação de Valas</t>
        </is>
      </c>
      <c r="E237" s="11">
        <f t="array" ref="E237">_xlfn.XLOOKUP(D237,Insumos!B:B,Insumos!C:$C)</f>
        <v/>
      </c>
      <c r="F237" s="14" t="n">
        <v>1</v>
      </c>
      <c r="G237" s="92">
        <f t="array" ref="G237">IF(B237="insumo",_xlfn.XLOOKUP($D237,Insumos!$B$1:$B$996,Insumos!$D$1:$D$996),"")</f>
        <v/>
      </c>
      <c r="H237" s="92" t="n">
        <v>45.45</v>
      </c>
      <c r="I237" s="2162" t="n">
        <v>0</v>
      </c>
      <c r="J237" s="2162" t="n">
        <v>0</v>
      </c>
      <c r="K237" s="2162" t="n"/>
    </row>
    <row r="238" outlineLevel="1" ht="15.75" customHeight="1">
      <c r="A238" s="1090" t="n">
        <v>1</v>
      </c>
      <c r="B238" s="1090" t="inlineStr">
        <is>
          <t>Subetapa</t>
        </is>
      </c>
      <c r="C238" s="1090" t="inlineStr">
        <is>
          <t>Movimentação de terra para bota-fora - Escavação Vertical Terraplenagem</t>
        </is>
      </c>
      <c r="D238" s="1090" t="inlineStr">
        <is>
          <t>MOVIMENTAÇÃO DE TERRA PARA FUNDAÇÕES</t>
        </is>
      </c>
      <c r="E238" s="1091" t="n"/>
      <c r="F238" s="1091" t="n"/>
      <c r="G238" s="1091" t="n"/>
      <c r="H238" s="1091" t="n">
        <v>0</v>
      </c>
      <c r="I238" s="2160" t="n">
        <v>0</v>
      </c>
      <c r="J238" s="2160" t="n">
        <v>0</v>
      </c>
      <c r="K238" s="2160" t="n"/>
    </row>
    <row r="239" outlineLevel="2" ht="15.75" customHeight="1">
      <c r="A239" s="1067" t="n">
        <v>1</v>
      </c>
      <c r="B239" s="1067" t="inlineStr">
        <is>
          <t>Serviço</t>
        </is>
      </c>
      <c r="C239" s="1067" t="inlineStr">
        <is>
          <t>Escavação mecanizada para estacas, blocos de fundação, vigas de fundação e poço de elevador, com retroescavadeira</t>
        </is>
      </c>
      <c r="D239" s="1067" t="inlineStr">
        <is>
          <t>Escavação mecanizada para estacas, blocos de fundação, vigas de fundação e poço de elevador, com retroescavadeira</t>
        </is>
      </c>
      <c r="E239" s="1068" t="inlineStr">
        <is>
          <t>M3</t>
        </is>
      </c>
      <c r="F239" s="1067" t="n"/>
      <c r="G239" s="1069">
        <f t="array" ref="G239">IF(B239="insumo",_xlfn.XLOOKUP($D239,Insumos!$B$1:$B$996,Insumos!$D$1:$D$996),"")</f>
        <v/>
      </c>
      <c r="H239" s="1069" t="n">
        <v>36.36</v>
      </c>
      <c r="I239" s="2161" t="n">
        <v>0</v>
      </c>
      <c r="J239" s="2161" t="n">
        <v>0</v>
      </c>
      <c r="K239" s="2161" t="n"/>
    </row>
    <row r="240" outlineLevel="3" ht="15.75" customHeight="1">
      <c r="A240" s="10" t="n">
        <v>2</v>
      </c>
      <c r="B240" s="10" t="inlineStr">
        <is>
          <t>Insumo</t>
        </is>
      </c>
      <c r="C240" s="10" t="inlineStr">
        <is>
          <t>Escavação mecanizada para estacas, blocos de fundação, vigas de fundação e poço de elevador, com retroescavadeira</t>
        </is>
      </c>
      <c r="D240" s="10" t="inlineStr">
        <is>
          <t>Escavação mecanizada com retroescavadeira</t>
        </is>
      </c>
      <c r="E240" s="11">
        <f t="array" ref="E240">_xlfn.XLOOKUP(D240,Insumos!B:B,Insumos!C:$C)</f>
        <v/>
      </c>
      <c r="F240" s="14" t="n">
        <v>1</v>
      </c>
      <c r="G240" s="92">
        <f t="array" ref="G240">IF(B240="insumo",_xlfn.XLOOKUP($D240,Insumos!$B$1:$B$996,Insumos!$D$1:$D$996),"")</f>
        <v/>
      </c>
      <c r="H240" s="92" t="n">
        <v>36.36</v>
      </c>
      <c r="I240" s="2162" t="n">
        <v>0</v>
      </c>
      <c r="J240" s="2162" t="n">
        <v>0</v>
      </c>
      <c r="K240" s="2162" t="n"/>
    </row>
    <row r="241" outlineLevel="2" ht="15.75" customHeight="1">
      <c r="A241" s="1067" t="n">
        <v>1</v>
      </c>
      <c r="B241" s="1067" t="inlineStr">
        <is>
          <t>Serviço</t>
        </is>
      </c>
      <c r="C241" s="1067" t="inlineStr">
        <is>
          <t>Escavação mecanizada para estacas de fundação, com retroescavadeira</t>
        </is>
      </c>
      <c r="D241" s="1067" t="inlineStr">
        <is>
          <t>Escavação mecanizada para estacas de fundação, com retroescavadeira</t>
        </is>
      </c>
      <c r="E241" s="1068" t="inlineStr">
        <is>
          <t>M3</t>
        </is>
      </c>
      <c r="F241" s="1067" t="n"/>
      <c r="G241" s="1069">
        <f t="array" ref="G241">IF(B241="insumo",_xlfn.XLOOKUP($D241,Insumos!$B$1:$B$996,Insumos!$D$1:$D$996),"")</f>
        <v/>
      </c>
      <c r="H241" s="1069" t="n">
        <v>36.36</v>
      </c>
      <c r="I241" s="2161" t="n">
        <v>0</v>
      </c>
      <c r="J241" s="2161" t="n">
        <v>0</v>
      </c>
      <c r="K241" s="2161" t="n"/>
    </row>
    <row r="242" outlineLevel="3" ht="15.75" customHeight="1">
      <c r="A242" s="10" t="n">
        <v>2</v>
      </c>
      <c r="B242" s="10" t="inlineStr">
        <is>
          <t>Insumo</t>
        </is>
      </c>
      <c r="C242" s="10" t="inlineStr">
        <is>
          <t>Escavação mecanizada para estacas de fundação, com retroescavadeira</t>
        </is>
      </c>
      <c r="D242" s="10" t="inlineStr">
        <is>
          <t>Escavação mecanizada com retroescavadeira</t>
        </is>
      </c>
      <c r="E242" s="11">
        <f t="array" ref="E242">_xlfn.XLOOKUP(D242,Insumos!B:B,Insumos!C:$C)</f>
        <v/>
      </c>
      <c r="F242" s="14" t="n">
        <v>1</v>
      </c>
      <c r="G242" s="92">
        <f t="array" ref="G242">IF(B242="insumo",_xlfn.XLOOKUP($D242,Insumos!$B$1:$B$996,Insumos!$D$1:$D$996),"")</f>
        <v/>
      </c>
      <c r="H242" s="92" t="n">
        <v>36.36</v>
      </c>
      <c r="I242" s="2162" t="n">
        <v>0</v>
      </c>
      <c r="J242" s="2162" t="n">
        <v>0</v>
      </c>
      <c r="K242" s="2162" t="n"/>
    </row>
    <row r="243" outlineLevel="2" ht="15.75" customHeight="1">
      <c r="A243" s="1067" t="n">
        <v>1</v>
      </c>
      <c r="B243" s="1067" t="inlineStr">
        <is>
          <t>Serviço</t>
        </is>
      </c>
      <c r="C243" s="1067" t="inlineStr">
        <is>
          <t>Reaterro mecanizado de valas para blocos e vigas de fundação, com retroescavadeira</t>
        </is>
      </c>
      <c r="D243" s="1067" t="inlineStr">
        <is>
          <t>Reaterro mecanizado de valas para blocos e vigas de fundação, com retroescavadeira</t>
        </is>
      </c>
      <c r="E243" s="1068" t="inlineStr">
        <is>
          <t>M3</t>
        </is>
      </c>
      <c r="F243" s="1067" t="n"/>
      <c r="G243" s="1069">
        <f t="array" ref="G243">IF(B243="insumo",_xlfn.XLOOKUP($D243,Insumos!$B$1:$B$996,Insumos!$D$1:$D$996),"")</f>
        <v/>
      </c>
      <c r="H243" s="1069" t="n">
        <v>14.55</v>
      </c>
      <c r="I243" s="2161" t="n">
        <v>0</v>
      </c>
      <c r="J243" s="2161" t="n">
        <v>0</v>
      </c>
      <c r="K243" s="2161" t="n"/>
    </row>
    <row r="244" outlineLevel="3" ht="15.75" customHeight="1">
      <c r="A244" s="10" t="n">
        <v>1</v>
      </c>
      <c r="B244" s="10" t="inlineStr">
        <is>
          <t>Insumo</t>
        </is>
      </c>
      <c r="C244" s="10" t="inlineStr">
        <is>
          <t>Reaterro mecanizado de valas para blocos e vigas de fundação, com retroescavadeira</t>
        </is>
      </c>
      <c r="D244" s="10" t="inlineStr">
        <is>
          <t>Reaterro mecanizado com retroescavadeira</t>
        </is>
      </c>
      <c r="E244" s="11">
        <f t="array" ref="E244">_xlfn.XLOOKUP(D244,Insumos!B:B,Insumos!C:$C)</f>
        <v/>
      </c>
      <c r="F244" s="14" t="n">
        <v>1</v>
      </c>
      <c r="G244" s="92">
        <f t="array" ref="G244">IF(B244="insumo",_xlfn.XLOOKUP($D244,Insumos!$B$1:$B$996,Insumos!$D$1:$D$996),"")</f>
        <v/>
      </c>
      <c r="H244" s="92" t="n">
        <v>14.55</v>
      </c>
      <c r="I244" s="2162" t="n">
        <v>0</v>
      </c>
      <c r="J244" s="2162" t="n">
        <v>0</v>
      </c>
      <c r="K244" s="2162" t="n"/>
    </row>
    <row r="245" outlineLevel="2" ht="15.75" customHeight="1">
      <c r="A245" s="1067" t="n">
        <v>1</v>
      </c>
      <c r="B245" s="1067" t="inlineStr">
        <is>
          <t>Serviço</t>
        </is>
      </c>
      <c r="C245" s="1067" t="inlineStr">
        <is>
          <t>Lastro de Concreto Magro, Aplicado em Blocos de Fundação</t>
        </is>
      </c>
      <c r="D245" s="1067" t="inlineStr">
        <is>
          <t>Lastro de Concreto Magro, Aplicado em Blocos de Fundação</t>
        </is>
      </c>
      <c r="E245" s="1068" t="inlineStr">
        <is>
          <t>M3</t>
        </is>
      </c>
      <c r="F245" s="1067" t="n"/>
      <c r="G245" s="1069">
        <f t="array" ref="G245">IF(B245="insumo",_xlfn.XLOOKUP($D245,Insumos!$B$1:$B$996,Insumos!$D$1:$D$996),"")</f>
        <v/>
      </c>
      <c r="H245" s="1069" t="n">
        <v>495.247</v>
      </c>
      <c r="I245" s="2161" t="n">
        <v>0</v>
      </c>
      <c r="J245" s="2161" t="n">
        <v>0</v>
      </c>
      <c r="K245" s="2161" t="n"/>
    </row>
    <row r="246" outlineLevel="3" ht="15.75" customHeight="1">
      <c r="A246" s="10" t="n">
        <v>3</v>
      </c>
      <c r="B246" s="10" t="inlineStr">
        <is>
          <t>Insumo</t>
        </is>
      </c>
      <c r="C246" s="10" t="inlineStr">
        <is>
          <t>Lastro de Concreto Magro, Aplicado em Blocos de Fundação</t>
        </is>
      </c>
      <c r="D246" s="10" t="inlineStr">
        <is>
          <t>CONCRETO MAGRO PARA LASTRO</t>
        </is>
      </c>
      <c r="E246" s="11">
        <f t="array" ref="E246">_xlfn.XLOOKUP(D246,Insumos!B:B,Insumos!C:$C)</f>
        <v/>
      </c>
      <c r="F246" s="14" t="n">
        <v>1.05</v>
      </c>
      <c r="G246" s="92">
        <f t="array" ref="G246">IF(B246="insumo",_xlfn.XLOOKUP($D246,Insumos!$B$1:$B$996,Insumos!$D$1:$D$996),"")</f>
        <v/>
      </c>
      <c r="H246" s="92" t="n">
        <v>452.487</v>
      </c>
      <c r="I246" s="2162" t="n">
        <v>0</v>
      </c>
      <c r="J246" s="2162" t="n">
        <v>0</v>
      </c>
      <c r="K246" s="2162" t="n"/>
    </row>
    <row r="247" outlineLevel="3" ht="15.75" customHeight="1">
      <c r="A247" s="10" t="n">
        <v>25</v>
      </c>
      <c r="B247" s="10" t="inlineStr">
        <is>
          <t>Insumo</t>
        </is>
      </c>
      <c r="C247" s="10" t="inlineStr">
        <is>
          <t>Lastro de Concreto Magro, Aplicado em Blocos de Fundação</t>
        </is>
      </c>
      <c r="D247" s="10" t="inlineStr">
        <is>
          <t>serviço de bombeamento</t>
        </is>
      </c>
      <c r="E247" s="11">
        <f t="array" ref="E247">_xlfn.XLOOKUP(D247,Insumos!B:B,Insumos!C:$C)</f>
        <v/>
      </c>
      <c r="F247" s="14" t="n">
        <v>1.05</v>
      </c>
      <c r="G247" s="92">
        <f t="array" ref="G247">IF(B247="insumo",_xlfn.XLOOKUP($D247,Insumos!$B$1:$B$996,Insumos!$D$1:$D$996),"")</f>
        <v/>
      </c>
      <c r="H247" s="92" t="n">
        <v>42</v>
      </c>
      <c r="I247" s="2162" t="n">
        <v>0</v>
      </c>
      <c r="J247" s="2162" t="n">
        <v>0</v>
      </c>
      <c r="K247" s="2162" t="n"/>
    </row>
    <row r="248" outlineLevel="3" ht="15.75" customHeight="1">
      <c r="A248" s="10" t="n">
        <v>62</v>
      </c>
      <c r="B248" s="10" t="inlineStr">
        <is>
          <t>Insumo</t>
        </is>
      </c>
      <c r="C248" s="10" t="inlineStr">
        <is>
          <t>Lastro de Concreto Magro, Aplicado em Blocos de Fundação</t>
        </is>
      </c>
      <c r="D248" s="10" t="inlineStr">
        <is>
          <t>Cimento Portland Composto CP II-32</t>
        </is>
      </c>
      <c r="E248" s="11">
        <f t="array" ref="E248">_xlfn.XLOOKUP(D248,Insumos!B:B,Insumos!C:$C)</f>
        <v/>
      </c>
      <c r="F248" s="14" t="n">
        <v>1</v>
      </c>
      <c r="G248" s="92">
        <f t="array" ref="G248">IF(B248="insumo",_xlfn.XLOOKUP($D248,Insumos!$B$1:$B$996,Insumos!$D$1:$D$996),"")</f>
        <v/>
      </c>
      <c r="H248" s="92" t="n">
        <v>0.76</v>
      </c>
      <c r="I248" s="2162" t="n">
        <v>0</v>
      </c>
      <c r="J248" s="2162" t="n">
        <v>0</v>
      </c>
      <c r="K248" s="2162" t="n"/>
    </row>
    <row r="249" outlineLevel="2" ht="15.75" customHeight="1">
      <c r="A249" s="1067" t="n">
        <v>1</v>
      </c>
      <c r="B249" s="1067" t="inlineStr">
        <is>
          <t>Serviço</t>
        </is>
      </c>
      <c r="C249" s="1067" t="inlineStr">
        <is>
          <t>Lastro de Concreto Magro, Aplicado em piso sobre solo</t>
        </is>
      </c>
      <c r="D249" s="1067" t="inlineStr">
        <is>
          <t>Lastro de Concreto Magro, Aplicado em piso sobre solo</t>
        </is>
      </c>
      <c r="E249" s="1068" t="inlineStr">
        <is>
          <t>M3</t>
        </is>
      </c>
      <c r="F249" s="1067" t="n"/>
      <c r="G249" s="1069">
        <f t="array" ref="G249">IF(B249="insumo",_xlfn.XLOOKUP($D249,Insumos!$B$1:$B$996,Insumos!$D$1:$D$996),"")</f>
        <v/>
      </c>
      <c r="H249" s="1069" t="n">
        <v>495.247</v>
      </c>
      <c r="I249" s="2161" t="n">
        <v>39.229</v>
      </c>
      <c r="J249" s="2161" t="n">
        <v>19428.044563</v>
      </c>
      <c r="K249" s="2161" t="n"/>
    </row>
    <row r="250" outlineLevel="3" ht="15.75" customHeight="1">
      <c r="A250" s="10" t="n">
        <v>3</v>
      </c>
      <c r="B250" s="10" t="inlineStr">
        <is>
          <t>Insumo</t>
        </is>
      </c>
      <c r="C250" s="10" t="inlineStr">
        <is>
          <t>Lastro de Concreto Magro, Aplicado em piso sobre solo</t>
        </is>
      </c>
      <c r="D250" s="10" t="inlineStr">
        <is>
          <t>CONCRETO MAGRO PARA LASTRO</t>
        </is>
      </c>
      <c r="E250" s="11">
        <f t="array" ref="E250">_xlfn.XLOOKUP(D250,Insumos!B:B,Insumos!C:$C)</f>
        <v/>
      </c>
      <c r="F250" s="14" t="n">
        <v>1.05</v>
      </c>
      <c r="G250" s="92">
        <f t="array" ref="G250">IF(B250="insumo",_xlfn.XLOOKUP($D250,Insumos!$B$1:$B$996,Insumos!$D$1:$D$996),"")</f>
        <v/>
      </c>
      <c r="H250" s="92" t="n">
        <v>452.487</v>
      </c>
      <c r="I250" s="2162" t="n">
        <v>39.229</v>
      </c>
      <c r="J250" s="2162" t="n">
        <v>17750.612523</v>
      </c>
      <c r="K250" s="2162" t="n"/>
    </row>
    <row r="251" outlineLevel="3" ht="15.75" customHeight="1">
      <c r="A251" s="10" t="n">
        <v>25</v>
      </c>
      <c r="B251" s="10" t="inlineStr">
        <is>
          <t>Insumo</t>
        </is>
      </c>
      <c r="C251" s="10" t="inlineStr">
        <is>
          <t>Lastro de Concreto Magro, Aplicado em piso sobre solo</t>
        </is>
      </c>
      <c r="D251" s="10" t="inlineStr">
        <is>
          <t>serviço de bombeamento</t>
        </is>
      </c>
      <c r="E251" s="11">
        <f t="array" ref="E251">_xlfn.XLOOKUP(D251,Insumos!B:B,Insumos!C:$C)</f>
        <v/>
      </c>
      <c r="F251" s="14" t="n">
        <v>1.05</v>
      </c>
      <c r="G251" s="92">
        <f t="array" ref="G251">IF(B251="insumo",_xlfn.XLOOKUP($D251,Insumos!$B$1:$B$996,Insumos!$D$1:$D$996),"")</f>
        <v/>
      </c>
      <c r="H251" s="92" t="n">
        <v>42</v>
      </c>
      <c r="I251" s="2162" t="n">
        <v>39.229</v>
      </c>
      <c r="J251" s="2162" t="n">
        <v>1647.618</v>
      </c>
      <c r="K251" s="2162" t="n"/>
    </row>
    <row r="252" outlineLevel="3" ht="15.75" customHeight="1">
      <c r="A252" s="10" t="n">
        <v>62</v>
      </c>
      <c r="B252" s="10" t="inlineStr">
        <is>
          <t>Insumo</t>
        </is>
      </c>
      <c r="C252" s="10" t="inlineStr">
        <is>
          <t>Lastro de Concreto Magro, Aplicado em piso sobre solo</t>
        </is>
      </c>
      <c r="D252" s="10" t="inlineStr">
        <is>
          <t>Cimento Portland Composto CP II-32</t>
        </is>
      </c>
      <c r="E252" s="11">
        <f t="array" ref="E252">_xlfn.XLOOKUP(D252,Insumos!B:B,Insumos!C:$C)</f>
        <v/>
      </c>
      <c r="F252" s="14" t="n">
        <v>1</v>
      </c>
      <c r="G252" s="92">
        <f t="array" ref="G252">IF(B252="insumo",_xlfn.XLOOKUP($D252,Insumos!$B$1:$B$996,Insumos!$D$1:$D$996),"")</f>
        <v/>
      </c>
      <c r="H252" s="92" t="n">
        <v>0.76</v>
      </c>
      <c r="I252" s="2162" t="n">
        <v>39.229</v>
      </c>
      <c r="J252" s="2162" t="n">
        <v>29.81404</v>
      </c>
      <c r="K252" s="2162" t="n"/>
    </row>
    <row r="253" outlineLevel="2" ht="15.75" customHeight="1">
      <c r="A253" s="1067" t="n">
        <v>1</v>
      </c>
      <c r="B253" s="1067" t="inlineStr">
        <is>
          <t>Serviço</t>
        </is>
      </c>
      <c r="C253" s="1067" t="inlineStr">
        <is>
          <t>Lastro de Brita, Aplicado em Blocos de Fundação, e= 5cm</t>
        </is>
      </c>
      <c r="D253" s="1067" t="inlineStr">
        <is>
          <t>Lastro de Brita, Aplicado em Blocos de Fundação, e= 5cm</t>
        </is>
      </c>
      <c r="E253" s="1068" t="inlineStr">
        <is>
          <t>M3</t>
        </is>
      </c>
      <c r="F253" s="1067" t="n"/>
      <c r="G253" s="1069">
        <f t="array" ref="G253">IF(B253="insumo",_xlfn.XLOOKUP($D253,Insumos!$B$1:$B$996,Insumos!$D$1:$D$996),"")</f>
        <v/>
      </c>
      <c r="H253" s="1069" t="n">
        <v>208.656</v>
      </c>
      <c r="I253" s="2161" t="n">
        <v>0</v>
      </c>
      <c r="J253" s="2161" t="n">
        <v>0</v>
      </c>
      <c r="K253" s="2161" t="n"/>
    </row>
    <row r="254" outlineLevel="3" ht="15.75" customHeight="1">
      <c r="A254" s="10" t="n">
        <v>2</v>
      </c>
      <c r="B254" s="10" t="inlineStr">
        <is>
          <t>Insumo</t>
        </is>
      </c>
      <c r="C254" s="10" t="inlineStr">
        <is>
          <t>Lastro de Brita, Aplicado em Blocos de Fundação, e= 5cm</t>
        </is>
      </c>
      <c r="D254" s="10" t="inlineStr">
        <is>
          <t>BRITA Nº2</t>
        </is>
      </c>
      <c r="E254" s="11">
        <f t="array" ref="E254">_xlfn.XLOOKUP(D254,Insumos!B:B,Insumos!C:$C)</f>
        <v/>
      </c>
      <c r="F254" s="14" t="n">
        <v>1.38</v>
      </c>
      <c r="G254" s="92">
        <f t="array" ref="G254">IF(B254="insumo",_xlfn.XLOOKUP($D254,Insumos!$B$1:$B$996,Insumos!$D$1:$D$996),"")</f>
        <v/>
      </c>
      <c r="H254" s="92" t="n">
        <v>208.656</v>
      </c>
      <c r="I254" s="2162" t="n">
        <v>0</v>
      </c>
      <c r="J254" s="2162" t="n">
        <v>0</v>
      </c>
      <c r="K254" s="2162" t="n"/>
    </row>
    <row r="255" outlineLevel="2" ht="15.75" customHeight="1">
      <c r="A255" s="1067" t="n">
        <v>1</v>
      </c>
      <c r="B255" s="1067" t="inlineStr">
        <is>
          <t>Serviço</t>
        </is>
      </c>
      <c r="C255" s="1067" t="inlineStr">
        <is>
          <t>Lastro de Brita, Aplicado em fundação rasa</t>
        </is>
      </c>
      <c r="D255" s="1067" t="inlineStr">
        <is>
          <t>Lastro de Brita, Aplicado em fundação rasa</t>
        </is>
      </c>
      <c r="E255" s="1068" t="inlineStr">
        <is>
          <t>M3</t>
        </is>
      </c>
      <c r="F255" s="1067" t="n"/>
      <c r="G255" s="1069">
        <f t="array" ref="G255">IF(B255="insumo",_xlfn.XLOOKUP($D255,Insumos!$B$1:$B$996,Insumos!$D$1:$D$996),"")</f>
        <v/>
      </c>
      <c r="H255" s="1069" t="n">
        <v>208.656</v>
      </c>
      <c r="I255" s="2161" t="n">
        <v>0</v>
      </c>
      <c r="J255" s="2161" t="n">
        <v>0</v>
      </c>
      <c r="K255" s="2161" t="n"/>
    </row>
    <row r="256" outlineLevel="3" ht="15.75" customHeight="1">
      <c r="A256" s="10" t="n">
        <v>2</v>
      </c>
      <c r="B256" s="10" t="inlineStr">
        <is>
          <t>Insumo</t>
        </is>
      </c>
      <c r="C256" s="10" t="inlineStr">
        <is>
          <t>Lastro de Brita, Aplicado em fundação rasa</t>
        </is>
      </c>
      <c r="D256" s="10" t="inlineStr">
        <is>
          <t>BRITA Nº2</t>
        </is>
      </c>
      <c r="E256" s="11">
        <f t="array" ref="E256">_xlfn.XLOOKUP(D256,Insumos!B:B,Insumos!C:$C)</f>
        <v/>
      </c>
      <c r="F256" s="14" t="n">
        <v>1.38</v>
      </c>
      <c r="G256" s="92">
        <f t="array" ref="G256">IF(B256="insumo",_xlfn.XLOOKUP($D256,Insumos!$B$1:$B$996,Insumos!$D$1:$D$996),"")</f>
        <v/>
      </c>
      <c r="H256" s="92" t="n">
        <v>208.656</v>
      </c>
      <c r="I256" s="2162" t="n">
        <v>0</v>
      </c>
      <c r="J256" s="2162" t="n">
        <v>0</v>
      </c>
      <c r="K256" s="2162" t="n"/>
    </row>
    <row r="257" outlineLevel="2" ht="15.75" customHeight="1">
      <c r="A257" s="1067" t="n">
        <v>1</v>
      </c>
      <c r="B257" s="1067" t="inlineStr">
        <is>
          <t>Serviço</t>
        </is>
      </c>
      <c r="C257" s="1067" t="inlineStr">
        <is>
          <t>Movimentação de terra para bota-fora - Escavação de Valas</t>
        </is>
      </c>
      <c r="D257" s="1067" t="inlineStr">
        <is>
          <t>Movimentação de terra para bota-fora - Escavação de Valas</t>
        </is>
      </c>
      <c r="E257" s="1068" t="inlineStr">
        <is>
          <t>M3</t>
        </is>
      </c>
      <c r="F257" s="1067" t="n"/>
      <c r="G257" s="1069">
        <f t="array" ref="G257">IF(B257="insumo",_xlfn.XLOOKUP($D257,Insumos!$B$1:$B$996,Insumos!$D$1:$D$996),"")</f>
        <v/>
      </c>
      <c r="H257" s="1069" t="n">
        <v>45.45</v>
      </c>
      <c r="I257" s="2161" t="n">
        <v>0</v>
      </c>
      <c r="J257" s="2161" t="n">
        <v>0</v>
      </c>
      <c r="K257" s="2161" t="n"/>
    </row>
    <row r="258" outlineLevel="3" ht="15.75" customHeight="1">
      <c r="A258" s="10" t="n">
        <v>2</v>
      </c>
      <c r="B258" s="10" t="inlineStr">
        <is>
          <t>Insumo</t>
        </is>
      </c>
      <c r="C258" s="10" t="inlineStr">
        <is>
          <t>Movimentação de terra para bota-fora - Escavação de Valas</t>
        </is>
      </c>
      <c r="D258" s="10" t="inlineStr">
        <is>
          <t>Movimentação de terra para bota-fora - Escavação de Valas</t>
        </is>
      </c>
      <c r="E258" s="11">
        <f t="array" ref="E258">_xlfn.XLOOKUP(D258,Insumos!B:B,Insumos!C:$C)</f>
        <v/>
      </c>
      <c r="F258" s="14" t="n">
        <v>1</v>
      </c>
      <c r="G258" s="92">
        <f t="array" ref="G258">IF(B258="insumo",_xlfn.XLOOKUP($D258,Insumos!$B$1:$B$996,Insumos!$D$1:$D$996),"")</f>
        <v/>
      </c>
      <c r="H258" s="92" t="n">
        <v>45.45</v>
      </c>
      <c r="I258" s="2162" t="n">
        <v>0</v>
      </c>
      <c r="J258" s="2162" t="n">
        <v>0</v>
      </c>
      <c r="K258" s="2162" t="n"/>
    </row>
    <row r="259" outlineLevel="2" ht="15.75" customHeight="1">
      <c r="A259" s="1067" t="n">
        <v>1</v>
      </c>
      <c r="B259" s="1067" t="inlineStr">
        <is>
          <t>Serviço</t>
        </is>
      </c>
      <c r="C259" s="1067" t="inlineStr">
        <is>
          <t>Movimentação de terra para bota-fora - Estacas</t>
        </is>
      </c>
      <c r="D259" s="1067" t="inlineStr">
        <is>
          <t>Movimentação de terra para bota-fora - Estacas</t>
        </is>
      </c>
      <c r="E259" s="1068" t="inlineStr">
        <is>
          <t>M3</t>
        </is>
      </c>
      <c r="F259" s="1067" t="n"/>
      <c r="G259" s="1069">
        <f t="array" ref="G259">IF(B259="insumo",_xlfn.XLOOKUP($D259,Insumos!$B$1:$B$996,Insumos!$D$1:$D$996),"")</f>
        <v/>
      </c>
      <c r="H259" s="1069" t="n">
        <v>68.18000000000001</v>
      </c>
      <c r="I259" s="2161" t="n">
        <v>0</v>
      </c>
      <c r="J259" s="2161" t="n">
        <v>0</v>
      </c>
      <c r="K259" s="2161" t="n"/>
    </row>
    <row r="260" outlineLevel="3" ht="15.75" customHeight="1">
      <c r="A260" s="10" t="n">
        <v>1</v>
      </c>
      <c r="B260" s="10" t="inlineStr">
        <is>
          <t>Insumo</t>
        </is>
      </c>
      <c r="C260" s="10" t="inlineStr">
        <is>
          <t>Movimentação de terra para bota-fora - Estacas</t>
        </is>
      </c>
      <c r="D260" s="10" t="inlineStr">
        <is>
          <t>Movimentação de terra para bota-fora - Estacas</t>
        </is>
      </c>
      <c r="E260" s="11">
        <f t="array" ref="E260">_xlfn.XLOOKUP(D260,Insumos!B:B,Insumos!C:$C)</f>
        <v/>
      </c>
      <c r="F260" s="14" t="n">
        <v>1</v>
      </c>
      <c r="G260" s="92">
        <f t="array" ref="G260">IF(B260="insumo",_xlfn.XLOOKUP($D260,Insumos!$B$1:$B$996,Insumos!$D$1:$D$996),"")</f>
        <v/>
      </c>
      <c r="H260" s="92" t="n">
        <v>68.18000000000001</v>
      </c>
      <c r="I260" s="2162" t="n">
        <v>0</v>
      </c>
      <c r="J260" s="2162" t="n">
        <v>0</v>
      </c>
      <c r="K260" s="2162" t="n"/>
    </row>
    <row r="261" ht="15.75" customHeight="1">
      <c r="A261" s="7" t="n">
        <v>1</v>
      </c>
      <c r="B261" s="7" t="inlineStr">
        <is>
          <t>Etapa</t>
        </is>
      </c>
      <c r="C261" s="7" t="inlineStr">
        <is>
          <t>Movimentação de terra para bota-fora - Estacas</t>
        </is>
      </c>
      <c r="D261" s="7" t="inlineStr">
        <is>
          <t>FUNDAÇÃO PROFUNDA</t>
        </is>
      </c>
      <c r="E261" s="8" t="n"/>
      <c r="F261" s="2159" t="n"/>
      <c r="G261" s="91">
        <f t="array" ref="G261">IF(B261="insumo",_xlfn.XLOOKUP($D261,Insumos!$B$1:$B$996,Insumos!$D$1:$D$996),"")</f>
        <v/>
      </c>
      <c r="H261" s="91" t="n">
        <v>0</v>
      </c>
      <c r="I261" s="2159" t="n">
        <v>0</v>
      </c>
      <c r="J261" s="2159" t="n">
        <v>0</v>
      </c>
      <c r="K261" s="2159" t="n"/>
    </row>
    <row r="262" outlineLevel="1" ht="15.75" customHeight="1">
      <c r="A262" s="1090" t="n">
        <v>2</v>
      </c>
      <c r="B262" s="1090" t="inlineStr">
        <is>
          <t>Subetapa</t>
        </is>
      </c>
      <c r="C262" s="1090" t="inlineStr">
        <is>
          <t>Movimentação de terra para bota-fora - Estacas</t>
        </is>
      </c>
      <c r="D262" s="1090" t="inlineStr">
        <is>
          <t>PERFURAÇÃO</t>
        </is>
      </c>
      <c r="E262" s="1091" t="n"/>
      <c r="F262" s="1091" t="n"/>
      <c r="G262" s="1091" t="n"/>
      <c r="H262" s="1091" t="n">
        <v>0</v>
      </c>
      <c r="I262" s="2160" t="n">
        <v>0</v>
      </c>
      <c r="J262" s="2160" t="n">
        <v>0</v>
      </c>
      <c r="K262" s="2160" t="n"/>
    </row>
    <row r="263" outlineLevel="2" ht="15.75" customHeight="1">
      <c r="A263" s="1067" t="n">
        <v>1</v>
      </c>
      <c r="B263" s="1067" t="inlineStr">
        <is>
          <t>Serviço</t>
        </is>
      </c>
      <c r="C263" s="1067" t="inlineStr">
        <is>
          <t>Execucao Estaca Helice Continua 030Cm</t>
        </is>
      </c>
      <c r="D263" s="1067" t="inlineStr">
        <is>
          <t>Execucao Estaca Helice Continua 030Cm</t>
        </is>
      </c>
      <c r="E263" s="1068" t="inlineStr">
        <is>
          <t>M</t>
        </is>
      </c>
      <c r="F263" s="1067" t="n"/>
      <c r="G263" s="1069">
        <f t="array" ref="G263">IF(B263="insumo",_xlfn.XLOOKUP($D263,Insumos!$B$1:$B$996,Insumos!$D$1:$D$996),"")</f>
        <v/>
      </c>
      <c r="H263" s="1069" t="n">
        <v>60</v>
      </c>
      <c r="I263" s="2161" t="n">
        <v>0</v>
      </c>
      <c r="J263" s="2161" t="n">
        <v>0</v>
      </c>
      <c r="K263" s="2161" t="n"/>
    </row>
    <row r="264" outlineLevel="3" ht="15.75" customHeight="1">
      <c r="A264" s="10" t="n">
        <v>1</v>
      </c>
      <c r="B264" s="10" t="inlineStr">
        <is>
          <t>Insumo</t>
        </is>
      </c>
      <c r="C264" s="10" t="inlineStr">
        <is>
          <t>Execucao Estaca Helice Continua 030Cm</t>
        </is>
      </c>
      <c r="D264" s="10" t="inlineStr">
        <is>
          <t>Execucao Estaca Helice Continua 030Cm</t>
        </is>
      </c>
      <c r="E264" s="11">
        <f t="array" ref="E264">_xlfn.XLOOKUP(D264,Insumos!B:B,Insumos!C:$C)</f>
        <v/>
      </c>
      <c r="F264" s="14" t="n">
        <v>1</v>
      </c>
      <c r="G264" s="92">
        <f t="array" ref="G264">IF(B264="insumo",_xlfn.XLOOKUP($D264,Insumos!$B$1:$B$996,Insumos!$D$1:$D$996),"")</f>
        <v/>
      </c>
      <c r="H264" s="92" t="n">
        <v>60</v>
      </c>
      <c r="I264" s="2162" t="n">
        <v>0</v>
      </c>
      <c r="J264" s="2162" t="n">
        <v>0</v>
      </c>
      <c r="K264" s="2162" t="n"/>
    </row>
    <row r="265" outlineLevel="2" ht="15.75" customHeight="1">
      <c r="A265" s="1067" t="n">
        <v>1</v>
      </c>
      <c r="B265" s="1067" t="inlineStr">
        <is>
          <t>Serviço</t>
        </is>
      </c>
      <c r="C265" s="1067" t="inlineStr">
        <is>
          <t>Execucao Estaca Helice Continua 040Cm</t>
        </is>
      </c>
      <c r="D265" s="1067" t="inlineStr">
        <is>
          <t>Execucao Estaca Helice Continua 040Cm</t>
        </is>
      </c>
      <c r="E265" s="1068" t="inlineStr">
        <is>
          <t>M</t>
        </is>
      </c>
      <c r="F265" s="1067" t="n"/>
      <c r="G265" s="1069">
        <f t="array" ref="G265">IF(B265="insumo",_xlfn.XLOOKUP($D265,Insumos!$B$1:$B$996,Insumos!$D$1:$D$996),"")</f>
        <v/>
      </c>
      <c r="H265" s="1069" t="n">
        <v>75</v>
      </c>
      <c r="I265" s="2161" t="n">
        <v>0</v>
      </c>
      <c r="J265" s="2161" t="n">
        <v>0</v>
      </c>
      <c r="K265" s="2161" t="n"/>
    </row>
    <row r="266" outlineLevel="3" ht="15.75" customHeight="1">
      <c r="A266" s="10" t="n">
        <v>1</v>
      </c>
      <c r="B266" s="10" t="inlineStr">
        <is>
          <t>Insumo</t>
        </is>
      </c>
      <c r="C266" s="10" t="inlineStr">
        <is>
          <t>Execucao Estaca Helice Continua 040Cm</t>
        </is>
      </c>
      <c r="D266" s="10" t="inlineStr">
        <is>
          <t>Execucao Estaca Helice Continua 040Cm</t>
        </is>
      </c>
      <c r="E266" s="11">
        <f t="array" ref="E266">_xlfn.XLOOKUP(D266,Insumos!B:B,Insumos!C:$C)</f>
        <v/>
      </c>
      <c r="F266" s="14" t="n">
        <v>1</v>
      </c>
      <c r="G266" s="92">
        <f t="array" ref="G266">IF(B266="insumo",_xlfn.XLOOKUP($D266,Insumos!$B$1:$B$996,Insumos!$D$1:$D$996),"")</f>
        <v/>
      </c>
      <c r="H266" s="92" t="n">
        <v>75</v>
      </c>
      <c r="I266" s="2162" t="n">
        <v>0</v>
      </c>
      <c r="J266" s="2162" t="n">
        <v>0</v>
      </c>
      <c r="K266" s="2162" t="n"/>
    </row>
    <row r="267" outlineLevel="2" ht="15.75" customHeight="1">
      <c r="A267" s="1067" t="n">
        <v>1</v>
      </c>
      <c r="B267" s="1067" t="inlineStr">
        <is>
          <t>Serviço</t>
        </is>
      </c>
      <c r="C267" s="1067" t="inlineStr">
        <is>
          <t xml:space="preserve">Perfuração de estaca hélice contínua Ø 50cm	</t>
        </is>
      </c>
      <c r="D267" s="1067" t="inlineStr">
        <is>
          <t xml:space="preserve">Perfuração de estaca hélice contínua Ø 50cm	</t>
        </is>
      </c>
      <c r="E267" s="1068" t="inlineStr">
        <is>
          <t>M</t>
        </is>
      </c>
      <c r="F267" s="1067" t="n"/>
      <c r="G267" s="1069">
        <f t="array" ref="G267">IF(B267="insumo",_xlfn.XLOOKUP($D267,Insumos!$B$1:$B$996,Insumos!$D$1:$D$996),"")</f>
        <v/>
      </c>
      <c r="H267" s="1069" t="n">
        <v>150</v>
      </c>
      <c r="I267" s="2161" t="n">
        <v>0</v>
      </c>
      <c r="J267" s="2161" t="n">
        <v>0</v>
      </c>
      <c r="K267" s="2161" t="n"/>
    </row>
    <row r="268" outlineLevel="3" ht="15.75" customHeight="1">
      <c r="A268" s="10" t="n">
        <v>1</v>
      </c>
      <c r="B268" s="10" t="inlineStr">
        <is>
          <t>Insumo</t>
        </is>
      </c>
      <c r="C268" s="10" t="inlineStr">
        <is>
          <t xml:space="preserve">Perfuração de estaca hélice contínua Ø 50cm	</t>
        </is>
      </c>
      <c r="D268" s="10" t="inlineStr">
        <is>
          <t>Execucao Estaca Helice Continua 050Cm</t>
        </is>
      </c>
      <c r="E268" s="11">
        <f t="array" ref="E268">_xlfn.XLOOKUP(D268,Insumos!B:B,Insumos!C:$C)</f>
        <v/>
      </c>
      <c r="F268" s="14" t="n">
        <v>1</v>
      </c>
      <c r="G268" s="92">
        <f t="array" ref="G268">IF(B268="insumo",_xlfn.XLOOKUP($D268,Insumos!$B$1:$B$996,Insumos!$D$1:$D$996),"")</f>
        <v/>
      </c>
      <c r="H268" s="92" t="n">
        <v>150</v>
      </c>
      <c r="I268" s="2162" t="n">
        <v>0</v>
      </c>
      <c r="J268" s="2162" t="n">
        <v>0</v>
      </c>
      <c r="K268" s="2162" t="n"/>
    </row>
    <row r="269" outlineLevel="2" ht="15.75" customHeight="1">
      <c r="A269" s="1067" t="n">
        <v>1</v>
      </c>
      <c r="B269" s="1067" t="inlineStr">
        <is>
          <t>Serviço</t>
        </is>
      </c>
      <c r="C269" s="1067" t="inlineStr">
        <is>
          <t xml:space="preserve">Perfuração de estaca hélice contínua Ø 60cm	</t>
        </is>
      </c>
      <c r="D269" s="1067" t="inlineStr">
        <is>
          <t xml:space="preserve">Perfuração de estaca hélice contínua Ø 60cm	</t>
        </is>
      </c>
      <c r="E269" s="1068" t="inlineStr">
        <is>
          <t>M</t>
        </is>
      </c>
      <c r="F269" s="1067" t="n"/>
      <c r="G269" s="1069">
        <f t="array" ref="G269">IF(B269="insumo",_xlfn.XLOOKUP($D269,Insumos!$B$1:$B$996,Insumos!$D$1:$D$996),"")</f>
        <v/>
      </c>
      <c r="H269" s="1069" t="n">
        <v>137.486331768187</v>
      </c>
      <c r="I269" s="2161" t="n">
        <v>6732</v>
      </c>
      <c r="J269" s="2161" t="n">
        <v>925557.9854634349</v>
      </c>
      <c r="K269" s="2161" t="n"/>
    </row>
    <row r="270" outlineLevel="3" ht="15.75" customHeight="1">
      <c r="A270" s="10" t="n">
        <v>1</v>
      </c>
      <c r="B270" s="10" t="inlineStr">
        <is>
          <t>Insumo</t>
        </is>
      </c>
      <c r="C270" s="10" t="inlineStr">
        <is>
          <t xml:space="preserve">Perfuração de estaca hélice contínua Ø 60cm	</t>
        </is>
      </c>
      <c r="D270" s="10" t="inlineStr">
        <is>
          <t>Execucao Estaca Helice Continua 060Cm</t>
        </is>
      </c>
      <c r="E270" s="11">
        <f t="array" ref="E270">_xlfn.XLOOKUP(D270,Insumos!B:B,Insumos!C:$C)</f>
        <v/>
      </c>
      <c r="F270" s="14" t="n">
        <v>1</v>
      </c>
      <c r="G270" s="92">
        <f t="array" ref="G270">IF(B270="insumo",_xlfn.XLOOKUP($D270,Insumos!$B$1:$B$996,Insumos!$D$1:$D$996),"")</f>
        <v/>
      </c>
      <c r="H270" s="92" t="n">
        <v>137.486331768187</v>
      </c>
      <c r="I270" s="2162" t="n">
        <v>6732</v>
      </c>
      <c r="J270" s="2162" t="n">
        <v>925557.9854634349</v>
      </c>
      <c r="K270" s="2162" t="n"/>
    </row>
    <row r="271" outlineLevel="2" ht="12.75" customHeight="1">
      <c r="A271" s="1071" t="n">
        <v>1</v>
      </c>
      <c r="B271" s="1071" t="inlineStr">
        <is>
          <t>Serviço</t>
        </is>
      </c>
      <c r="C271" s="1071" t="inlineStr">
        <is>
          <t>Execucao Estaca Helice Continua Monitorada 050Cm</t>
        </is>
      </c>
      <c r="D271" s="1071" t="inlineStr">
        <is>
          <t>Execucao Estaca Helice Continua Monitorada 050Cm</t>
        </is>
      </c>
      <c r="E271" s="1072" t="inlineStr">
        <is>
          <t>M</t>
        </is>
      </c>
      <c r="F271" s="1071" t="n"/>
      <c r="G271" s="1073">
        <f t="array" ref="G271">IF(B271="insumo",_xlfn.XLOOKUP($D271,Insumos!$B$1:$B$996,Insumos!$D$1:$D$996),"")</f>
        <v/>
      </c>
      <c r="H271" s="1073" t="n">
        <v>150</v>
      </c>
      <c r="I271" s="2163" t="n">
        <v>0</v>
      </c>
      <c r="J271" s="2163" t="n">
        <v>0</v>
      </c>
      <c r="K271" s="2163" t="n"/>
    </row>
    <row r="272" outlineLevel="3" ht="15.75" customHeight="1">
      <c r="A272" s="10" t="n">
        <v>1</v>
      </c>
      <c r="B272" s="10" t="inlineStr">
        <is>
          <t>Insumo</t>
        </is>
      </c>
      <c r="C272" s="10" t="inlineStr">
        <is>
          <t>Execucao Estaca Helice Continua Monitorada 050Cm</t>
        </is>
      </c>
      <c r="D272" s="10" t="inlineStr">
        <is>
          <t>Execucao Estaca Helice Continua Monitorada 050Cm</t>
        </is>
      </c>
      <c r="E272" s="11">
        <f t="array" ref="E272">_xlfn.XLOOKUP(D272,Insumos!B:B,Insumos!C:$C)</f>
        <v/>
      </c>
      <c r="F272" s="14" t="n">
        <v>1</v>
      </c>
      <c r="G272" s="92">
        <f t="array" ref="G272">IF(B272="insumo",_xlfn.XLOOKUP($D272,Insumos!$B$1:$B$996,Insumos!$D$1:$D$996),"")</f>
        <v/>
      </c>
      <c r="H272" s="92" t="n">
        <v>150</v>
      </c>
      <c r="I272" s="2162" t="n">
        <v>0</v>
      </c>
      <c r="J272" s="2162" t="n">
        <v>0</v>
      </c>
      <c r="K272" s="2162" t="n"/>
    </row>
    <row r="273" outlineLevel="2" ht="12.75" customHeight="1">
      <c r="A273" s="1071" t="n">
        <v>1</v>
      </c>
      <c r="B273" s="1071" t="inlineStr">
        <is>
          <t>Serviço</t>
        </is>
      </c>
      <c r="C273" s="1071" t="inlineStr">
        <is>
          <t>Execucao Estaca Helice Continua Monitorada 060Cm</t>
        </is>
      </c>
      <c r="D273" s="1071" t="inlineStr">
        <is>
          <t>Execucao Estaca Helice Continua Monitorada 060Cm</t>
        </is>
      </c>
      <c r="E273" s="1072" t="inlineStr">
        <is>
          <t>M</t>
        </is>
      </c>
      <c r="F273" s="1071" t="n"/>
      <c r="G273" s="1073">
        <f t="array" ref="G273">IF(B273="insumo",_xlfn.XLOOKUP($D273,Insumos!$B$1:$B$996,Insumos!$D$1:$D$996),"")</f>
        <v/>
      </c>
      <c r="H273" s="1073" t="n">
        <v>180</v>
      </c>
      <c r="I273" s="2163" t="n">
        <v>0</v>
      </c>
      <c r="J273" s="2163" t="n">
        <v>0</v>
      </c>
      <c r="K273" s="2163" t="n"/>
    </row>
    <row r="274" outlineLevel="3" ht="15.75" customHeight="1">
      <c r="A274" s="10" t="n">
        <v>1</v>
      </c>
      <c r="B274" s="10" t="inlineStr">
        <is>
          <t>Insumo</t>
        </is>
      </c>
      <c r="C274" s="10" t="inlineStr">
        <is>
          <t>Execucao Estaca Helice Continua Monitorada 060Cm</t>
        </is>
      </c>
      <c r="D274" s="10" t="inlineStr">
        <is>
          <t>Execucao Estaca Helice Continua Monitorada 060Cm</t>
        </is>
      </c>
      <c r="E274" s="11">
        <f t="array" ref="E274">_xlfn.XLOOKUP(D274,Insumos!B:B,Insumos!C:$C)</f>
        <v/>
      </c>
      <c r="F274" s="14" t="n">
        <v>1</v>
      </c>
      <c r="G274" s="92">
        <f t="array" ref="G274">IF(B274="insumo",_xlfn.XLOOKUP($D274,Insumos!$B$1:$B$996,Insumos!$D$1:$D$996),"")</f>
        <v/>
      </c>
      <c r="H274" s="92" t="n">
        <v>180</v>
      </c>
      <c r="I274" s="2162" t="n">
        <v>0</v>
      </c>
      <c r="J274" s="2162" t="n">
        <v>0</v>
      </c>
      <c r="K274" s="2162" t="n"/>
    </row>
    <row r="275" outlineLevel="2" ht="15.75" customHeight="1">
      <c r="A275" s="1067" t="n">
        <v>1</v>
      </c>
      <c r="B275" s="1067" t="inlineStr">
        <is>
          <t>Serviço</t>
        </is>
      </c>
      <c r="C275" s="1067" t="inlineStr">
        <is>
          <t>Execucao Estaca Helice Continua 070Cm</t>
        </is>
      </c>
      <c r="D275" s="1067" t="inlineStr">
        <is>
          <t>Execucao Estaca Helice Continua 070Cm</t>
        </is>
      </c>
      <c r="E275" s="1068" t="inlineStr">
        <is>
          <t>M</t>
        </is>
      </c>
      <c r="F275" s="1067" t="n"/>
      <c r="G275" s="1069">
        <f t="array" ref="G275">IF(B275="insumo",_xlfn.XLOOKUP($D275,Insumos!$B$1:$B$996,Insumos!$D$1:$D$996),"")</f>
        <v/>
      </c>
      <c r="H275" s="1069" t="n">
        <v>120</v>
      </c>
      <c r="I275" s="2161" t="n">
        <v>0</v>
      </c>
      <c r="J275" s="2161" t="n">
        <v>0</v>
      </c>
      <c r="K275" s="2161" t="n"/>
    </row>
    <row r="276" outlineLevel="3" ht="15.75" customHeight="1">
      <c r="A276" s="10" t="n">
        <v>1</v>
      </c>
      <c r="B276" s="10" t="inlineStr">
        <is>
          <t>Insumo</t>
        </is>
      </c>
      <c r="C276" s="10" t="inlineStr">
        <is>
          <t>Execucao Estaca Helice Continua 070Cm</t>
        </is>
      </c>
      <c r="D276" s="10" t="inlineStr">
        <is>
          <t>Execucao Estaca Helice Continua 070Cm</t>
        </is>
      </c>
      <c r="E276" s="11">
        <f t="array" ref="E276">_xlfn.XLOOKUP(D276,Insumos!B:B,Insumos!C:$C)</f>
        <v/>
      </c>
      <c r="F276" s="14" t="n">
        <v>1</v>
      </c>
      <c r="G276" s="92">
        <f t="array" ref="G276">IF(B276="insumo",_xlfn.XLOOKUP($D276,Insumos!$B$1:$B$996,Insumos!$D$1:$D$996),"")</f>
        <v/>
      </c>
      <c r="H276" s="92" t="n">
        <v>120</v>
      </c>
      <c r="I276" s="2162" t="n">
        <v>0</v>
      </c>
      <c r="J276" s="2162" t="n">
        <v>0</v>
      </c>
      <c r="K276" s="2162" t="n"/>
    </row>
    <row r="277" outlineLevel="2" ht="15.75" customHeight="1">
      <c r="A277" s="1067" t="n">
        <v>1</v>
      </c>
      <c r="B277" s="1067" t="inlineStr">
        <is>
          <t>Serviço</t>
        </is>
      </c>
      <c r="C277" s="1067" t="inlineStr">
        <is>
          <t>Execucao Estaca Helice Continua 080Cm</t>
        </is>
      </c>
      <c r="D277" s="1067" t="inlineStr">
        <is>
          <t>Execucao Estaca Helice Continua 080Cm</t>
        </is>
      </c>
      <c r="E277" s="1068" t="inlineStr">
        <is>
          <t>M</t>
        </is>
      </c>
      <c r="F277" s="1067" t="n"/>
      <c r="G277" s="1069">
        <f t="array" ref="G277">IF(B277="insumo",_xlfn.XLOOKUP($D277,Insumos!$B$1:$B$996,Insumos!$D$1:$D$996),"")</f>
        <v/>
      </c>
      <c r="H277" s="1069" t="n">
        <v>135</v>
      </c>
      <c r="I277" s="2161" t="n">
        <v>0</v>
      </c>
      <c r="J277" s="2161" t="n">
        <v>0</v>
      </c>
      <c r="K277" s="2161" t="n"/>
    </row>
    <row r="278" outlineLevel="3" ht="15.75" customHeight="1">
      <c r="A278" s="10" t="n">
        <v>1</v>
      </c>
      <c r="B278" s="10" t="inlineStr">
        <is>
          <t>Insumo</t>
        </is>
      </c>
      <c r="C278" s="10" t="inlineStr">
        <is>
          <t>Execucao Estaca Helice Continua 080Cm</t>
        </is>
      </c>
      <c r="D278" s="10" t="inlineStr">
        <is>
          <t>Execucao Estaca Helice Continua 080Cm</t>
        </is>
      </c>
      <c r="E278" s="11">
        <f t="array" ref="E278">_xlfn.XLOOKUP(D278,Insumos!B:B,Insumos!C:$C)</f>
        <v/>
      </c>
      <c r="F278" s="14" t="n">
        <v>1</v>
      </c>
      <c r="G278" s="92">
        <f t="array" ref="G278">IF(B278="insumo",_xlfn.XLOOKUP($D278,Insumos!$B$1:$B$996,Insumos!$D$1:$D$996),"")</f>
        <v/>
      </c>
      <c r="H278" s="92" t="n">
        <v>135</v>
      </c>
      <c r="I278" s="2162" t="n">
        <v>0</v>
      </c>
      <c r="J278" s="2162" t="n">
        <v>0</v>
      </c>
      <c r="K278" s="2162" t="n"/>
    </row>
    <row r="279" outlineLevel="2" ht="15.75" customHeight="1">
      <c r="A279" s="1067" t="n">
        <v>1</v>
      </c>
      <c r="B279" s="1067" t="inlineStr">
        <is>
          <t>Serviço</t>
        </is>
      </c>
      <c r="C279" s="1067" t="inlineStr">
        <is>
          <t>Execucao Estaca Helice Continua 090Cm</t>
        </is>
      </c>
      <c r="D279" s="1067" t="inlineStr">
        <is>
          <t>Execucao Estaca Helice Continua 090Cm</t>
        </is>
      </c>
      <c r="E279" s="1068" t="inlineStr">
        <is>
          <t>M</t>
        </is>
      </c>
      <c r="F279" s="1067" t="n"/>
      <c r="G279" s="1069">
        <f t="array" ref="G279">IF(B279="insumo",_xlfn.XLOOKUP($D279,Insumos!$B$1:$B$996,Insumos!$D$1:$D$996),"")</f>
        <v/>
      </c>
      <c r="H279" s="1069" t="n">
        <v>150</v>
      </c>
      <c r="I279" s="2161" t="n">
        <v>0</v>
      </c>
      <c r="J279" s="2161" t="n">
        <v>0</v>
      </c>
      <c r="K279" s="2161" t="n"/>
    </row>
    <row r="280" outlineLevel="3" ht="15.75" customHeight="1">
      <c r="A280" s="10" t="n">
        <v>1</v>
      </c>
      <c r="B280" s="10" t="inlineStr">
        <is>
          <t>Insumo</t>
        </is>
      </c>
      <c r="C280" s="10" t="inlineStr">
        <is>
          <t>Execucao Estaca Helice Continua 090Cm</t>
        </is>
      </c>
      <c r="D280" s="10" t="inlineStr">
        <is>
          <t>Execucao Estaca Helice Continua 090Cm</t>
        </is>
      </c>
      <c r="E280" s="11">
        <f t="array" ref="E280">_xlfn.XLOOKUP(D280,Insumos!B:B,Insumos!C:$C)</f>
        <v/>
      </c>
      <c r="F280" s="14" t="n">
        <v>1</v>
      </c>
      <c r="G280" s="92">
        <f t="array" ref="G280">IF(B280="insumo",_xlfn.XLOOKUP($D280,Insumos!$B$1:$B$996,Insumos!$D$1:$D$996),"")</f>
        <v/>
      </c>
      <c r="H280" s="92" t="n">
        <v>150</v>
      </c>
      <c r="I280" s="2162" t="n">
        <v>0</v>
      </c>
      <c r="J280" s="2162" t="n">
        <v>0</v>
      </c>
      <c r="K280" s="2162" t="n"/>
    </row>
    <row r="281" outlineLevel="2" ht="15.75" customHeight="1">
      <c r="A281" s="1067" t="n">
        <v>1</v>
      </c>
      <c r="B281" s="1067" t="inlineStr">
        <is>
          <t>Serviço</t>
        </is>
      </c>
      <c r="C281" s="1067" t="inlineStr">
        <is>
          <t>Execucao Estaca Helice Continua 100Cm</t>
        </is>
      </c>
      <c r="D281" s="1067" t="inlineStr">
        <is>
          <t>Execucao Estaca Helice Continua 100Cm</t>
        </is>
      </c>
      <c r="E281" s="1068" t="inlineStr">
        <is>
          <t>M</t>
        </is>
      </c>
      <c r="F281" s="1067" t="n"/>
      <c r="G281" s="1069">
        <f t="array" ref="G281">IF(B281="insumo",_xlfn.XLOOKUP($D281,Insumos!$B$1:$B$996,Insumos!$D$1:$D$996),"")</f>
        <v/>
      </c>
      <c r="H281" s="1069" t="n">
        <v>166.666666666667</v>
      </c>
      <c r="I281" s="2161" t="n">
        <v>0</v>
      </c>
      <c r="J281" s="2161" t="n">
        <v>0</v>
      </c>
      <c r="K281" s="2161" t="n"/>
    </row>
    <row r="282" outlineLevel="3" ht="15.75" customHeight="1">
      <c r="A282" s="10" t="n">
        <v>1</v>
      </c>
      <c r="B282" s="10" t="inlineStr">
        <is>
          <t>Insumo</t>
        </is>
      </c>
      <c r="C282" s="10" t="inlineStr">
        <is>
          <t>Execucao Estaca Helice Continua 100Cm</t>
        </is>
      </c>
      <c r="D282" s="10" t="inlineStr">
        <is>
          <t>Execucao Estaca Helice Continua 100Cm</t>
        </is>
      </c>
      <c r="E282" s="11">
        <f t="array" ref="E282">_xlfn.XLOOKUP(D282,Insumos!B:B,Insumos!C:$C)</f>
        <v/>
      </c>
      <c r="F282" s="14" t="n">
        <v>1</v>
      </c>
      <c r="G282" s="92">
        <f t="array" ref="G282">IF(B282="insumo",_xlfn.XLOOKUP($D282,Insumos!$B$1:$B$996,Insumos!$D$1:$D$996),"")</f>
        <v/>
      </c>
      <c r="H282" s="92" t="n">
        <v>166.666666666667</v>
      </c>
      <c r="I282" s="2162" t="n">
        <v>0</v>
      </c>
      <c r="J282" s="2162" t="n">
        <v>0</v>
      </c>
      <c r="K282" s="2162" t="n"/>
    </row>
    <row r="283" outlineLevel="2" ht="15.75" customHeight="1">
      <c r="A283" s="1067" t="n">
        <v>1</v>
      </c>
      <c r="B283" s="1067" t="inlineStr">
        <is>
          <t>Serviço</t>
        </is>
      </c>
      <c r="C283" s="1067" t="inlineStr">
        <is>
          <t xml:space="preserve">Perfuração de estaca Escavada Ø 25cm	</t>
        </is>
      </c>
      <c r="D283" s="1067" t="inlineStr">
        <is>
          <t xml:space="preserve">Perfuração de estaca Escavada Ø 25cm	</t>
        </is>
      </c>
      <c r="E283" s="1068" t="inlineStr">
        <is>
          <t>M</t>
        </is>
      </c>
      <c r="F283" s="1067" t="n"/>
      <c r="G283" s="1069">
        <f t="array" ref="G283">IF(B283="insumo",_xlfn.XLOOKUP($D283,Insumos!$B$1:$B$996,Insumos!$D$1:$D$996),"")</f>
        <v/>
      </c>
      <c r="H283" s="1069" t="n">
        <v>33</v>
      </c>
      <c r="I283" s="2161" t="n">
        <v>0</v>
      </c>
      <c r="J283" s="2161" t="n">
        <v>0</v>
      </c>
      <c r="K283" s="2161" t="n"/>
    </row>
    <row r="284" outlineLevel="3" ht="15.75" customHeight="1">
      <c r="A284" s="10" t="n">
        <v>1</v>
      </c>
      <c r="B284" s="10" t="inlineStr">
        <is>
          <t>Insumo</t>
        </is>
      </c>
      <c r="C284" s="10" t="inlineStr">
        <is>
          <t xml:space="preserve">Perfuração de estaca Escavada Ø 25cm	</t>
        </is>
      </c>
      <c r="D284" s="10" t="inlineStr">
        <is>
          <t>Execucao Estaca Escavada 025Cm</t>
        </is>
      </c>
      <c r="E284" s="11">
        <f t="array" ref="E284">_xlfn.XLOOKUP(D284,Insumos!B:B,Insumos!C:$C)</f>
        <v/>
      </c>
      <c r="F284" s="14" t="n">
        <v>1</v>
      </c>
      <c r="G284" s="92">
        <f t="array" ref="G284">IF(B284="insumo",_xlfn.XLOOKUP($D284,Insumos!$B$1:$B$996,Insumos!$D$1:$D$996),"")</f>
        <v/>
      </c>
      <c r="H284" s="92" t="n">
        <v>33</v>
      </c>
      <c r="I284" s="2162" t="n">
        <v>0</v>
      </c>
      <c r="J284" s="2162" t="n">
        <v>0</v>
      </c>
      <c r="K284" s="2162" t="n"/>
    </row>
    <row r="285" outlineLevel="2" ht="15.75" customHeight="1">
      <c r="A285" s="1067" t="n">
        <v>1</v>
      </c>
      <c r="B285" s="1067" t="inlineStr">
        <is>
          <t>Serviço</t>
        </is>
      </c>
      <c r="C285" s="1067" t="inlineStr">
        <is>
          <t xml:space="preserve">Perfuração de estaca Escavada Ø 30cm	</t>
        </is>
      </c>
      <c r="D285" s="1067" t="inlineStr">
        <is>
          <t xml:space="preserve">Perfuração de estaca Escavada Ø 30cm	</t>
        </is>
      </c>
      <c r="E285" s="1068" t="inlineStr">
        <is>
          <t>M</t>
        </is>
      </c>
      <c r="F285" s="1067" t="n"/>
      <c r="G285" s="1069">
        <f t="array" ref="G285">IF(B285="insumo",_xlfn.XLOOKUP($D285,Insumos!$B$1:$B$996,Insumos!$D$1:$D$996),"")</f>
        <v/>
      </c>
      <c r="H285" s="1069" t="n">
        <v>39</v>
      </c>
      <c r="I285" s="2161" t="n">
        <v>0</v>
      </c>
      <c r="J285" s="2161" t="n">
        <v>0</v>
      </c>
      <c r="K285" s="2161" t="n"/>
    </row>
    <row r="286" outlineLevel="3" ht="15.75" customHeight="1">
      <c r="A286" s="10" t="n">
        <v>2</v>
      </c>
      <c r="B286" s="10" t="inlineStr">
        <is>
          <t>Insumo</t>
        </is>
      </c>
      <c r="C286" s="10" t="inlineStr">
        <is>
          <t xml:space="preserve">Perfuração de estaca Escavada Ø 30cm	</t>
        </is>
      </c>
      <c r="D286" s="10" t="inlineStr">
        <is>
          <t>Execucao Estaca Escavada 030Cm</t>
        </is>
      </c>
      <c r="E286" s="11">
        <f t="array" ref="E286">_xlfn.XLOOKUP(D286,Insumos!B:B,Insumos!C:$C)</f>
        <v/>
      </c>
      <c r="F286" s="14" t="n">
        <v>1</v>
      </c>
      <c r="G286" s="92">
        <f t="array" ref="G286">IF(B286="insumo",_xlfn.XLOOKUP($D286,Insumos!$B$1:$B$996,Insumos!$D$1:$D$996),"")</f>
        <v/>
      </c>
      <c r="H286" s="92" t="n">
        <v>39</v>
      </c>
      <c r="I286" s="2162" t="n">
        <v>0</v>
      </c>
      <c r="J286" s="2162" t="n">
        <v>0</v>
      </c>
      <c r="K286" s="2162" t="n"/>
    </row>
    <row r="287" outlineLevel="2" ht="12.75" customHeight="1">
      <c r="A287" s="1071" t="n">
        <v>1</v>
      </c>
      <c r="B287" s="1071" t="inlineStr">
        <is>
          <t>Serviço</t>
        </is>
      </c>
      <c r="C287" s="1071" t="inlineStr">
        <is>
          <t xml:space="preserve">Perfuração de estaca Escavada Ø 40cm	</t>
        </is>
      </c>
      <c r="D287" s="1071" t="inlineStr">
        <is>
          <t xml:space="preserve">Perfuração de estaca Escavada Ø 40cm	</t>
        </is>
      </c>
      <c r="E287" s="1072" t="inlineStr">
        <is>
          <t>M</t>
        </is>
      </c>
      <c r="F287" s="1071" t="n"/>
      <c r="G287" s="1073">
        <f t="array" ref="G287">IF(B287="insumo",_xlfn.XLOOKUP($D287,Insumos!$B$1:$B$996,Insumos!$D$1:$D$996),"")</f>
        <v/>
      </c>
      <c r="H287" s="1073" t="n">
        <v>52.8</v>
      </c>
      <c r="I287" s="2163" t="n">
        <v>0</v>
      </c>
      <c r="J287" s="2163" t="n">
        <v>0</v>
      </c>
      <c r="K287" s="2163" t="n"/>
    </row>
    <row r="288" outlineLevel="3" ht="12.75" customHeight="1">
      <c r="A288" s="82" t="n">
        <v>2</v>
      </c>
      <c r="B288" s="82" t="inlineStr">
        <is>
          <t>Insumo</t>
        </is>
      </c>
      <c r="C288" s="82" t="inlineStr">
        <is>
          <t xml:space="preserve">Perfuração de estaca Escavada Ø 40cm	</t>
        </is>
      </c>
      <c r="D288" s="82" t="inlineStr">
        <is>
          <t>Execucao Estaca Escavada 040Cm</t>
        </is>
      </c>
      <c r="E288" s="11">
        <f t="array" ref="E288">_xlfn.XLOOKUP(D288,Insumos!B:B,Insumos!C:$C)</f>
        <v/>
      </c>
      <c r="F288" s="2164" t="n">
        <v>1</v>
      </c>
      <c r="G288" s="92">
        <f t="array" ref="G288">IF(B288="insumo",_xlfn.XLOOKUP($D288,Insumos!$B$1:$B$996,Insumos!$D$1:$D$996),"")</f>
        <v/>
      </c>
      <c r="H288" s="92" t="n">
        <v>52.8</v>
      </c>
      <c r="I288" s="2165" t="n">
        <v>0</v>
      </c>
      <c r="J288" s="2165" t="n">
        <v>0</v>
      </c>
      <c r="K288" s="2165" t="n"/>
    </row>
    <row r="289" outlineLevel="2" ht="12.75" customHeight="1">
      <c r="A289" s="1071" t="n">
        <v>1</v>
      </c>
      <c r="B289" s="1071" t="inlineStr">
        <is>
          <t>Serviço</t>
        </is>
      </c>
      <c r="C289" s="1071" t="inlineStr">
        <is>
          <t xml:space="preserve">Perfuração de estaca Escavada Ø 50cm	</t>
        </is>
      </c>
      <c r="D289" s="1071" t="inlineStr">
        <is>
          <t xml:space="preserve">Perfuração de estaca Escavada Ø 50cm	</t>
        </is>
      </c>
      <c r="E289" s="1072" t="inlineStr">
        <is>
          <t>M</t>
        </is>
      </c>
      <c r="F289" s="1071" t="n"/>
      <c r="G289" s="1073">
        <f t="array" ref="G289">IF(B289="insumo",_xlfn.XLOOKUP($D289,Insumos!$B$1:$B$996,Insumos!$D$1:$D$996),"")</f>
        <v/>
      </c>
      <c r="H289" s="1073" t="n">
        <v>66</v>
      </c>
      <c r="I289" s="2163" t="n">
        <v>0</v>
      </c>
      <c r="J289" s="2163" t="n">
        <v>0</v>
      </c>
      <c r="K289" s="2163" t="n"/>
    </row>
    <row r="290" outlineLevel="3" ht="15.75" customHeight="1">
      <c r="A290" s="10" t="n">
        <v>1</v>
      </c>
      <c r="B290" s="10" t="inlineStr">
        <is>
          <t>Insumo</t>
        </is>
      </c>
      <c r="C290" s="10" t="inlineStr">
        <is>
          <t xml:space="preserve">Perfuração de estaca Escavada Ø 50cm	</t>
        </is>
      </c>
      <c r="D290" s="10" t="inlineStr">
        <is>
          <t>Execucao Estaca Escavada 050Cm</t>
        </is>
      </c>
      <c r="E290" s="11">
        <f t="array" ref="E290">_xlfn.XLOOKUP(D290,Insumos!B:B,Insumos!C:$C)</f>
        <v/>
      </c>
      <c r="F290" s="14" t="n">
        <v>1</v>
      </c>
      <c r="G290" s="92">
        <f t="array" ref="G290">IF(B290="insumo",_xlfn.XLOOKUP($D290,Insumos!$B$1:$B$996,Insumos!$D$1:$D$996),"")</f>
        <v/>
      </c>
      <c r="H290" s="92" t="n">
        <v>66</v>
      </c>
      <c r="I290" s="2162" t="n">
        <v>0</v>
      </c>
      <c r="J290" s="2162" t="n">
        <v>0</v>
      </c>
      <c r="K290" s="2162" t="n"/>
    </row>
    <row r="291" outlineLevel="2" ht="12.75" customHeight="1">
      <c r="A291" s="1071" t="n">
        <v>1</v>
      </c>
      <c r="B291" s="1071" t="inlineStr">
        <is>
          <t>Serviço</t>
        </is>
      </c>
      <c r="C291" s="1071" t="inlineStr">
        <is>
          <t xml:space="preserve">Perfuração de estaca Escavada Ø 60cm	</t>
        </is>
      </c>
      <c r="D291" s="1071" t="inlineStr">
        <is>
          <t xml:space="preserve">Perfuração de estaca Escavada Ø 60cm	</t>
        </is>
      </c>
      <c r="E291" s="1072" t="inlineStr">
        <is>
          <t>M</t>
        </is>
      </c>
      <c r="F291" s="1071" t="n"/>
      <c r="G291" s="1073">
        <f t="array" ref="G291">IF(B291="insumo",_xlfn.XLOOKUP($D291,Insumos!$B$1:$B$996,Insumos!$D$1:$D$996),"")</f>
        <v/>
      </c>
      <c r="H291" s="1073" t="n">
        <v>79.2</v>
      </c>
      <c r="I291" s="2163" t="n">
        <v>0</v>
      </c>
      <c r="J291" s="2163" t="n">
        <v>0</v>
      </c>
      <c r="K291" s="2163" t="n"/>
    </row>
    <row r="292" outlineLevel="3" ht="15.75" customHeight="1">
      <c r="A292" s="10" t="n">
        <v>1</v>
      </c>
      <c r="B292" s="10" t="inlineStr">
        <is>
          <t>Insumo</t>
        </is>
      </c>
      <c r="C292" s="10" t="inlineStr">
        <is>
          <t xml:space="preserve">Perfuração de estaca Escavada Ø 60cm	</t>
        </is>
      </c>
      <c r="D292" s="10" t="inlineStr">
        <is>
          <t>Execucao Estaca Escavada 060Cm</t>
        </is>
      </c>
      <c r="E292" s="11">
        <f t="array" ref="E292">_xlfn.XLOOKUP(D292,Insumos!B:B,Insumos!C:$C)</f>
        <v/>
      </c>
      <c r="F292" s="14" t="n">
        <v>1</v>
      </c>
      <c r="G292" s="92">
        <f t="array" ref="G292">IF(B292="insumo",_xlfn.XLOOKUP($D292,Insumos!$B$1:$B$996,Insumos!$D$1:$D$996),"")</f>
        <v/>
      </c>
      <c r="H292" s="92" t="n">
        <v>79.2</v>
      </c>
      <c r="I292" s="2162" t="n">
        <v>0</v>
      </c>
      <c r="J292" s="2162" t="n">
        <v>0</v>
      </c>
      <c r="K292" s="2162" t="n"/>
    </row>
    <row r="293" outlineLevel="2" ht="12.75" customHeight="1">
      <c r="A293" s="1071" t="n">
        <v>1</v>
      </c>
      <c r="B293" s="1071" t="inlineStr">
        <is>
          <t>Serviço</t>
        </is>
      </c>
      <c r="C293" s="1071" t="inlineStr">
        <is>
          <t xml:space="preserve">Perfuração de estaca Escavada Ø 70cm	</t>
        </is>
      </c>
      <c r="D293" s="1071" t="inlineStr">
        <is>
          <t xml:space="preserve">Perfuração de estaca Escavada Ø 70cm	</t>
        </is>
      </c>
      <c r="E293" s="1072" t="inlineStr">
        <is>
          <t>M</t>
        </is>
      </c>
      <c r="F293" s="1071" t="n"/>
      <c r="G293" s="1073">
        <f t="array" ref="G293">IF(B293="insumo",_xlfn.XLOOKUP($D293,Insumos!$B$1:$B$996,Insumos!$D$1:$D$996),"")</f>
        <v/>
      </c>
      <c r="H293" s="1073" t="n">
        <v>92.40000000000001</v>
      </c>
      <c r="I293" s="2163" t="n">
        <v>0</v>
      </c>
      <c r="J293" s="2163" t="n">
        <v>0</v>
      </c>
      <c r="K293" s="2163" t="n"/>
    </row>
    <row r="294" outlineLevel="3" ht="15.75" customHeight="1">
      <c r="A294" s="10" t="n">
        <v>1</v>
      </c>
      <c r="B294" s="10" t="inlineStr">
        <is>
          <t>Insumo</t>
        </is>
      </c>
      <c r="C294" s="10" t="inlineStr">
        <is>
          <t xml:space="preserve">Perfuração de estaca Escavada Ø 70cm	</t>
        </is>
      </c>
      <c r="D294" s="10" t="inlineStr">
        <is>
          <t>Execucao Estaca Escavada 070Cm</t>
        </is>
      </c>
      <c r="E294" s="11">
        <f t="array" ref="E294">_xlfn.XLOOKUP(D294,Insumos!B:B,Insumos!C:$C)</f>
        <v/>
      </c>
      <c r="F294" s="14" t="n">
        <v>1</v>
      </c>
      <c r="G294" s="92">
        <f t="array" ref="G294">IF(B294="insumo",_xlfn.XLOOKUP($D294,Insumos!$B$1:$B$996,Insumos!$D$1:$D$996),"")</f>
        <v/>
      </c>
      <c r="H294" s="92" t="n">
        <v>92.40000000000001</v>
      </c>
      <c r="I294" s="2162" t="n">
        <v>0</v>
      </c>
      <c r="J294" s="2162" t="n">
        <v>0</v>
      </c>
      <c r="K294" s="2162" t="n"/>
    </row>
    <row r="295" outlineLevel="2" ht="12.75" customHeight="1">
      <c r="A295" s="1071" t="n">
        <v>1</v>
      </c>
      <c r="B295" s="1071" t="inlineStr">
        <is>
          <t>Serviço</t>
        </is>
      </c>
      <c r="C295" s="1071" t="inlineStr">
        <is>
          <t xml:space="preserve">Perfuração de estaca Escavada Ø 80cm	</t>
        </is>
      </c>
      <c r="D295" s="1071" t="inlineStr">
        <is>
          <t xml:space="preserve">Perfuração de estaca Escavada Ø 80cm	</t>
        </is>
      </c>
      <c r="E295" s="1072" t="inlineStr">
        <is>
          <t>M</t>
        </is>
      </c>
      <c r="F295" s="1071" t="n"/>
      <c r="G295" s="1073">
        <f t="array" ref="G295">IF(B295="insumo",_xlfn.XLOOKUP($D295,Insumos!$B$1:$B$996,Insumos!$D$1:$D$996),"")</f>
        <v/>
      </c>
      <c r="H295" s="1073" t="n">
        <v>105.6</v>
      </c>
      <c r="I295" s="2163" t="n">
        <v>0</v>
      </c>
      <c r="J295" s="2163" t="n">
        <v>0</v>
      </c>
      <c r="K295" s="2163" t="n"/>
    </row>
    <row r="296" outlineLevel="3" ht="15.75" customHeight="1">
      <c r="A296" s="10" t="n">
        <v>1</v>
      </c>
      <c r="B296" s="10" t="inlineStr">
        <is>
          <t>Insumo</t>
        </is>
      </c>
      <c r="C296" s="10" t="inlineStr">
        <is>
          <t xml:space="preserve">Perfuração de estaca Escavada Ø 80cm	</t>
        </is>
      </c>
      <c r="D296" s="10" t="inlineStr">
        <is>
          <t>Execucao Estaca Escavada 080Cm</t>
        </is>
      </c>
      <c r="E296" s="11">
        <f t="array" ref="E296">_xlfn.XLOOKUP(D296,Insumos!B:B,Insumos!C:$C)</f>
        <v/>
      </c>
      <c r="F296" s="14" t="n">
        <v>1</v>
      </c>
      <c r="G296" s="92">
        <f t="array" ref="G296">IF(B296="insumo",_xlfn.XLOOKUP($D296,Insumos!$B$1:$B$996,Insumos!$D$1:$D$996),"")</f>
        <v/>
      </c>
      <c r="H296" s="92" t="n">
        <v>105.6</v>
      </c>
      <c r="I296" s="2162" t="n">
        <v>0</v>
      </c>
      <c r="J296" s="2162" t="n">
        <v>0</v>
      </c>
      <c r="K296" s="2162" t="n"/>
    </row>
    <row r="297" outlineLevel="2" ht="12.75" customHeight="1">
      <c r="A297" s="1071" t="n">
        <v>1</v>
      </c>
      <c r="B297" s="1071" t="inlineStr">
        <is>
          <t>Serviço</t>
        </is>
      </c>
      <c r="C297" s="1071" t="inlineStr">
        <is>
          <t xml:space="preserve">	Mobilização e desmobilização de equipamentos - Para execução de estaca hélice monitorada</t>
        </is>
      </c>
      <c r="D297" s="1071" t="inlineStr">
        <is>
          <t xml:space="preserve">	Mobilização e desmobilização de equipamentos - Para execução de estaca hélice monitorada</t>
        </is>
      </c>
      <c r="E297" s="1072" t="inlineStr">
        <is>
          <t>VB</t>
        </is>
      </c>
      <c r="F297" s="1071" t="n"/>
      <c r="G297" s="1073">
        <f t="array" ref="G297">IF(B297="insumo",_xlfn.XLOOKUP($D297,Insumos!$B$1:$B$996,Insumos!$D$1:$D$996),"")</f>
        <v/>
      </c>
      <c r="H297" s="1073" t="n">
        <v>24442.0145365666</v>
      </c>
      <c r="I297" s="2163" t="n">
        <v>1</v>
      </c>
      <c r="J297" s="2163" t="n">
        <v>24442.0145365666</v>
      </c>
      <c r="K297" s="2163" t="n"/>
    </row>
    <row r="298" outlineLevel="3" ht="15.75" customHeight="1">
      <c r="A298" s="10" t="n">
        <v>1</v>
      </c>
      <c r="B298" s="10" t="inlineStr">
        <is>
          <t>Insumo</t>
        </is>
      </c>
      <c r="C298" s="10" t="inlineStr">
        <is>
          <t xml:space="preserve">	Mobilização e desmobilização de equipamentos - Para execução de estaca hélice monitorada</t>
        </is>
      </c>
      <c r="D298" s="10" t="inlineStr">
        <is>
          <t xml:space="preserve">	Mobilização e desmobilização de equipamentos - Para execução de estaca hélice monitorada</t>
        </is>
      </c>
      <c r="E298" s="11">
        <f t="array" ref="E298">_xlfn.XLOOKUP(D298,Insumos!B:B,Insumos!C:$C)</f>
        <v/>
      </c>
      <c r="F298" s="14" t="n">
        <v>1</v>
      </c>
      <c r="G298" s="92">
        <f t="array" ref="G298">IF(B298="insumo",_xlfn.XLOOKUP($D298,Insumos!$B$1:$B$996,Insumos!$D$1:$D$996),"")</f>
        <v/>
      </c>
      <c r="H298" s="92" t="n">
        <v>24442.0145365666</v>
      </c>
      <c r="I298" s="2162" t="n">
        <v>1</v>
      </c>
      <c r="J298" s="2162" t="n">
        <v>24442.0145365666</v>
      </c>
      <c r="K298" s="2162" t="n"/>
    </row>
    <row r="299" outlineLevel="2" ht="15.75" customHeight="1">
      <c r="A299" s="1067" t="n">
        <v>1</v>
      </c>
      <c r="B299" s="1067" t="inlineStr">
        <is>
          <t>Serviço</t>
        </is>
      </c>
      <c r="C299" s="1067" t="inlineStr">
        <is>
          <t xml:space="preserve">	Mobilização e desmobilização de equipamentos - Para execução de estaca hélice</t>
        </is>
      </c>
      <c r="D299" s="1067" t="inlineStr">
        <is>
          <t xml:space="preserve">	Mobilização e desmobilização de equipamentos - Para execução de estaca hélice</t>
        </is>
      </c>
      <c r="E299" s="1068" t="inlineStr">
        <is>
          <t>VB</t>
        </is>
      </c>
      <c r="F299" s="1067" t="n"/>
      <c r="G299" s="1069">
        <f t="array" ref="G299">IF(B299="insumo",_xlfn.XLOOKUP($D299,Insumos!$B$1:$B$996,Insumos!$D$1:$D$996),"")</f>
        <v/>
      </c>
      <c r="H299" s="1069" t="n">
        <v>18500</v>
      </c>
      <c r="I299" s="2161" t="n">
        <v>0</v>
      </c>
      <c r="J299" s="2161" t="n">
        <v>0</v>
      </c>
      <c r="K299" s="2161" t="n"/>
    </row>
    <row r="300" outlineLevel="3" ht="15.75" customHeight="1">
      <c r="A300" s="10" t="n">
        <v>1</v>
      </c>
      <c r="B300" s="10" t="inlineStr">
        <is>
          <t>Insumo</t>
        </is>
      </c>
      <c r="C300" s="10" t="inlineStr">
        <is>
          <t xml:space="preserve">	Mobilização e desmobilização de equipamentos - Para execução de estaca hélice</t>
        </is>
      </c>
      <c r="D300" s="10" t="inlineStr">
        <is>
          <t xml:space="preserve">	Mobilização e desmobilização de equipamentos - Para execução de estaca hélice</t>
        </is>
      </c>
      <c r="E300" s="11">
        <f t="array" ref="E300">_xlfn.XLOOKUP(D300,Insumos!B:B,Insumos!C:$C)</f>
        <v/>
      </c>
      <c r="F300" s="14" t="n">
        <v>1</v>
      </c>
      <c r="G300" s="92">
        <f t="array" ref="G300">IF(B300="insumo",_xlfn.XLOOKUP($D300,Insumos!$B$1:$B$996,Insumos!$D$1:$D$996),"")</f>
        <v/>
      </c>
      <c r="H300" s="92" t="n">
        <v>18500</v>
      </c>
      <c r="I300" s="2162" t="n">
        <v>0</v>
      </c>
      <c r="J300" s="2162" t="n">
        <v>0</v>
      </c>
      <c r="K300" s="2162" t="n"/>
    </row>
    <row r="301" outlineLevel="2" ht="15.75" customHeight="1">
      <c r="A301" s="1067" t="n">
        <v>1</v>
      </c>
      <c r="B301" s="1067" t="inlineStr">
        <is>
          <t>Serviço</t>
        </is>
      </c>
      <c r="C301" s="1067" t="inlineStr">
        <is>
          <t xml:space="preserve">	Mobilização e desmobilização de equipamentos - Para execução de estaca Escavada</t>
        </is>
      </c>
      <c r="D301" s="1067" t="inlineStr">
        <is>
          <t xml:space="preserve">	Mobilização e desmobilização de equipamentos - Para execução de estaca Escavada</t>
        </is>
      </c>
      <c r="E301" s="1068" t="inlineStr">
        <is>
          <t>VB</t>
        </is>
      </c>
      <c r="F301" s="1067" t="n"/>
      <c r="G301" s="1069">
        <f t="array" ref="G301">IF(B301="insumo",_xlfn.XLOOKUP($D301,Insumos!$B$1:$B$996,Insumos!$D$1:$D$996),"")</f>
        <v/>
      </c>
      <c r="H301" s="1069" t="n">
        <v>26000</v>
      </c>
      <c r="I301" s="2161" t="n">
        <v>0</v>
      </c>
      <c r="J301" s="2161" t="n">
        <v>0</v>
      </c>
      <c r="K301" s="2161" t="n"/>
    </row>
    <row r="302" outlineLevel="3" ht="15.75" customHeight="1">
      <c r="A302" s="10" t="n">
        <v>1</v>
      </c>
      <c r="B302" s="10" t="inlineStr">
        <is>
          <t>Insumo</t>
        </is>
      </c>
      <c r="C302" s="10" t="inlineStr">
        <is>
          <t xml:space="preserve">	Mobilização e desmobilização de equipamentos - Para execução de estaca Escavada</t>
        </is>
      </c>
      <c r="D302" s="10" t="inlineStr">
        <is>
          <t xml:space="preserve">	Mobilização e desmobilização de equipamentos - Para execução de estaca Escavada</t>
        </is>
      </c>
      <c r="E302" s="11">
        <f t="array" ref="E302">_xlfn.XLOOKUP(D302,Insumos!B:B,Insumos!C:$C)</f>
        <v/>
      </c>
      <c r="F302" s="14" t="n">
        <v>1</v>
      </c>
      <c r="G302" s="92">
        <f t="array" ref="G302">IF(B302="insumo",_xlfn.XLOOKUP($D302,Insumos!$B$1:$B$996,Insumos!$D$1:$D$996),"")</f>
        <v/>
      </c>
      <c r="H302" s="92" t="n">
        <v>26000</v>
      </c>
      <c r="I302" s="2162" t="n">
        <v>0</v>
      </c>
      <c r="J302" s="2162" t="n">
        <v>0</v>
      </c>
      <c r="K302" s="2162" t="n"/>
    </row>
    <row r="303" outlineLevel="1" ht="15.75" customHeight="1">
      <c r="A303" s="1090" t="n">
        <v>4</v>
      </c>
      <c r="B303" s="1090" t="inlineStr">
        <is>
          <t>Subetapa</t>
        </is>
      </c>
      <c r="C303" s="1090" t="inlineStr">
        <is>
          <t xml:space="preserve">	Mobilização e desmobilização de equipamentos - Para execução de estaca Escavada</t>
        </is>
      </c>
      <c r="D303" s="1090" t="inlineStr">
        <is>
          <t>ARMADURA</t>
        </is>
      </c>
      <c r="E303" s="1091" t="n"/>
      <c r="F303" s="2160" t="n"/>
      <c r="G303" s="1091" t="n"/>
      <c r="H303" s="1091" t="n">
        <v>0</v>
      </c>
      <c r="I303" s="2160" t="n">
        <v>0</v>
      </c>
      <c r="J303" s="2160" t="n">
        <v>0</v>
      </c>
      <c r="K303" s="2160" t="n"/>
    </row>
    <row r="304" outlineLevel="2" ht="15.75" customHeight="1">
      <c r="A304" s="1067" t="n">
        <v>1</v>
      </c>
      <c r="B304" s="1067" t="inlineStr">
        <is>
          <t>Serviço</t>
        </is>
      </c>
      <c r="C304" s="1067" t="inlineStr">
        <is>
          <t>Armação Pronta para estaca Ø 50cm (5F 16,0 4MTS ESP75 PS20)</t>
        </is>
      </c>
      <c r="D304" s="1067" t="inlineStr">
        <is>
          <t>Armação Pronta para estaca Ø 50cm (5F 16,0 4MTS ESP75 PS20)</t>
        </is>
      </c>
      <c r="E304" s="1068" t="inlineStr">
        <is>
          <t>UN</t>
        </is>
      </c>
      <c r="F304" s="1067" t="n"/>
      <c r="G304" s="1069">
        <f t="array" ref="G304">IF(B304="insumo",_xlfn.XLOOKUP($D304,Insumos!$B$1:$B$996,Insumos!$D$1:$D$996),"")</f>
        <v/>
      </c>
      <c r="H304" s="1069" t="n">
        <v>302.922</v>
      </c>
      <c r="I304" s="2161" t="n">
        <v>0</v>
      </c>
      <c r="J304" s="2161" t="n">
        <v>0</v>
      </c>
      <c r="K304" s="2161" t="n"/>
    </row>
    <row r="305" outlineLevel="3" ht="15.75" customHeight="1">
      <c r="A305" s="10" t="n">
        <v>1</v>
      </c>
      <c r="B305" s="10" t="inlineStr">
        <is>
          <t>Insumo</t>
        </is>
      </c>
      <c r="C305" s="10" t="inlineStr">
        <is>
          <t>Armação Pronta para estaca Ø 50cm (5F 16,0 4MTS ESP75 PS20)</t>
        </is>
      </c>
      <c r="D305" s="10" t="inlineStr">
        <is>
          <t>CORTE E DOBRA ARMADO ESTACA Ø50CM 5F 16,0 4MTS ESP75 PS20</t>
        </is>
      </c>
      <c r="E305" s="11">
        <f t="array" ref="E305">_xlfn.XLOOKUP(D305,Insumos!B:B,Insumos!C:$C)</f>
        <v/>
      </c>
      <c r="F305" s="14" t="n">
        <v>1</v>
      </c>
      <c r="G305" s="92">
        <f t="array" ref="G305">IF(B305="insumo",_xlfn.XLOOKUP($D305,Insumos!$B$1:$B$996,Insumos!$D$1:$D$996),"")</f>
        <v/>
      </c>
      <c r="H305" s="92" t="n">
        <v>302.922</v>
      </c>
      <c r="I305" s="2162" t="n">
        <v>0</v>
      </c>
      <c r="J305" s="2162" t="n">
        <v>0</v>
      </c>
      <c r="K305" s="2162" t="n"/>
    </row>
    <row r="306" outlineLevel="2" ht="15.75" customHeight="1">
      <c r="A306" s="1067" t="n">
        <v>1</v>
      </c>
      <c r="B306" s="1067" t="inlineStr">
        <is>
          <t>Serviço</t>
        </is>
      </c>
      <c r="C306" s="1067" t="inlineStr">
        <is>
          <t>Armação Pronta para estaca Ø 60cm (5F 20,0 4MTS ESP75 PS20)</t>
        </is>
      </c>
      <c r="D306" s="1067" t="inlineStr">
        <is>
          <t>Armação Pronta para estaca Ø 60cm (5F 20,0 4MTS ESP75 PS20)</t>
        </is>
      </c>
      <c r="E306" s="1068" t="inlineStr">
        <is>
          <t>UN</t>
        </is>
      </c>
      <c r="F306" s="1067" t="n"/>
      <c r="G306" s="1069">
        <f t="array" ref="G306">IF(B306="insumo",_xlfn.XLOOKUP($D306,Insumos!$B$1:$B$996,Insumos!$D$1:$D$996),"")</f>
        <v/>
      </c>
      <c r="H306" s="1069" t="n">
        <v>466.337</v>
      </c>
      <c r="I306" s="2161" t="n">
        <v>0</v>
      </c>
      <c r="J306" s="2161" t="n">
        <v>0</v>
      </c>
      <c r="K306" s="2161" t="n"/>
    </row>
    <row r="307" outlineLevel="3" ht="15.75" customHeight="1">
      <c r="A307" s="10" t="n">
        <v>1</v>
      </c>
      <c r="B307" s="10" t="inlineStr">
        <is>
          <t>Insumo</t>
        </is>
      </c>
      <c r="C307" s="10" t="inlineStr">
        <is>
          <t>Armação Pronta para estaca Ø 60cm (5F 20,0 4MTS ESP75 PS20)</t>
        </is>
      </c>
      <c r="D307" s="10" t="inlineStr">
        <is>
          <t>CORTE E DOBRA ARMADO ESTACA Ø60CM 5F 20,0 4MTS ESP75 PS20</t>
        </is>
      </c>
      <c r="E307" s="11">
        <f t="array" ref="E307">_xlfn.XLOOKUP(D307,Insumos!B:B,Insumos!C:$C)</f>
        <v/>
      </c>
      <c r="F307" s="14" t="n">
        <v>1</v>
      </c>
      <c r="G307" s="92">
        <f t="array" ref="G307">IF(B307="insumo",_xlfn.XLOOKUP($D307,Insumos!$B$1:$B$996,Insumos!$D$1:$D$996),"")</f>
        <v/>
      </c>
      <c r="H307" s="92" t="n">
        <v>466.337</v>
      </c>
      <c r="I307" s="2162" t="n">
        <v>0</v>
      </c>
      <c r="J307" s="2162" t="n">
        <v>0</v>
      </c>
      <c r="K307" s="2162" t="n"/>
    </row>
    <row r="308" outlineLevel="2" ht="15.75" customHeight="1">
      <c r="A308" s="1067" t="n">
        <v>1</v>
      </c>
      <c r="B308" s="1067" t="inlineStr">
        <is>
          <t>Serviço</t>
        </is>
      </c>
      <c r="C308" s="1067" t="inlineStr">
        <is>
          <t>Armação Pronta para estaca Ø 60cm (7F 20,0 6MTS ESP75 PS20)</t>
        </is>
      </c>
      <c r="D308" s="1067" t="inlineStr">
        <is>
          <t>Armação Pronta para estaca Ø 60cm (7F 20,0 6MTS ESP75 PS20)</t>
        </is>
      </c>
      <c r="E308" s="1068" t="inlineStr">
        <is>
          <t>UN</t>
        </is>
      </c>
      <c r="F308" s="1067" t="n"/>
      <c r="G308" s="1069">
        <f t="array" ref="G308">IF(B308="insumo",_xlfn.XLOOKUP($D308,Insumos!$B$1:$B$996,Insumos!$D$1:$D$996),"")</f>
        <v/>
      </c>
      <c r="H308" s="1069" t="n">
        <v>937.639</v>
      </c>
      <c r="I308" s="2161" t="n">
        <v>0</v>
      </c>
      <c r="J308" s="2161" t="n">
        <v>0</v>
      </c>
      <c r="K308" s="2161" t="n"/>
    </row>
    <row r="309" outlineLevel="3" ht="15.75" customHeight="1">
      <c r="A309" s="10" t="n">
        <v>1</v>
      </c>
      <c r="B309" s="10" t="inlineStr">
        <is>
          <t>Insumo</t>
        </is>
      </c>
      <c r="C309" s="10" t="inlineStr">
        <is>
          <t>Armação Pronta para estaca Ø 60cm (7F 20,0 6MTS ESP75 PS20)</t>
        </is>
      </c>
      <c r="D309" s="10" t="inlineStr">
        <is>
          <t>CORTE E DOBRA ARMADO ESTACA Ø60CM 7F 20,0 6MTS ESP75 PS20</t>
        </is>
      </c>
      <c r="E309" s="11">
        <f t="array" ref="E309">_xlfn.XLOOKUP(D309,Insumos!B:B,Insumos!C:$C)</f>
        <v/>
      </c>
      <c r="F309" s="14" t="n">
        <v>1</v>
      </c>
      <c r="G309" s="92">
        <f t="array" ref="G309">IF(B309="insumo",_xlfn.XLOOKUP($D309,Insumos!$B$1:$B$996,Insumos!$D$1:$D$996),"")</f>
        <v/>
      </c>
      <c r="H309" s="92" t="n">
        <v>937.639</v>
      </c>
      <c r="I309" s="2162" t="n">
        <v>0</v>
      </c>
      <c r="J309" s="2162" t="n">
        <v>0</v>
      </c>
      <c r="K309" s="2162" t="n"/>
    </row>
    <row r="310" outlineLevel="2" ht="15.75" customHeight="1">
      <c r="A310" s="1067" t="n">
        <v>1</v>
      </c>
      <c r="B310" s="1067" t="inlineStr">
        <is>
          <t>Serviço</t>
        </is>
      </c>
      <c r="C310" s="1067" t="inlineStr">
        <is>
          <t>Armação Pronta para estaca Ø 60cm (9F 20,0 8MTS ESP75 PS20)</t>
        </is>
      </c>
      <c r="D310" s="1067" t="inlineStr">
        <is>
          <t>Armação Pronta para estaca Ø 60cm (9F 20,0 8MTS ESP75 PS20)</t>
        </is>
      </c>
      <c r="E310" s="1068" t="inlineStr">
        <is>
          <t>UN</t>
        </is>
      </c>
      <c r="F310" s="1067" t="n"/>
      <c r="G310" s="1069">
        <f t="array" ref="G310">IF(B310="insumo",_xlfn.XLOOKUP($D310,Insumos!$B$1:$B$996,Insumos!$D$1:$D$996),"")</f>
        <v/>
      </c>
      <c r="H310" s="1069" t="n">
        <v>1609.666</v>
      </c>
      <c r="I310" s="2161" t="n">
        <v>0</v>
      </c>
      <c r="J310" s="2161" t="n">
        <v>0</v>
      </c>
      <c r="K310" s="2161" t="n"/>
    </row>
    <row r="311" outlineLevel="3" ht="15.75" customHeight="1">
      <c r="A311" s="10" t="n">
        <v>1</v>
      </c>
      <c r="B311" s="10" t="inlineStr">
        <is>
          <t>Insumo</t>
        </is>
      </c>
      <c r="C311" s="10" t="inlineStr">
        <is>
          <t>Armação Pronta para estaca Ø 60cm (9F 20,0 8MTS ESP75 PS20)</t>
        </is>
      </c>
      <c r="D311" s="10" t="inlineStr">
        <is>
          <t>CORTE E DOBRA ARMADO ESTACA Ø60CM 9F 20,0 8MTS ESP75 PS20</t>
        </is>
      </c>
      <c r="E311" s="11">
        <f t="array" ref="E311">_xlfn.XLOOKUP(D311,Insumos!B:B,Insumos!C:$C)</f>
        <v/>
      </c>
      <c r="F311" s="14" t="n">
        <v>1</v>
      </c>
      <c r="G311" s="92">
        <f t="array" ref="G311">IF(B311="insumo",_xlfn.XLOOKUP($D311,Insumos!$B$1:$B$996,Insumos!$D$1:$D$996),"")</f>
        <v/>
      </c>
      <c r="H311" s="92" t="n">
        <v>1609.666</v>
      </c>
      <c r="I311" s="2162" t="n">
        <v>0</v>
      </c>
      <c r="J311" s="2162" t="n">
        <v>0</v>
      </c>
      <c r="K311" s="2162" t="n"/>
    </row>
    <row r="312" outlineLevel="2" ht="15.75" customHeight="1">
      <c r="A312" s="1067" t="n">
        <v>1</v>
      </c>
      <c r="B312" s="1067" t="inlineStr">
        <is>
          <t>Serviço</t>
        </is>
      </c>
      <c r="C312" s="1067" t="inlineStr">
        <is>
          <t>Armação aço CA-50 ø 6,3mm para estaca (corte e dobra em indústria)</t>
        </is>
      </c>
      <c r="D312" s="1067" t="inlineStr">
        <is>
          <t>Armação aço CA-50 ø 6,3mm para estaca (corte e dobra em indústria)</t>
        </is>
      </c>
      <c r="E312" s="1068" t="inlineStr">
        <is>
          <t>KG</t>
        </is>
      </c>
      <c r="F312" s="1067" t="n"/>
      <c r="G312" s="1069">
        <f t="array" ref="G312">IF(B312="insumo",_xlfn.XLOOKUP($D312,Insumos!$B$1:$B$996,Insumos!$D$1:$D$996),"")</f>
        <v/>
      </c>
      <c r="H312" s="1069" t="n">
        <v>8.964145</v>
      </c>
      <c r="I312" s="2161" t="n">
        <v>3495</v>
      </c>
      <c r="J312" s="2161" t="n">
        <v>31329.686775</v>
      </c>
      <c r="K312" s="2161" t="n"/>
    </row>
    <row r="313" outlineLevel="3" ht="15.75" customHeight="1">
      <c r="A313" s="10" t="n">
        <v>4</v>
      </c>
      <c r="B313" s="10" t="inlineStr">
        <is>
          <t>Insumo</t>
        </is>
      </c>
      <c r="C313" s="10" t="inlineStr">
        <is>
          <t>Armação aço CA-50 ø 6,3mm para estaca (corte e dobra em indústria)</t>
        </is>
      </c>
      <c r="D313" s="10" t="inlineStr">
        <is>
          <t>Aço CA50 6,3 mm Corte e Dobra em Indústria</t>
        </is>
      </c>
      <c r="E313" s="11">
        <f t="array" ref="E313">_xlfn.XLOOKUP(D313,Insumos!B:B,Insumos!C:$C)</f>
        <v/>
      </c>
      <c r="F313" s="14" t="n">
        <v>1</v>
      </c>
      <c r="G313" s="92">
        <f t="array" ref="G313">IF(B313="insumo",_xlfn.XLOOKUP($D313,Insumos!$B$1:$B$996,Insumos!$D$1:$D$996),"")</f>
        <v/>
      </c>
      <c r="H313" s="92" t="n">
        <v>8.67</v>
      </c>
      <c r="I313" s="2162" t="n">
        <v>3495</v>
      </c>
      <c r="J313" s="2162" t="n">
        <v>30301.65</v>
      </c>
      <c r="K313" s="2162" t="n"/>
    </row>
    <row r="314" outlineLevel="3" ht="15.75" customHeight="1">
      <c r="A314" s="10" t="n">
        <v>41</v>
      </c>
      <c r="B314" s="10" t="inlineStr">
        <is>
          <t>Insumo</t>
        </is>
      </c>
      <c r="C314" s="10" t="inlineStr">
        <is>
          <t>Armação aço CA-50 ø 6,3mm para estaca (corte e dobra em indústria)</t>
        </is>
      </c>
      <c r="D314" s="10" t="inlineStr">
        <is>
          <t xml:space="preserve">Arame Galvanizado </t>
        </is>
      </c>
      <c r="E314" s="11">
        <f t="array" ref="E314">_xlfn.XLOOKUP(D314,Insumos!B:B,Insumos!C:$C)</f>
        <v/>
      </c>
      <c r="F314" s="14" t="n">
        <v>0.0205</v>
      </c>
      <c r="G314" s="92">
        <f t="array" ref="G314">IF(B314="insumo",_xlfn.XLOOKUP($D314,Insumos!$B$1:$B$996,Insumos!$D$1:$D$996),"")</f>
        <v/>
      </c>
      <c r="H314" s="92" t="n">
        <v>0.280645</v>
      </c>
      <c r="I314" s="2162" t="n">
        <v>3495</v>
      </c>
      <c r="J314" s="2162" t="n">
        <v>980.854275</v>
      </c>
      <c r="K314" s="2162" t="n"/>
    </row>
    <row r="315" outlineLevel="3" ht="15.75" customHeight="1">
      <c r="A315" s="10" t="n">
        <v>62</v>
      </c>
      <c r="B315" s="10" t="inlineStr">
        <is>
          <t>Insumo</t>
        </is>
      </c>
      <c r="C315" s="10" t="inlineStr">
        <is>
          <t>Armação aço CA-50 ø 6,3mm para estaca (corte e dobra em indústria)</t>
        </is>
      </c>
      <c r="D315" s="10" t="inlineStr">
        <is>
          <t>Espaçador para armadura</t>
        </is>
      </c>
      <c r="E315" s="11">
        <f t="array" ref="E315">_xlfn.XLOOKUP(D315,Insumos!B:B,Insumos!C:$C)</f>
        <v/>
      </c>
      <c r="F315" s="14" t="n">
        <v>0.05</v>
      </c>
      <c r="G315" s="92">
        <f t="array" ref="G315">IF(B315="insumo",_xlfn.XLOOKUP($D315,Insumos!$B$1:$B$996,Insumos!$D$1:$D$996),"")</f>
        <v/>
      </c>
      <c r="H315" s="92" t="n">
        <v>0.0135</v>
      </c>
      <c r="I315" s="2162" t="n">
        <v>3495</v>
      </c>
      <c r="J315" s="2162" t="n">
        <v>47.1825</v>
      </c>
      <c r="K315" s="2162" t="n"/>
    </row>
    <row r="316" outlineLevel="2" ht="15.75" customHeight="1">
      <c r="A316" s="1067" t="n">
        <v>1</v>
      </c>
      <c r="B316" s="1067" t="inlineStr">
        <is>
          <t>Serviço</t>
        </is>
      </c>
      <c r="C316" s="1067" t="inlineStr">
        <is>
          <t>Armação aço CA-50 ø 20,0mm para estaca (corte e dobra em indústria)</t>
        </is>
      </c>
      <c r="D316" s="1067" t="inlineStr">
        <is>
          <t>Armação aço CA-50 ø 20,0mm para estaca (corte e dobra em indústria)</t>
        </is>
      </c>
      <c r="E316" s="1068" t="inlineStr">
        <is>
          <t>KG</t>
        </is>
      </c>
      <c r="F316" s="1067" t="n"/>
      <c r="G316" s="1069">
        <f t="array" ref="G316">IF(B316="insumo",_xlfn.XLOOKUP($D316,Insumos!$B$1:$B$996,Insumos!$D$1:$D$996),"")</f>
        <v/>
      </c>
      <c r="H316" s="1069" t="n">
        <v>8.484145</v>
      </c>
      <c r="I316" s="2161" t="n">
        <v>31530</v>
      </c>
      <c r="J316" s="2161" t="n">
        <v>267505.09185</v>
      </c>
      <c r="K316" s="2161" t="n"/>
    </row>
    <row r="317" outlineLevel="3" ht="15.75" customHeight="1">
      <c r="A317" s="10" t="n">
        <v>4</v>
      </c>
      <c r="B317" s="10" t="inlineStr">
        <is>
          <t>Insumo</t>
        </is>
      </c>
      <c r="C317" s="10" t="inlineStr">
        <is>
          <t>Armação aço CA-50 ø 20,0mm para estaca (corte e dobra em indústria)</t>
        </is>
      </c>
      <c r="D317" s="10" t="inlineStr">
        <is>
          <t>Aço CA50 20,0 mm Corte e Dobra em Indústria</t>
        </is>
      </c>
      <c r="E317" s="11">
        <f t="array" ref="E317">_xlfn.XLOOKUP(D317,Insumos!B:B,Insumos!C:$C)</f>
        <v/>
      </c>
      <c r="F317" s="14" t="n">
        <v>1</v>
      </c>
      <c r="G317" s="92">
        <f t="array" ref="G317">IF(B317="insumo",_xlfn.XLOOKUP($D317,Insumos!$B$1:$B$996,Insumos!$D$1:$D$996),"")</f>
        <v/>
      </c>
      <c r="H317" s="92" t="n">
        <v>8.19</v>
      </c>
      <c r="I317" s="2162" t="n">
        <v>31530</v>
      </c>
      <c r="J317" s="2162" t="n">
        <v>258230.7</v>
      </c>
      <c r="K317" s="2162" t="n"/>
    </row>
    <row r="318" outlineLevel="3" ht="15.75" customHeight="1">
      <c r="A318" s="10" t="n">
        <v>41</v>
      </c>
      <c r="B318" s="10" t="inlineStr">
        <is>
          <t>Insumo</t>
        </is>
      </c>
      <c r="C318" s="10" t="inlineStr">
        <is>
          <t>Armação aço CA-50 ø 20,0mm para estaca (corte e dobra em indústria)</t>
        </is>
      </c>
      <c r="D318" s="10" t="inlineStr">
        <is>
          <t xml:space="preserve">Arame Galvanizado </t>
        </is>
      </c>
      <c r="E318" s="11">
        <f t="array" ref="E318">_xlfn.XLOOKUP(D318,Insumos!B:B,Insumos!C:$C)</f>
        <v/>
      </c>
      <c r="F318" s="14" t="n">
        <v>0.0205</v>
      </c>
      <c r="G318" s="92">
        <f t="array" ref="G318">IF(B318="insumo",_xlfn.XLOOKUP($D318,Insumos!$B$1:$B$996,Insumos!$D$1:$D$996),"")</f>
        <v/>
      </c>
      <c r="H318" s="92" t="n">
        <v>0.280645</v>
      </c>
      <c r="I318" s="2162" t="n">
        <v>31530</v>
      </c>
      <c r="J318" s="2162" t="n">
        <v>8848.736849999999</v>
      </c>
      <c r="K318" s="2162" t="n"/>
    </row>
    <row r="319" outlineLevel="3" ht="15.75" customHeight="1">
      <c r="A319" s="10" t="n">
        <v>62</v>
      </c>
      <c r="B319" s="10" t="inlineStr">
        <is>
          <t>Insumo</t>
        </is>
      </c>
      <c r="C319" s="10" t="inlineStr">
        <is>
          <t>Armação aço CA-50 ø 20,0mm para estaca (corte e dobra em indústria)</t>
        </is>
      </c>
      <c r="D319" s="10" t="inlineStr">
        <is>
          <t>Espaçador para armadura</t>
        </is>
      </c>
      <c r="E319" s="11">
        <f t="array" ref="E319">_xlfn.XLOOKUP(D319,Insumos!B:B,Insumos!C:$C)</f>
        <v/>
      </c>
      <c r="F319" s="14" t="n">
        <v>0.05</v>
      </c>
      <c r="G319" s="92">
        <f t="array" ref="G319">IF(B319="insumo",_xlfn.XLOOKUP($D319,Insumos!$B$1:$B$996,Insumos!$D$1:$D$996),"")</f>
        <v/>
      </c>
      <c r="H319" s="92" t="n">
        <v>0.0135</v>
      </c>
      <c r="I319" s="2162" t="n">
        <v>31530</v>
      </c>
      <c r="J319" s="2162" t="n">
        <v>425.655</v>
      </c>
      <c r="K319" s="2162" t="n"/>
    </row>
    <row r="320" outlineLevel="2" ht="15.75" customHeight="1">
      <c r="A320" s="1067" t="n">
        <v>1</v>
      </c>
      <c r="B320" s="1067" t="inlineStr">
        <is>
          <t>Serviço</t>
        </is>
      </c>
      <c r="C320" s="1067" t="inlineStr">
        <is>
          <t>Armação aço CA-50 ø 6,3mm para estaca (corte e dobra em obra)</t>
        </is>
      </c>
      <c r="D320" s="1067" t="inlineStr">
        <is>
          <t>Armação aço CA-50 ø 6,3mm para estaca (corte e dobra em obra)</t>
        </is>
      </c>
      <c r="E320" s="1068" t="inlineStr">
        <is>
          <t>KG</t>
        </is>
      </c>
      <c r="F320" s="1067" t="n"/>
      <c r="G320" s="1069">
        <f t="array" ref="G320">IF(B320="insumo",_xlfn.XLOOKUP($D320,Insumos!$B$1:$B$996,Insumos!$D$1:$D$996),"")</f>
        <v/>
      </c>
      <c r="H320" s="1069" t="n">
        <v>6.0795673937957</v>
      </c>
      <c r="I320" s="2161" t="n">
        <v>0</v>
      </c>
      <c r="J320" s="2161" t="n">
        <v>0</v>
      </c>
      <c r="K320" s="2161" t="n"/>
    </row>
    <row r="321" outlineLevel="3" ht="15.75" customHeight="1">
      <c r="A321" s="10" t="n">
        <v>4</v>
      </c>
      <c r="B321" s="10" t="inlineStr">
        <is>
          <t>Insumo</t>
        </is>
      </c>
      <c r="C321" s="10" t="inlineStr">
        <is>
          <t>Armação aço CA-50 ø 6,3mm para estaca (corte e dobra em obra)</t>
        </is>
      </c>
      <c r="D321" s="10" t="inlineStr">
        <is>
          <t>Aço CA50 6,3 mm</t>
        </is>
      </c>
      <c r="E321" s="11">
        <f t="array" ref="E321">_xlfn.XLOOKUP(D321,Insumos!B:B,Insumos!C:$C)</f>
        <v/>
      </c>
      <c r="F321" s="14" t="n">
        <v>1.1</v>
      </c>
      <c r="G321" s="92">
        <f t="array" ref="G321">IF(B321="insumo",_xlfn.XLOOKUP($D321,Insumos!$B$1:$B$996,Insumos!$D$1:$D$996),"")</f>
        <v/>
      </c>
      <c r="H321" s="92" t="n">
        <v>5.7854223937957</v>
      </c>
      <c r="I321" s="2162" t="n">
        <v>0</v>
      </c>
      <c r="J321" s="2162" t="n">
        <v>0</v>
      </c>
      <c r="K321" s="2162" t="n"/>
    </row>
    <row r="322" outlineLevel="3" ht="15.75" customHeight="1">
      <c r="A322" s="10" t="n">
        <v>41</v>
      </c>
      <c r="B322" s="10" t="inlineStr">
        <is>
          <t>Insumo</t>
        </is>
      </c>
      <c r="C322" s="10" t="inlineStr">
        <is>
          <t>Armação aço CA-50 ø 6,3mm para estaca (corte e dobra em obra)</t>
        </is>
      </c>
      <c r="D322" s="10" t="inlineStr">
        <is>
          <t xml:space="preserve">Arame Galvanizado </t>
        </is>
      </c>
      <c r="E322" s="11">
        <f t="array" ref="E322">_xlfn.XLOOKUP(D322,Insumos!B:B,Insumos!C:$C)</f>
        <v/>
      </c>
      <c r="F322" s="14" t="n">
        <v>0.0205</v>
      </c>
      <c r="G322" s="92">
        <f t="array" ref="G322">IF(B322="insumo",_xlfn.XLOOKUP($D322,Insumos!$B$1:$B$996,Insumos!$D$1:$D$996),"")</f>
        <v/>
      </c>
      <c r="H322" s="92" t="n">
        <v>0.280645</v>
      </c>
      <c r="I322" s="2162" t="n">
        <v>0</v>
      </c>
      <c r="J322" s="2162" t="n">
        <v>0</v>
      </c>
      <c r="K322" s="2162" t="n"/>
    </row>
    <row r="323" outlineLevel="3" ht="15.75" customHeight="1">
      <c r="A323" s="10" t="n">
        <v>62</v>
      </c>
      <c r="B323" s="10" t="inlineStr">
        <is>
          <t>Insumo</t>
        </is>
      </c>
      <c r="C323" s="10" t="inlineStr">
        <is>
          <t>Armação aço CA-50 ø 6,3mm para estaca (corte e dobra em obra)</t>
        </is>
      </c>
      <c r="D323" s="10" t="inlineStr">
        <is>
          <t>Espaçador para armadura</t>
        </is>
      </c>
      <c r="E323" s="11">
        <f t="array" ref="E323">_xlfn.XLOOKUP(D323,Insumos!B:B,Insumos!C:$C)</f>
        <v/>
      </c>
      <c r="F323" s="14" t="n">
        <v>0.05</v>
      </c>
      <c r="G323" s="92">
        <f t="array" ref="G323">IF(B323="insumo",_xlfn.XLOOKUP($D323,Insumos!$B$1:$B$996,Insumos!$D$1:$D$996),"")</f>
        <v/>
      </c>
      <c r="H323" s="92" t="n">
        <v>0.0135</v>
      </c>
      <c r="I323" s="2162" t="n">
        <v>0</v>
      </c>
      <c r="J323" s="2162" t="n">
        <v>0</v>
      </c>
      <c r="K323" s="2162" t="n"/>
    </row>
    <row r="324" outlineLevel="2" ht="15.75" customHeight="1">
      <c r="A324" s="1067" t="n">
        <v>1</v>
      </c>
      <c r="B324" s="1067" t="inlineStr">
        <is>
          <t>Serviço</t>
        </is>
      </c>
      <c r="C324" s="1067" t="inlineStr">
        <is>
          <t>Armação aço CA-50 ø 8,0mm para estaca (corte e dobra em obra)</t>
        </is>
      </c>
      <c r="D324" s="1067" t="inlineStr">
        <is>
          <t>Armação aço CA-50 ø 8,0mm para estaca (corte e dobra em obra)</t>
        </is>
      </c>
      <c r="E324" s="1068" t="inlineStr">
        <is>
          <t>KG</t>
        </is>
      </c>
      <c r="F324" s="1067" t="n"/>
      <c r="G324" s="1069">
        <f t="array" ref="G324">IF(B324="insumo",_xlfn.XLOOKUP($D324,Insumos!$B$1:$B$996,Insumos!$D$1:$D$996),"")</f>
        <v/>
      </c>
      <c r="H324" s="1069" t="n">
        <v>5.71148765890462</v>
      </c>
      <c r="I324" s="2161" t="n">
        <v>0</v>
      </c>
      <c r="J324" s="2161" t="n">
        <v>0</v>
      </c>
      <c r="K324" s="2161" t="n"/>
    </row>
    <row r="325" outlineLevel="3" ht="15.75" customHeight="1">
      <c r="A325" s="10" t="n">
        <v>5</v>
      </c>
      <c r="B325" s="10" t="inlineStr">
        <is>
          <t>Insumo</t>
        </is>
      </c>
      <c r="C325" s="10" t="inlineStr">
        <is>
          <t>Armação aço CA-50 ø 8,0mm para estaca (corte e dobra em obra)</t>
        </is>
      </c>
      <c r="D325" s="10" t="inlineStr">
        <is>
          <t>Aço CA50 8,0 mm</t>
        </is>
      </c>
      <c r="E325" s="11">
        <f t="array" ref="E325">_xlfn.XLOOKUP(D325,Insumos!B:B,Insumos!C:$C)</f>
        <v/>
      </c>
      <c r="F325" s="14" t="n">
        <v>1.1</v>
      </c>
      <c r="G325" s="92">
        <f t="array" ref="G325">IF(B325="insumo",_xlfn.XLOOKUP($D325,Insumos!$B$1:$B$996,Insumos!$D$1:$D$996),"")</f>
        <v/>
      </c>
      <c r="H325" s="92" t="n">
        <v>5.41734265890462</v>
      </c>
      <c r="I325" s="2162" t="n">
        <v>0</v>
      </c>
      <c r="J325" s="2162" t="n">
        <v>0</v>
      </c>
      <c r="K325" s="2162" t="n"/>
    </row>
    <row r="326" outlineLevel="3" ht="15.75" customHeight="1">
      <c r="A326" s="10" t="n">
        <v>41</v>
      </c>
      <c r="B326" s="10" t="inlineStr">
        <is>
          <t>Insumo</t>
        </is>
      </c>
      <c r="C326" s="10" t="inlineStr">
        <is>
          <t>Armação aço CA-50 ø 8,0mm para estaca (corte e dobra em obra)</t>
        </is>
      </c>
      <c r="D326" s="10" t="inlineStr">
        <is>
          <t xml:space="preserve">Arame Galvanizado </t>
        </is>
      </c>
      <c r="E326" s="11">
        <f t="array" ref="E326">_xlfn.XLOOKUP(D326,Insumos!B:B,Insumos!C:$C)</f>
        <v/>
      </c>
      <c r="F326" s="14" t="n">
        <v>0.0205</v>
      </c>
      <c r="G326" s="92">
        <f t="array" ref="G326">IF(B326="insumo",_xlfn.XLOOKUP($D326,Insumos!$B$1:$B$996,Insumos!$D$1:$D$996),"")</f>
        <v/>
      </c>
      <c r="H326" s="92" t="n">
        <v>0.280645</v>
      </c>
      <c r="I326" s="2162" t="n">
        <v>0</v>
      </c>
      <c r="J326" s="2162" t="n">
        <v>0</v>
      </c>
      <c r="K326" s="2162" t="n"/>
    </row>
    <row r="327" outlineLevel="3" ht="15.75" customHeight="1">
      <c r="A327" s="10" t="n">
        <v>62</v>
      </c>
      <c r="B327" s="10" t="inlineStr">
        <is>
          <t>Insumo</t>
        </is>
      </c>
      <c r="C327" s="10" t="inlineStr">
        <is>
          <t>Armação aço CA-50 ø 8,0mm para estaca (corte e dobra em obra)</t>
        </is>
      </c>
      <c r="D327" s="10" t="inlineStr">
        <is>
          <t>Espaçador para armadura</t>
        </is>
      </c>
      <c r="E327" s="11">
        <f t="array" ref="E327">_xlfn.XLOOKUP(D327,Insumos!B:B,Insumos!C:$C)</f>
        <v/>
      </c>
      <c r="F327" s="14" t="n">
        <v>0.05</v>
      </c>
      <c r="G327" s="92">
        <f t="array" ref="G327">IF(B327="insumo",_xlfn.XLOOKUP($D327,Insumos!$B$1:$B$996,Insumos!$D$1:$D$996),"")</f>
        <v/>
      </c>
      <c r="H327" s="92" t="n">
        <v>0.0135</v>
      </c>
      <c r="I327" s="2162" t="n">
        <v>0</v>
      </c>
      <c r="J327" s="2162" t="n">
        <v>0</v>
      </c>
      <c r="K327" s="2162" t="n"/>
    </row>
    <row r="328" outlineLevel="2" ht="15.75" customHeight="1">
      <c r="A328" s="1067" t="n">
        <v>1</v>
      </c>
      <c r="B328" s="1067" t="inlineStr">
        <is>
          <t>Serviço</t>
        </is>
      </c>
      <c r="C328" s="1067" t="inlineStr">
        <is>
          <t>Armação aço CA-50 ø 10,0mm para estaca (corte e dobra em obra)</t>
        </is>
      </c>
      <c r="D328" s="1067" t="inlineStr">
        <is>
          <t>Armação aço CA-50 ø 10,0mm para estaca (corte e dobra em obra)</t>
        </is>
      </c>
      <c r="E328" s="1068" t="inlineStr">
        <is>
          <t>KG</t>
        </is>
      </c>
      <c r="F328" s="1067" t="n"/>
      <c r="G328" s="1069">
        <f t="array" ref="G328">IF(B328="insumo",_xlfn.XLOOKUP($D328,Insumos!$B$1:$B$996,Insumos!$D$1:$D$996),"")</f>
        <v/>
      </c>
      <c r="H328" s="1069" t="n">
        <v>5.57489771932025</v>
      </c>
      <c r="I328" s="2161" t="n">
        <v>0</v>
      </c>
      <c r="J328" s="2161" t="n">
        <v>0</v>
      </c>
      <c r="K328" s="2161" t="n"/>
    </row>
    <row r="329" outlineLevel="3" ht="15.75" customHeight="1">
      <c r="A329" s="10" t="n">
        <v>4</v>
      </c>
      <c r="B329" s="10" t="inlineStr">
        <is>
          <t>Insumo</t>
        </is>
      </c>
      <c r="C329" s="10" t="inlineStr">
        <is>
          <t>Armação aço CA-50 ø 10,0mm para estaca (corte e dobra em obra)</t>
        </is>
      </c>
      <c r="D329" s="10" t="inlineStr">
        <is>
          <t>Aço CA50 10,0 mm</t>
        </is>
      </c>
      <c r="E329" s="11">
        <f t="array" ref="E329">_xlfn.XLOOKUP(D329,Insumos!B:B,Insumos!C:$C)</f>
        <v/>
      </c>
      <c r="F329" s="14" t="n">
        <v>1.1</v>
      </c>
      <c r="G329" s="92">
        <f t="array" ref="G329">IF(B329="insumo",_xlfn.XLOOKUP($D329,Insumos!$B$1:$B$996,Insumos!$D$1:$D$996),"")</f>
        <v/>
      </c>
      <c r="H329" s="92" t="n">
        <v>5.28075271932025</v>
      </c>
      <c r="I329" s="2162" t="n">
        <v>0</v>
      </c>
      <c r="J329" s="2162" t="n">
        <v>0</v>
      </c>
      <c r="K329" s="2162" t="n"/>
    </row>
    <row r="330" outlineLevel="3" ht="15.75" customHeight="1">
      <c r="A330" s="10" t="n">
        <v>41</v>
      </c>
      <c r="B330" s="10" t="inlineStr">
        <is>
          <t>Insumo</t>
        </is>
      </c>
      <c r="C330" s="10" t="inlineStr">
        <is>
          <t>Armação aço CA-50 ø 10,0mm para estaca (corte e dobra em obra)</t>
        </is>
      </c>
      <c r="D330" s="10" t="inlineStr">
        <is>
          <t xml:space="preserve">Arame Galvanizado </t>
        </is>
      </c>
      <c r="E330" s="11">
        <f t="array" ref="E330">_xlfn.XLOOKUP(D330,Insumos!B:B,Insumos!C:$C)</f>
        <v/>
      </c>
      <c r="F330" s="14" t="n">
        <v>0.0205</v>
      </c>
      <c r="G330" s="92">
        <f t="array" ref="G330">IF(B330="insumo",_xlfn.XLOOKUP($D330,Insumos!$B$1:$B$996,Insumos!$D$1:$D$996),"")</f>
        <v/>
      </c>
      <c r="H330" s="92" t="n">
        <v>0.280645</v>
      </c>
      <c r="I330" s="2162" t="n">
        <v>0</v>
      </c>
      <c r="J330" s="2162" t="n">
        <v>0</v>
      </c>
      <c r="K330" s="2162" t="n"/>
    </row>
    <row r="331" outlineLevel="3" ht="15.75" customHeight="1">
      <c r="A331" s="10" t="n">
        <v>62</v>
      </c>
      <c r="B331" s="10" t="inlineStr">
        <is>
          <t>Insumo</t>
        </is>
      </c>
      <c r="C331" s="10" t="inlineStr">
        <is>
          <t>Armação aço CA-50 ø 10,0mm para estaca (corte e dobra em obra)</t>
        </is>
      </c>
      <c r="D331" s="10" t="inlineStr">
        <is>
          <t>Espaçador para armadura</t>
        </is>
      </c>
      <c r="E331" s="11">
        <f t="array" ref="E331">_xlfn.XLOOKUP(D331,Insumos!B:B,Insumos!C:$C)</f>
        <v/>
      </c>
      <c r="F331" s="14" t="n">
        <v>0.05</v>
      </c>
      <c r="G331" s="92">
        <f t="array" ref="G331">IF(B331="insumo",_xlfn.XLOOKUP($D331,Insumos!$B$1:$B$996,Insumos!$D$1:$D$996),"")</f>
        <v/>
      </c>
      <c r="H331" s="92" t="n">
        <v>0.0135</v>
      </c>
      <c r="I331" s="2162" t="n">
        <v>0</v>
      </c>
      <c r="J331" s="2162" t="n">
        <v>0</v>
      </c>
      <c r="K331" s="2162" t="n"/>
    </row>
    <row r="332" outlineLevel="2" ht="15.75" customHeight="1">
      <c r="A332" s="1067" t="n">
        <v>1</v>
      </c>
      <c r="B332" s="1067" t="inlineStr">
        <is>
          <t>Serviço</t>
        </is>
      </c>
      <c r="C332" s="1067" t="inlineStr">
        <is>
          <t>Armação aço CA-50 ø 16,0mm para estaca (corte e dobra em obra)</t>
        </is>
      </c>
      <c r="D332" s="1067" t="inlineStr">
        <is>
          <t>Armação aço CA-50 ø 16,0mm para estaca (corte e dobra em obra)</t>
        </is>
      </c>
      <c r="E332" s="1068" t="inlineStr">
        <is>
          <t>KG</t>
        </is>
      </c>
      <c r="F332" s="1067" t="n"/>
      <c r="G332" s="1069">
        <f t="array" ref="G332">IF(B332="insumo",_xlfn.XLOOKUP($D332,Insumos!$B$1:$B$996,Insumos!$D$1:$D$996),"")</f>
        <v/>
      </c>
      <c r="H332" s="1069" t="n">
        <v>5.72876144939818</v>
      </c>
      <c r="I332" s="2161" t="n">
        <v>0</v>
      </c>
      <c r="J332" s="2161" t="n">
        <v>0</v>
      </c>
      <c r="K332" s="2161" t="n"/>
    </row>
    <row r="333" outlineLevel="3" ht="15.75" customHeight="1">
      <c r="A333" s="10" t="n">
        <v>4</v>
      </c>
      <c r="B333" s="10" t="inlineStr">
        <is>
          <t>Insumo</t>
        </is>
      </c>
      <c r="C333" s="10" t="inlineStr">
        <is>
          <t>Armação aço CA-50 ø 16,0mm para estaca (corte e dobra em obra)</t>
        </is>
      </c>
      <c r="D333" s="10" t="inlineStr">
        <is>
          <t>Aço CA50 16,0mm</t>
        </is>
      </c>
      <c r="E333" s="11">
        <f t="array" ref="E333">_xlfn.XLOOKUP(D333,Insumos!B:B,Insumos!C:$C)</f>
        <v/>
      </c>
      <c r="F333" s="14" t="n">
        <v>1.1</v>
      </c>
      <c r="G333" s="92">
        <f t="array" ref="G333">IF(B333="insumo",_xlfn.XLOOKUP($D333,Insumos!$B$1:$B$996,Insumos!$D$1:$D$996),"")</f>
        <v/>
      </c>
      <c r="H333" s="92" t="n">
        <v>5.43461644939818</v>
      </c>
      <c r="I333" s="2162" t="n">
        <v>0</v>
      </c>
      <c r="J333" s="2162" t="n">
        <v>0</v>
      </c>
      <c r="K333" s="2162" t="n"/>
    </row>
    <row r="334" outlineLevel="3" ht="15.75" customHeight="1">
      <c r="A334" s="10" t="n">
        <v>41</v>
      </c>
      <c r="B334" s="10" t="inlineStr">
        <is>
          <t>Insumo</t>
        </is>
      </c>
      <c r="C334" s="10" t="inlineStr">
        <is>
          <t>Armação aço CA-50 ø 16,0mm para estaca (corte e dobra em obra)</t>
        </is>
      </c>
      <c r="D334" s="10" t="inlineStr">
        <is>
          <t xml:space="preserve">Arame Galvanizado </t>
        </is>
      </c>
      <c r="E334" s="11">
        <f t="array" ref="E334">_xlfn.XLOOKUP(D334,Insumos!B:B,Insumos!C:$C)</f>
        <v/>
      </c>
      <c r="F334" s="14" t="n">
        <v>0.0205</v>
      </c>
      <c r="G334" s="92">
        <f t="array" ref="G334">IF(B334="insumo",_xlfn.XLOOKUP($D334,Insumos!$B$1:$B$996,Insumos!$D$1:$D$996),"")</f>
        <v/>
      </c>
      <c r="H334" s="92" t="n">
        <v>0.280645</v>
      </c>
      <c r="I334" s="2162" t="n">
        <v>0</v>
      </c>
      <c r="J334" s="2162" t="n">
        <v>0</v>
      </c>
      <c r="K334" s="2162" t="n"/>
    </row>
    <row r="335" outlineLevel="3" ht="15.75" customHeight="1">
      <c r="A335" s="10" t="n">
        <v>62</v>
      </c>
      <c r="B335" s="10" t="inlineStr">
        <is>
          <t>Insumo</t>
        </is>
      </c>
      <c r="C335" s="10" t="inlineStr">
        <is>
          <t>Armação aço CA-50 ø 16,0mm para estaca (corte e dobra em obra)</t>
        </is>
      </c>
      <c r="D335" s="10" t="inlineStr">
        <is>
          <t>Espaçador para armadura</t>
        </is>
      </c>
      <c r="E335" s="11">
        <f t="array" ref="E335">_xlfn.XLOOKUP(D335,Insumos!B:B,Insumos!C:$C)</f>
        <v/>
      </c>
      <c r="F335" s="14" t="n">
        <v>0.05</v>
      </c>
      <c r="G335" s="92">
        <f t="array" ref="G335">IF(B335="insumo",_xlfn.XLOOKUP($D335,Insumos!$B$1:$B$996,Insumos!$D$1:$D$996),"")</f>
        <v/>
      </c>
      <c r="H335" s="92" t="n">
        <v>0.0135</v>
      </c>
      <c r="I335" s="2162" t="n">
        <v>0</v>
      </c>
      <c r="J335" s="2162" t="n">
        <v>0</v>
      </c>
      <c r="K335" s="2162" t="n"/>
    </row>
    <row r="336" outlineLevel="2" ht="15.75" customHeight="1">
      <c r="A336" s="1067" t="n">
        <v>1</v>
      </c>
      <c r="B336" s="1067" t="inlineStr">
        <is>
          <t>Serviço</t>
        </is>
      </c>
      <c r="C336" s="1067" t="inlineStr">
        <is>
          <t>Armação aço CA-50 ø 20,0mm para estaca (corte e dobra em obra)</t>
        </is>
      </c>
      <c r="D336" s="1067" t="inlineStr">
        <is>
          <t>Armação aço CA-50 ø 20,0mm para estaca (corte e dobra em obra)</t>
        </is>
      </c>
      <c r="E336" s="1068" t="inlineStr">
        <is>
          <t>KG</t>
        </is>
      </c>
      <c r="F336" s="1067" t="n"/>
      <c r="G336" s="1069">
        <f t="array" ref="G336">IF(B336="insumo",_xlfn.XLOOKUP($D336,Insumos!$B$1:$B$996,Insumos!$D$1:$D$996),"")</f>
        <v/>
      </c>
      <c r="H336" s="1069" t="n">
        <v>5.83202387420167</v>
      </c>
      <c r="I336" s="2161" t="n">
        <v>0</v>
      </c>
      <c r="J336" s="2161" t="n">
        <v>0</v>
      </c>
      <c r="K336" s="2161" t="n"/>
    </row>
    <row r="337" outlineLevel="3" ht="15.75" customHeight="1">
      <c r="A337" s="10" t="n">
        <v>4</v>
      </c>
      <c r="B337" s="10" t="inlineStr">
        <is>
          <t>Insumo</t>
        </is>
      </c>
      <c r="C337" s="10" t="inlineStr">
        <is>
          <t>Armação aço CA-50 ø 20,0mm para estaca (corte e dobra em obra)</t>
        </is>
      </c>
      <c r="D337" s="10" t="inlineStr">
        <is>
          <t>Aço CA50 20,0mm</t>
        </is>
      </c>
      <c r="E337" s="11">
        <f t="array" ref="E337">_xlfn.XLOOKUP(D337,Insumos!B:B,Insumos!C:$C)</f>
        <v/>
      </c>
      <c r="F337" s="14" t="n">
        <v>1.1</v>
      </c>
      <c r="G337" s="92">
        <f t="array" ref="G337">IF(B337="insumo",_xlfn.XLOOKUP($D337,Insumos!$B$1:$B$996,Insumos!$D$1:$D$996),"")</f>
        <v/>
      </c>
      <c r="H337" s="92" t="n">
        <v>5.53787887420167</v>
      </c>
      <c r="I337" s="2162" t="n">
        <v>0</v>
      </c>
      <c r="J337" s="2162" t="n">
        <v>0</v>
      </c>
      <c r="K337" s="2162" t="n"/>
    </row>
    <row r="338" outlineLevel="3" ht="15.75" customHeight="1">
      <c r="A338" s="10" t="n">
        <v>41</v>
      </c>
      <c r="B338" s="10" t="inlineStr">
        <is>
          <t>Insumo</t>
        </is>
      </c>
      <c r="C338" s="10" t="inlineStr">
        <is>
          <t>Armação aço CA-50 ø 20,0mm para estaca (corte e dobra em obra)</t>
        </is>
      </c>
      <c r="D338" s="10" t="inlineStr">
        <is>
          <t xml:space="preserve">Arame Galvanizado </t>
        </is>
      </c>
      <c r="E338" s="11">
        <f t="array" ref="E338">_xlfn.XLOOKUP(D338,Insumos!B:B,Insumos!C:$C)</f>
        <v/>
      </c>
      <c r="F338" s="14" t="n">
        <v>0.0205</v>
      </c>
      <c r="G338" s="92">
        <f t="array" ref="G338">IF(B338="insumo",_xlfn.XLOOKUP($D338,Insumos!$B$1:$B$996,Insumos!$D$1:$D$996),"")</f>
        <v/>
      </c>
      <c r="H338" s="92" t="n">
        <v>0.280645</v>
      </c>
      <c r="I338" s="2162" t="n">
        <v>0</v>
      </c>
      <c r="J338" s="2162" t="n">
        <v>0</v>
      </c>
      <c r="K338" s="2162" t="n"/>
    </row>
    <row r="339" outlineLevel="3" ht="15.75" customHeight="1">
      <c r="A339" s="10" t="n">
        <v>62</v>
      </c>
      <c r="B339" s="10" t="inlineStr">
        <is>
          <t>Insumo</t>
        </is>
      </c>
      <c r="C339" s="10" t="inlineStr">
        <is>
          <t>Armação aço CA-50 ø 20,0mm para estaca (corte e dobra em obra)</t>
        </is>
      </c>
      <c r="D339" s="10" t="inlineStr">
        <is>
          <t>Espaçador para armadura</t>
        </is>
      </c>
      <c r="E339" s="11">
        <f t="array" ref="E339">_xlfn.XLOOKUP(D339,Insumos!B:B,Insumos!C:$C)</f>
        <v/>
      </c>
      <c r="F339" s="14" t="n">
        <v>0.05</v>
      </c>
      <c r="G339" s="92">
        <f t="array" ref="G339">IF(B339="insumo",_xlfn.XLOOKUP($D339,Insumos!$B$1:$B$996,Insumos!$D$1:$D$996),"")</f>
        <v/>
      </c>
      <c r="H339" s="92" t="n">
        <v>0.0135</v>
      </c>
      <c r="I339" s="2162" t="n">
        <v>0</v>
      </c>
      <c r="J339" s="2162" t="n">
        <v>0</v>
      </c>
      <c r="K339" s="2162" t="n"/>
    </row>
    <row r="340" outlineLevel="2" ht="15.75" customHeight="1">
      <c r="A340" s="1067" t="n">
        <v>1</v>
      </c>
      <c r="B340" s="1067" t="inlineStr">
        <is>
          <t>Serviço</t>
        </is>
      </c>
      <c r="C340" s="1067" t="inlineStr">
        <is>
          <t xml:space="preserve">Armação aço CA-60 ø 5,00mm para estaca (corte e dobra em obra) </t>
        </is>
      </c>
      <c r="D340" s="1067" t="inlineStr">
        <is>
          <t xml:space="preserve">Armação aço CA-60 ø 5,00mm para estaca (corte e dobra em obra) </t>
        </is>
      </c>
      <c r="E340" s="1068" t="inlineStr">
        <is>
          <t>KG</t>
        </is>
      </c>
      <c r="F340" s="1067" t="n"/>
      <c r="G340" s="1069">
        <f t="array" ref="G340">IF(B340="insumo",_xlfn.XLOOKUP($D340,Insumos!$B$1:$B$996,Insumos!$D$1:$D$996),"")</f>
        <v/>
      </c>
      <c r="H340" s="1069" t="n">
        <v>7.0532266249184</v>
      </c>
      <c r="I340" s="2161" t="n">
        <v>0</v>
      </c>
      <c r="J340" s="2161" t="n">
        <v>0</v>
      </c>
      <c r="K340" s="2161" t="n"/>
    </row>
    <row r="341" outlineLevel="3" ht="15.75" customHeight="1">
      <c r="A341" s="10" t="n">
        <v>5</v>
      </c>
      <c r="B341" s="10" t="inlineStr">
        <is>
          <t>Insumo</t>
        </is>
      </c>
      <c r="C341" s="10" t="inlineStr">
        <is>
          <t xml:space="preserve">Armação aço CA-60 ø 5,00mm para estaca (corte e dobra em obra) </t>
        </is>
      </c>
      <c r="D341" s="10" t="inlineStr">
        <is>
          <t>Aço CA60 5,0mm</t>
        </is>
      </c>
      <c r="E341" s="11">
        <f t="array" ref="E341">_xlfn.XLOOKUP(D341,Insumos!B:B,Insumos!C:$C)</f>
        <v/>
      </c>
      <c r="F341" s="14" t="n">
        <v>1.1</v>
      </c>
      <c r="G341" s="92">
        <f t="array" ref="G341">IF(B341="insumo",_xlfn.XLOOKUP($D341,Insumos!$B$1:$B$996,Insumos!$D$1:$D$996),"")</f>
        <v/>
      </c>
      <c r="H341" s="92" t="n">
        <v>6.7590816249184</v>
      </c>
      <c r="I341" s="2162" t="n">
        <v>0</v>
      </c>
      <c r="J341" s="2162" t="n">
        <v>0</v>
      </c>
      <c r="K341" s="2162" t="n"/>
    </row>
    <row r="342" outlineLevel="3" ht="15.75" customHeight="1">
      <c r="A342" s="10" t="n">
        <v>41</v>
      </c>
      <c r="B342" s="10" t="inlineStr">
        <is>
          <t>Insumo</t>
        </is>
      </c>
      <c r="C342" s="10" t="inlineStr">
        <is>
          <t xml:space="preserve">Armação aço CA-60 ø 5,00mm para estaca (corte e dobra em obra) </t>
        </is>
      </c>
      <c r="D342" s="10" t="inlineStr">
        <is>
          <t xml:space="preserve">Arame Galvanizado </t>
        </is>
      </c>
      <c r="E342" s="11">
        <f t="array" ref="E342">_xlfn.XLOOKUP(D342,Insumos!B:B,Insumos!C:$C)</f>
        <v/>
      </c>
      <c r="F342" s="14" t="n">
        <v>0.0205</v>
      </c>
      <c r="G342" s="92">
        <f t="array" ref="G342">IF(B342="insumo",_xlfn.XLOOKUP($D342,Insumos!$B$1:$B$996,Insumos!$D$1:$D$996),"")</f>
        <v/>
      </c>
      <c r="H342" s="92" t="n">
        <v>0.280645</v>
      </c>
      <c r="I342" s="2162" t="n">
        <v>0</v>
      </c>
      <c r="J342" s="2162" t="n">
        <v>0</v>
      </c>
      <c r="K342" s="2162" t="n"/>
    </row>
    <row r="343" outlineLevel="3" ht="15.75" customHeight="1">
      <c r="A343" s="10" t="n">
        <v>62</v>
      </c>
      <c r="B343" s="10" t="inlineStr">
        <is>
          <t>Insumo</t>
        </is>
      </c>
      <c r="C343" s="10" t="inlineStr">
        <is>
          <t xml:space="preserve">Armação aço CA-60 ø 5,00mm para estaca (corte e dobra em obra) </t>
        </is>
      </c>
      <c r="D343" s="10" t="inlineStr">
        <is>
          <t>Espaçador para armadura</t>
        </is>
      </c>
      <c r="E343" s="11">
        <f t="array" ref="E343">_xlfn.XLOOKUP(D343,Insumos!B:B,Insumos!C:$C)</f>
        <v/>
      </c>
      <c r="F343" s="14" t="n">
        <v>0.05</v>
      </c>
      <c r="G343" s="92">
        <f t="array" ref="G343">IF(B343="insumo",_xlfn.XLOOKUP($D343,Insumos!$B$1:$B$996,Insumos!$D$1:$D$996),"")</f>
        <v/>
      </c>
      <c r="H343" s="92" t="n">
        <v>0.0135</v>
      </c>
      <c r="I343" s="2162" t="n">
        <v>0</v>
      </c>
      <c r="J343" s="2162" t="n">
        <v>0</v>
      </c>
      <c r="K343" s="2162" t="n"/>
    </row>
    <row r="344" outlineLevel="1" ht="15.75" customHeight="1">
      <c r="A344" s="1090" t="n">
        <v>5</v>
      </c>
      <c r="B344" s="1090" t="inlineStr">
        <is>
          <t>Subetapa</t>
        </is>
      </c>
      <c r="C344" s="1090" t="inlineStr">
        <is>
          <t xml:space="preserve">Armação aço CA-60 ø 5,00mm para estaca (corte e dobra em obra) </t>
        </is>
      </c>
      <c r="D344" s="1090" t="inlineStr">
        <is>
          <t>CONCRETO</t>
        </is>
      </c>
      <c r="E344" s="1091" t="n"/>
      <c r="F344" s="2160" t="n"/>
      <c r="G344" s="1091" t="n"/>
      <c r="H344" s="1091" t="n">
        <v>0</v>
      </c>
      <c r="I344" s="2160" t="n">
        <v>0</v>
      </c>
      <c r="J344" s="2160" t="n">
        <v>0</v>
      </c>
      <c r="K344" s="2160" t="n"/>
    </row>
    <row r="345" outlineLevel="2" ht="15.75" customHeight="1">
      <c r="A345" s="1067" t="n">
        <v>1</v>
      </c>
      <c r="B345" s="1067" t="inlineStr">
        <is>
          <t>Serviço</t>
        </is>
      </c>
      <c r="C345" s="1067" t="inlineStr">
        <is>
          <t>Concreto Usinado bombeável para estacas 25MPa  - incluindo serviço de bombeamento</t>
        </is>
      </c>
      <c r="D345" s="1067" t="inlineStr">
        <is>
          <t>Concreto Usinado bombeável para estacas 25MPa  - incluindo serviço de bombeamento</t>
        </is>
      </c>
      <c r="E345" s="1068" t="inlineStr">
        <is>
          <t>M3</t>
        </is>
      </c>
      <c r="F345" s="1067" t="n"/>
      <c r="G345" s="1069">
        <f t="array" ref="G345">IF(B345="insumo",_xlfn.XLOOKUP($D345,Insumos!$B$1:$B$996,Insumos!$D$1:$D$996),"")</f>
        <v/>
      </c>
      <c r="H345" s="1069" t="n">
        <v>693.66</v>
      </c>
      <c r="I345" s="2161" t="n">
        <v>0</v>
      </c>
      <c r="J345" s="2161" t="n">
        <v>0</v>
      </c>
      <c r="K345" s="2161" t="n"/>
    </row>
    <row r="346" outlineLevel="3" ht="15.75" customHeight="1">
      <c r="A346" s="10" t="n">
        <v>3</v>
      </c>
      <c r="B346" s="10" t="inlineStr">
        <is>
          <t>Insumo</t>
        </is>
      </c>
      <c r="C346" s="10" t="inlineStr">
        <is>
          <t>Concreto Usinado bombeável para estacas 25MPa  - incluindo serviço de bombeamento</t>
        </is>
      </c>
      <c r="D346" s="10" t="inlineStr">
        <is>
          <t>Concreto Usinado bombeável 25MPa</t>
        </is>
      </c>
      <c r="E346" s="11">
        <f t="array" ref="E346">_xlfn.XLOOKUP(D346,Insumos!B:B,Insumos!C:$C)</f>
        <v/>
      </c>
      <c r="F346" s="14" t="n">
        <v>1.3</v>
      </c>
      <c r="G346" s="92">
        <f t="array" ref="G346">IF(B346="insumo",_xlfn.XLOOKUP($D346,Insumos!$B$1:$B$996,Insumos!$D$1:$D$996),"")</f>
        <v/>
      </c>
      <c r="H346" s="92" t="n">
        <v>640.9</v>
      </c>
      <c r="I346" s="2162" t="n">
        <v>0</v>
      </c>
      <c r="J346" s="2162" t="n">
        <v>0</v>
      </c>
      <c r="K346" s="2162" t="n"/>
    </row>
    <row r="347" outlineLevel="3" ht="15.75" customHeight="1">
      <c r="A347" s="10" t="n">
        <v>25</v>
      </c>
      <c r="B347" s="10" t="inlineStr">
        <is>
          <t>Insumo</t>
        </is>
      </c>
      <c r="C347" s="10" t="inlineStr">
        <is>
          <t>Concreto Usinado bombeável para estacas 25MPa  - incluindo serviço de bombeamento</t>
        </is>
      </c>
      <c r="D347" s="10" t="inlineStr">
        <is>
          <t>serviço de bombeamento</t>
        </is>
      </c>
      <c r="E347" s="11">
        <f t="array" ref="E347">_xlfn.XLOOKUP(D347,Insumos!B:B,Insumos!C:$C)</f>
        <v/>
      </c>
      <c r="F347" s="14" t="n">
        <v>1.3</v>
      </c>
      <c r="G347" s="92">
        <f t="array" ref="G347">IF(B347="insumo",_xlfn.XLOOKUP($D347,Insumos!$B$1:$B$996,Insumos!$D$1:$D$996),"")</f>
        <v/>
      </c>
      <c r="H347" s="92" t="n">
        <v>52</v>
      </c>
      <c r="I347" s="2162" t="n">
        <v>0</v>
      </c>
      <c r="J347" s="2162" t="n">
        <v>0</v>
      </c>
      <c r="K347" s="2162" t="n"/>
    </row>
    <row r="348" outlineLevel="3" ht="15.75" customHeight="1">
      <c r="A348" s="10" t="n">
        <v>62</v>
      </c>
      <c r="B348" s="10" t="inlineStr">
        <is>
          <t>Insumo</t>
        </is>
      </c>
      <c r="C348" s="10" t="inlineStr">
        <is>
          <t>Concreto Usinado bombeável para estacas 25MPa  - incluindo serviço de bombeamento</t>
        </is>
      </c>
      <c r="D348" s="10" t="inlineStr">
        <is>
          <t>Cimento Portland Composto CP II-32</t>
        </is>
      </c>
      <c r="E348" s="11">
        <f t="array" ref="E348">_xlfn.XLOOKUP(D348,Insumos!B:B,Insumos!C:$C)</f>
        <v/>
      </c>
      <c r="F348" s="14" t="n">
        <v>1</v>
      </c>
      <c r="G348" s="92">
        <f t="array" ref="G348">IF(B348="insumo",_xlfn.XLOOKUP($D348,Insumos!$B$1:$B$996,Insumos!$D$1:$D$996),"")</f>
        <v/>
      </c>
      <c r="H348" s="92" t="n">
        <v>0.76</v>
      </c>
      <c r="I348" s="2162" t="n">
        <v>0</v>
      </c>
      <c r="J348" s="2162" t="n">
        <v>0</v>
      </c>
      <c r="K348" s="2162" t="n"/>
    </row>
    <row r="349" outlineLevel="2" ht="15.75" customHeight="1">
      <c r="A349" s="1067" t="n">
        <v>1</v>
      </c>
      <c r="B349" s="1067" t="inlineStr">
        <is>
          <t>Serviço</t>
        </is>
      </c>
      <c r="C349" s="1067" t="inlineStr">
        <is>
          <t>Concreto Usinado bombeável para estacas 30MPa  - incluindo serviço de bombeamento</t>
        </is>
      </c>
      <c r="D349" s="1067" t="inlineStr">
        <is>
          <t>Concreto Usinado bombeável para estacas 30MPa  - incluindo serviço de bombeamento</t>
        </is>
      </c>
      <c r="E349" s="1068" t="inlineStr">
        <is>
          <t>M3</t>
        </is>
      </c>
      <c r="F349" s="1067" t="n"/>
      <c r="G349" s="1069">
        <f t="array" ref="G349">IF(B349="insumo",_xlfn.XLOOKUP($D349,Insumos!$B$1:$B$996,Insumos!$D$1:$D$996),"")</f>
        <v/>
      </c>
      <c r="H349" s="1069" t="n">
        <v>725.705</v>
      </c>
      <c r="I349" s="2161" t="n">
        <v>0</v>
      </c>
      <c r="J349" s="2161" t="n">
        <v>0</v>
      </c>
      <c r="K349" s="2161" t="n"/>
    </row>
    <row r="350" outlineLevel="3" ht="15.75" customHeight="1">
      <c r="A350" s="10" t="n">
        <v>1</v>
      </c>
      <c r="B350" s="10" t="inlineStr">
        <is>
          <t>Insumo</t>
        </is>
      </c>
      <c r="C350" s="10" t="inlineStr">
        <is>
          <t>Concreto Usinado bombeável para estacas 30MPa  - incluindo serviço de bombeamento</t>
        </is>
      </c>
      <c r="D350" s="10" t="inlineStr">
        <is>
          <t>Concreto Usinado bombeável 30MPa para estacas</t>
        </is>
      </c>
      <c r="E350" s="11">
        <f t="array" ref="E350">_xlfn.XLOOKUP(D350,Insumos!B:B,Insumos!C:$C)</f>
        <v/>
      </c>
      <c r="F350" s="14" t="n">
        <v>1.3</v>
      </c>
      <c r="G350" s="92">
        <f t="array" ref="G350">IF(B350="insumo",_xlfn.XLOOKUP($D350,Insumos!$B$1:$B$996,Insumos!$D$1:$D$996),"")</f>
        <v/>
      </c>
      <c r="H350" s="92" t="n">
        <v>672.9450000000001</v>
      </c>
      <c r="I350" s="2162" t="n">
        <v>0</v>
      </c>
      <c r="J350" s="2162" t="n">
        <v>0</v>
      </c>
      <c r="K350" s="2162" t="n"/>
    </row>
    <row r="351" outlineLevel="3" ht="15.75" customHeight="1">
      <c r="A351" s="10" t="n">
        <v>25</v>
      </c>
      <c r="B351" s="10" t="inlineStr">
        <is>
          <t>Insumo</t>
        </is>
      </c>
      <c r="C351" s="10" t="inlineStr">
        <is>
          <t>Concreto Usinado bombeável para estacas 30MPa  - incluindo serviço de bombeamento</t>
        </is>
      </c>
      <c r="D351" s="10" t="inlineStr">
        <is>
          <t>serviço de bombeamento</t>
        </is>
      </c>
      <c r="E351" s="11">
        <f t="array" ref="E351">_xlfn.XLOOKUP(D351,Insumos!B:B,Insumos!C:$C)</f>
        <v/>
      </c>
      <c r="F351" s="14" t="n">
        <v>1.3</v>
      </c>
      <c r="G351" s="92">
        <f t="array" ref="G351">IF(B351="insumo",_xlfn.XLOOKUP($D351,Insumos!$B$1:$B$996,Insumos!$D$1:$D$996),"")</f>
        <v/>
      </c>
      <c r="H351" s="92" t="n">
        <v>52</v>
      </c>
      <c r="I351" s="2162" t="n">
        <v>0</v>
      </c>
      <c r="J351" s="2162" t="n">
        <v>0</v>
      </c>
      <c r="K351" s="2162" t="n"/>
    </row>
    <row r="352" outlineLevel="3" ht="15.75" customHeight="1">
      <c r="A352" s="10" t="n">
        <v>62</v>
      </c>
      <c r="B352" s="10" t="inlineStr">
        <is>
          <t>Insumo</t>
        </is>
      </c>
      <c r="C352" s="10" t="inlineStr">
        <is>
          <t>Concreto Usinado bombeável para estacas 30MPa  - incluindo serviço de bombeamento</t>
        </is>
      </c>
      <c r="D352" s="10" t="inlineStr">
        <is>
          <t>Cimento Portland Composto CP II-32</t>
        </is>
      </c>
      <c r="E352" s="11">
        <f t="array" ref="E352">_xlfn.XLOOKUP(D352,Insumos!B:B,Insumos!C:$C)</f>
        <v/>
      </c>
      <c r="F352" s="14" t="n">
        <v>1</v>
      </c>
      <c r="G352" s="92">
        <f t="array" ref="G352">IF(B352="insumo",_xlfn.XLOOKUP($D352,Insumos!$B$1:$B$996,Insumos!$D$1:$D$996),"")</f>
        <v/>
      </c>
      <c r="H352" s="92" t="n">
        <v>0.76</v>
      </c>
      <c r="I352" s="2162" t="n">
        <v>0</v>
      </c>
      <c r="J352" s="2162" t="n">
        <v>0</v>
      </c>
      <c r="K352" s="2162" t="n"/>
    </row>
    <row r="353" outlineLevel="2" ht="15.75" customHeight="1">
      <c r="A353" s="1067" t="n">
        <v>1</v>
      </c>
      <c r="B353" s="1067" t="inlineStr">
        <is>
          <t>Serviço</t>
        </is>
      </c>
      <c r="C353" s="1067" t="inlineStr">
        <is>
          <t>Concreto Usinado bombeável para estacas 35MPa  - incluindo serviço de bombeamento</t>
        </is>
      </c>
      <c r="D353" s="1067" t="inlineStr">
        <is>
          <t>Concreto Usinado bombeável para estacas 35MPa  - incluindo serviço de bombeamento</t>
        </is>
      </c>
      <c r="E353" s="1068" t="inlineStr">
        <is>
          <t>M3</t>
        </is>
      </c>
      <c r="F353" s="1067" t="n"/>
      <c r="G353" s="1069">
        <f t="array" ref="G353">IF(B353="insumo",_xlfn.XLOOKUP($D353,Insumos!$B$1:$B$996,Insumos!$D$1:$D$996),"")</f>
        <v/>
      </c>
      <c r="H353" s="1069" t="n">
        <v>787.26</v>
      </c>
      <c r="I353" s="2161" t="n">
        <v>0</v>
      </c>
      <c r="J353" s="2161" t="n">
        <v>0</v>
      </c>
      <c r="K353" s="2161" t="n"/>
    </row>
    <row r="354" outlineLevel="3" ht="15.75" customHeight="1">
      <c r="A354" s="10" t="n">
        <v>1</v>
      </c>
      <c r="B354" s="10" t="inlineStr">
        <is>
          <t>Insumo</t>
        </is>
      </c>
      <c r="C354" s="10" t="inlineStr">
        <is>
          <t>Concreto Usinado bombeável para estacas 35MPa  - incluindo serviço de bombeamento</t>
        </is>
      </c>
      <c r="D354" s="10" t="inlineStr">
        <is>
          <t>Concreto Usinado bombeável 35MPa para estacas</t>
        </is>
      </c>
      <c r="E354" s="11">
        <f t="array" ref="E354">_xlfn.XLOOKUP(D354,Insumos!B:B,Insumos!C:$C)</f>
        <v/>
      </c>
      <c r="F354" s="14" t="n">
        <v>1.3</v>
      </c>
      <c r="G354" s="92">
        <f t="array" ref="G354">IF(B354="insumo",_xlfn.XLOOKUP($D354,Insumos!$B$1:$B$996,Insumos!$D$1:$D$996),"")</f>
        <v/>
      </c>
      <c r="H354" s="92" t="n">
        <v>734.5</v>
      </c>
      <c r="I354" s="2162" t="n">
        <v>0</v>
      </c>
      <c r="J354" s="2162" t="n">
        <v>0</v>
      </c>
      <c r="K354" s="2162" t="n"/>
    </row>
    <row r="355" outlineLevel="3" ht="15.75" customHeight="1">
      <c r="A355" s="10" t="n">
        <v>25</v>
      </c>
      <c r="B355" s="10" t="inlineStr">
        <is>
          <t>Insumo</t>
        </is>
      </c>
      <c r="C355" s="10" t="inlineStr">
        <is>
          <t>Concreto Usinado bombeável para estacas 35MPa  - incluindo serviço de bombeamento</t>
        </is>
      </c>
      <c r="D355" s="10" t="inlineStr">
        <is>
          <t>serviço de bombeamento</t>
        </is>
      </c>
      <c r="E355" s="11">
        <f t="array" ref="E355">_xlfn.XLOOKUP(D355,Insumos!B:B,Insumos!C:$C)</f>
        <v/>
      </c>
      <c r="F355" s="14" t="n">
        <v>1.3</v>
      </c>
      <c r="G355" s="92">
        <f t="array" ref="G355">IF(B355="insumo",_xlfn.XLOOKUP($D355,Insumos!$B$1:$B$996,Insumos!$D$1:$D$996),"")</f>
        <v/>
      </c>
      <c r="H355" s="92" t="n">
        <v>52</v>
      </c>
      <c r="I355" s="2162" t="n">
        <v>0</v>
      </c>
      <c r="J355" s="2162" t="n">
        <v>0</v>
      </c>
      <c r="K355" s="2162" t="n"/>
    </row>
    <row r="356" outlineLevel="3" ht="15.75" customHeight="1">
      <c r="A356" s="10" t="n">
        <v>62</v>
      </c>
      <c r="B356" s="10" t="inlineStr">
        <is>
          <t>Insumo</t>
        </is>
      </c>
      <c r="C356" s="10" t="inlineStr">
        <is>
          <t>Concreto Usinado bombeável para estacas 35MPa  - incluindo serviço de bombeamento</t>
        </is>
      </c>
      <c r="D356" s="10" t="inlineStr">
        <is>
          <t>Cimento Portland Composto CP II-32</t>
        </is>
      </c>
      <c r="E356" s="11">
        <f t="array" ref="E356">_xlfn.XLOOKUP(D356,Insumos!B:B,Insumos!C:$C)</f>
        <v/>
      </c>
      <c r="F356" s="14" t="n">
        <v>1</v>
      </c>
      <c r="G356" s="92">
        <f t="array" ref="G356">IF(B356="insumo",_xlfn.XLOOKUP($D356,Insumos!$B$1:$B$996,Insumos!$D$1:$D$996),"")</f>
        <v/>
      </c>
      <c r="H356" s="92" t="n">
        <v>0.76</v>
      </c>
      <c r="I356" s="2162" t="n">
        <v>0</v>
      </c>
      <c r="J356" s="2162" t="n">
        <v>0</v>
      </c>
      <c r="K356" s="2162" t="n"/>
    </row>
    <row r="357" outlineLevel="2" ht="15.75" customHeight="1">
      <c r="A357" s="1067" t="n">
        <v>1</v>
      </c>
      <c r="B357" s="1067" t="inlineStr">
        <is>
          <t>Serviço</t>
        </is>
      </c>
      <c r="C357" s="1067" t="inlineStr">
        <is>
          <t>Concreto Usinado bombeável para estacas 40MPa  - incluindo serviço de bombeamento</t>
        </is>
      </c>
      <c r="D357" s="1067" t="inlineStr">
        <is>
          <t>Concreto Usinado bombeável para estacas 40MPa  - incluindo serviço de bombeamento</t>
        </is>
      </c>
      <c r="E357" s="1068" t="inlineStr">
        <is>
          <t>M3</t>
        </is>
      </c>
      <c r="F357" s="1067" t="n"/>
      <c r="G357" s="1069">
        <f t="array" ref="G357">IF(B357="insumo",_xlfn.XLOOKUP($D357,Insumos!$B$1:$B$996,Insumos!$D$1:$D$996),"")</f>
        <v/>
      </c>
      <c r="H357" s="1069" t="n">
        <v>741.76</v>
      </c>
      <c r="I357" s="2161" t="n">
        <v>0</v>
      </c>
      <c r="J357" s="2161" t="n">
        <v>0</v>
      </c>
      <c r="K357" s="2161" t="n"/>
    </row>
    <row r="358" outlineLevel="3" ht="15.75" customHeight="1">
      <c r="A358" s="10" t="n">
        <v>1</v>
      </c>
      <c r="B358" s="10" t="inlineStr">
        <is>
          <t>Insumo</t>
        </is>
      </c>
      <c r="C358" s="10" t="inlineStr">
        <is>
          <t>Concreto Usinado bombeável para estacas 40MPa  - incluindo serviço de bombeamento</t>
        </is>
      </c>
      <c r="D358" s="10" t="inlineStr">
        <is>
          <t>Concreto Usinado bombeável 40MPa para estacas</t>
        </is>
      </c>
      <c r="E358" s="11">
        <f t="array" ref="E358">_xlfn.XLOOKUP(D358,Insumos!B:B,Insumos!C:$C)</f>
        <v/>
      </c>
      <c r="F358" s="14" t="n">
        <v>1.3</v>
      </c>
      <c r="G358" s="92">
        <f t="array" ref="G358">IF(B358="insumo",_xlfn.XLOOKUP($D358,Insumos!$B$1:$B$996,Insumos!$D$1:$D$996),"")</f>
        <v/>
      </c>
      <c r="H358" s="92" t="n">
        <v>689</v>
      </c>
      <c r="I358" s="2162" t="n">
        <v>0</v>
      </c>
      <c r="J358" s="2162" t="n">
        <v>0</v>
      </c>
      <c r="K358" s="2162" t="n"/>
    </row>
    <row r="359" outlineLevel="3" ht="15.75" customHeight="1">
      <c r="A359" s="10" t="n">
        <v>25</v>
      </c>
      <c r="B359" s="10" t="inlineStr">
        <is>
          <t>Insumo</t>
        </is>
      </c>
      <c r="C359" s="10" t="inlineStr">
        <is>
          <t>Concreto Usinado bombeável para estacas 40MPa  - incluindo serviço de bombeamento</t>
        </is>
      </c>
      <c r="D359" s="10" t="inlineStr">
        <is>
          <t>serviço de bombeamento</t>
        </is>
      </c>
      <c r="E359" s="11">
        <f t="array" ref="E359">_xlfn.XLOOKUP(D359,Insumos!B:B,Insumos!C:$C)</f>
        <v/>
      </c>
      <c r="F359" s="14" t="n">
        <v>1.3</v>
      </c>
      <c r="G359" s="92">
        <f t="array" ref="G359">IF(B359="insumo",_xlfn.XLOOKUP($D359,Insumos!$B$1:$B$996,Insumos!$D$1:$D$996),"")</f>
        <v/>
      </c>
      <c r="H359" s="92" t="n">
        <v>52</v>
      </c>
      <c r="I359" s="2162" t="n">
        <v>0</v>
      </c>
      <c r="J359" s="2162" t="n">
        <v>0</v>
      </c>
      <c r="K359" s="2162" t="n"/>
    </row>
    <row r="360" outlineLevel="3" ht="15.75" customHeight="1">
      <c r="A360" s="10" t="n">
        <v>62</v>
      </c>
      <c r="B360" s="10" t="inlineStr">
        <is>
          <t>Insumo</t>
        </is>
      </c>
      <c r="C360" s="10" t="inlineStr">
        <is>
          <t>Concreto Usinado bombeável para estacas 40MPa  - incluindo serviço de bombeamento</t>
        </is>
      </c>
      <c r="D360" s="10" t="inlineStr">
        <is>
          <t>Cimento Portland Composto CP II-32</t>
        </is>
      </c>
      <c r="E360" s="11">
        <f t="array" ref="E360">_xlfn.XLOOKUP(D360,Insumos!B:B,Insumos!C:$C)</f>
        <v/>
      </c>
      <c r="F360" s="14" t="n">
        <v>1</v>
      </c>
      <c r="G360" s="92">
        <f t="array" ref="G360">IF(B360="insumo",_xlfn.XLOOKUP($D360,Insumos!$B$1:$B$996,Insumos!$D$1:$D$996),"")</f>
        <v/>
      </c>
      <c r="H360" s="92" t="n">
        <v>0.76</v>
      </c>
      <c r="I360" s="2162" t="n">
        <v>0</v>
      </c>
      <c r="J360" s="2162" t="n">
        <v>0</v>
      </c>
      <c r="K360" s="2162" t="n"/>
    </row>
    <row r="361" outlineLevel="2" ht="15.75" customHeight="1">
      <c r="A361" s="1067" t="n">
        <v>1</v>
      </c>
      <c r="B361" s="1067" t="inlineStr">
        <is>
          <t>Serviço</t>
        </is>
      </c>
      <c r="C361" s="1067" t="inlineStr">
        <is>
          <t>Concreto Usinado bombeável para estacas 50MPa  - incluindo serviço de bombeamento</t>
        </is>
      </c>
      <c r="D361" s="1067" t="inlineStr">
        <is>
          <t>Concreto Usinado bombeável para estacas 50MPa  - incluindo serviço de bombeamento</t>
        </is>
      </c>
      <c r="E361" s="1068" t="inlineStr">
        <is>
          <t>M3</t>
        </is>
      </c>
      <c r="F361" s="1067" t="n"/>
      <c r="G361" s="1069">
        <f t="array" ref="G361">IF(B361="insumo",_xlfn.XLOOKUP($D361,Insumos!$B$1:$B$996,Insumos!$D$1:$D$996),"")</f>
        <v/>
      </c>
      <c r="H361" s="1069" t="n">
        <v>941.83</v>
      </c>
      <c r="I361" s="2161" t="n">
        <v>1903.42815695698</v>
      </c>
      <c r="J361" s="2161" t="n">
        <v>1792705.74106679</v>
      </c>
      <c r="K361" s="2161" t="n"/>
    </row>
    <row r="362" outlineLevel="3" ht="15.75" customHeight="1">
      <c r="A362" s="10" t="n">
        <v>1</v>
      </c>
      <c r="B362" s="10" t="inlineStr">
        <is>
          <t>Insumo</t>
        </is>
      </c>
      <c r="C362" s="10" t="inlineStr">
        <is>
          <t>Concreto Usinado bombeável para estacas 50MPa  - incluindo serviço de bombeamento</t>
        </is>
      </c>
      <c r="D362" s="10" t="inlineStr">
        <is>
          <t>Concreto Usinado bombeável 50MPa Fundação Profunda</t>
        </is>
      </c>
      <c r="E362" s="11">
        <f t="array" ref="E362">_xlfn.XLOOKUP(D362,Insumos!B:B,Insumos!C:$C)</f>
        <v/>
      </c>
      <c r="F362" s="14" t="n">
        <v>1.3</v>
      </c>
      <c r="G362" s="92">
        <f>IF(B362="insumo",_xlfn.XLOOKUP($D362,Insumos!$B$1:$B$996,Insumos!$D$1:$D$996),"")</f>
        <v/>
      </c>
      <c r="H362" s="92" t="n">
        <v>889.0700000000001</v>
      </c>
      <c r="I362" s="2162" t="n">
        <v>1903.42815695698</v>
      </c>
      <c r="J362" s="2162" t="n">
        <v>1692280.87150574</v>
      </c>
      <c r="K362" s="2162" t="n"/>
    </row>
    <row r="363" outlineLevel="3" ht="15.75" customHeight="1">
      <c r="A363" s="10" t="n">
        <v>25</v>
      </c>
      <c r="B363" s="10" t="inlineStr">
        <is>
          <t>Insumo</t>
        </is>
      </c>
      <c r="C363" s="10" t="inlineStr">
        <is>
          <t>Concreto Usinado bombeável para estacas 50MPa  - incluindo serviço de bombeamento</t>
        </is>
      </c>
      <c r="D363" s="10" t="inlineStr">
        <is>
          <t>serviço de bombeamento</t>
        </is>
      </c>
      <c r="E363" s="11">
        <f t="array" ref="E363">_xlfn.XLOOKUP(D363,Insumos!B:B,Insumos!C:$C)</f>
        <v/>
      </c>
      <c r="F363" s="14" t="n">
        <v>1.3</v>
      </c>
      <c r="G363" s="92">
        <f t="array" ref="G363">IF(B363="insumo",_xlfn.XLOOKUP($D363,Insumos!$B$1:$B$996,Insumos!$D$1:$D$996),"")</f>
        <v/>
      </c>
      <c r="H363" s="92" t="n">
        <v>52</v>
      </c>
      <c r="I363" s="2162" t="n">
        <v>1903.42815695698</v>
      </c>
      <c r="J363" s="2162" t="n">
        <v>98978.264161763</v>
      </c>
      <c r="K363" s="2162" t="n"/>
    </row>
    <row r="364" outlineLevel="3" ht="15.75" customHeight="1">
      <c r="A364" s="10" t="n">
        <v>62</v>
      </c>
      <c r="B364" s="10" t="inlineStr">
        <is>
          <t>Insumo</t>
        </is>
      </c>
      <c r="C364" s="10" t="inlineStr">
        <is>
          <t>Concreto Usinado bombeável para estacas 50MPa  - incluindo serviço de bombeamento</t>
        </is>
      </c>
      <c r="D364" s="10" t="inlineStr">
        <is>
          <t>Cimento Portland Composto CP II-32</t>
        </is>
      </c>
      <c r="E364" s="11">
        <f t="array" ref="E364">_xlfn.XLOOKUP(D364,Insumos!B:B,Insumos!C:$C)</f>
        <v/>
      </c>
      <c r="F364" s="14" t="n">
        <v>1</v>
      </c>
      <c r="G364" s="92">
        <f t="array" ref="G364">IF(B364="insumo",_xlfn.XLOOKUP($D364,Insumos!$B$1:$B$996,Insumos!$D$1:$D$996),"")</f>
        <v/>
      </c>
      <c r="H364" s="92" t="n">
        <v>0.76</v>
      </c>
      <c r="I364" s="2162" t="n">
        <v>1903.42815695698</v>
      </c>
      <c r="J364" s="2162" t="n">
        <v>1446.6053992873</v>
      </c>
      <c r="K364" s="2162" t="n"/>
    </row>
    <row r="365" outlineLevel="1" ht="15.75" customHeight="1">
      <c r="A365" s="1090" t="n">
        <v>6</v>
      </c>
      <c r="B365" s="1090" t="inlineStr">
        <is>
          <t>Subetapa</t>
        </is>
      </c>
      <c r="C365" s="1090" t="inlineStr">
        <is>
          <t>Concreto Usinado bombeável para estacas 50MPa  - incluindo serviço de bombeamento</t>
        </is>
      </c>
      <c r="D365" s="1090" t="inlineStr">
        <is>
          <t>MÃO DE OBRA</t>
        </is>
      </c>
      <c r="E365" s="1091" t="n"/>
      <c r="F365" s="2160" t="n"/>
      <c r="G365" s="1091" t="n"/>
      <c r="H365" s="1091" t="n">
        <v>0</v>
      </c>
      <c r="I365" s="2160" t="n">
        <v>0</v>
      </c>
      <c r="J365" s="2160" t="n">
        <v>0</v>
      </c>
      <c r="K365" s="2160" t="n"/>
    </row>
    <row r="366" outlineLevel="2" ht="15.75" customHeight="1">
      <c r="A366" s="1067" t="n">
        <v>1</v>
      </c>
      <c r="B366" s="1067" t="inlineStr">
        <is>
          <t>Serviço</t>
        </is>
      </c>
      <c r="C366" s="1067" t="inlineStr">
        <is>
          <t>Corte e Preparo de Cabeça de Estaca</t>
        </is>
      </c>
      <c r="D366" s="1067" t="inlineStr">
        <is>
          <t>Corte e Preparo de Cabeça de Estaca</t>
        </is>
      </c>
      <c r="E366" s="1068" t="inlineStr">
        <is>
          <t>UN</t>
        </is>
      </c>
      <c r="F366" s="1067" t="n"/>
      <c r="G366" s="1069">
        <f t="array" ref="G366">IF(B366="insumo",_xlfn.XLOOKUP($D366,Insumos!$B$1:$B$996,Insumos!$D$1:$D$996),"")</f>
        <v/>
      </c>
      <c r="H366" s="1069" t="n">
        <v>300</v>
      </c>
      <c r="I366" s="2161" t="n">
        <v>0</v>
      </c>
      <c r="J366" s="2161" t="n">
        <v>0</v>
      </c>
      <c r="K366" s="2161" t="n"/>
    </row>
    <row r="367" outlineLevel="3" ht="15.75" customHeight="1">
      <c r="A367" s="10" t="n">
        <v>1</v>
      </c>
      <c r="B367" s="10" t="inlineStr">
        <is>
          <t>Insumo</t>
        </is>
      </c>
      <c r="C367" s="10" t="inlineStr">
        <is>
          <t>Corte e Preparo de Cabeça de Estaca</t>
        </is>
      </c>
      <c r="D367" s="10" t="inlineStr">
        <is>
          <t>Serviço de Arrasamentode Estacas</t>
        </is>
      </c>
      <c r="E367" s="11">
        <f t="array" ref="E367">_xlfn.XLOOKUP(D367,Insumos!B:B,Insumos!C:$C)</f>
        <v/>
      </c>
      <c r="F367" s="14" t="n">
        <v>1</v>
      </c>
      <c r="G367" s="92">
        <f t="array" ref="G367">IF(B367="insumo",_xlfn.XLOOKUP($D367,Insumos!$B$1:$B$996,Insumos!$D$1:$D$996),"")</f>
        <v/>
      </c>
      <c r="H367" s="92" t="n">
        <v>300</v>
      </c>
      <c r="I367" s="2162" t="n">
        <v>0</v>
      </c>
      <c r="J367" s="2162" t="n">
        <v>0</v>
      </c>
      <c r="K367" s="2162" t="n"/>
    </row>
    <row r="368" ht="15.75" customHeight="1">
      <c r="A368" s="7" t="n">
        <v>1</v>
      </c>
      <c r="B368" s="7" t="inlineStr">
        <is>
          <t>Etapa</t>
        </is>
      </c>
      <c r="C368" s="7" t="inlineStr">
        <is>
          <t>Corte e Preparo de Cabeça de Estaca</t>
        </is>
      </c>
      <c r="D368" s="7" t="inlineStr">
        <is>
          <t>FUNDAÇÃO RASA</t>
        </is>
      </c>
      <c r="E368" s="8" t="n"/>
      <c r="F368" s="2159" t="n"/>
      <c r="G368" s="91">
        <f t="array" ref="G368">IF(B368="insumo",_xlfn.XLOOKUP($D368,Insumos!$B$1:$B$996,Insumos!$D$1:$D$996),"")</f>
        <v/>
      </c>
      <c r="H368" s="91" t="n">
        <v>0</v>
      </c>
      <c r="I368" s="2159" t="n">
        <v>0</v>
      </c>
      <c r="J368" s="2159" t="n">
        <v>0</v>
      </c>
      <c r="K368" s="2159" t="n"/>
    </row>
    <row r="369" outlineLevel="1" ht="15.75" customHeight="1">
      <c r="A369" s="1090" t="n">
        <v>3</v>
      </c>
      <c r="B369" s="1090" t="inlineStr">
        <is>
          <t>Subetapa</t>
        </is>
      </c>
      <c r="C369" s="1090" t="inlineStr">
        <is>
          <t>Corte e Preparo de Cabeça de Estaca</t>
        </is>
      </c>
      <c r="D369" s="1090" t="inlineStr">
        <is>
          <t>FORMA</t>
        </is>
      </c>
      <c r="E369" s="1091" t="n"/>
      <c r="F369" s="2160" t="n"/>
      <c r="G369" s="1091" t="n"/>
      <c r="H369" s="1091" t="n">
        <v>0</v>
      </c>
      <c r="I369" s="2160" t="n">
        <v>0</v>
      </c>
      <c r="J369" s="2160" t="n">
        <v>0</v>
      </c>
      <c r="K369" s="2160" t="n"/>
    </row>
    <row r="370" outlineLevel="2" ht="15.75" customHeight="1">
      <c r="A370" s="1067" t="n">
        <v>1</v>
      </c>
      <c r="B370" s="1067" t="inlineStr">
        <is>
          <t>Serviço</t>
        </is>
      </c>
      <c r="C370" s="1067" t="inlineStr">
        <is>
          <t>Forma para infraestrutura em Tábuas de Madeira Serrada 2x reaproveitamento</t>
        </is>
      </c>
      <c r="D370" s="1067" t="inlineStr">
        <is>
          <t>Forma para infraestrutura em Tábuas de Madeira Serrada 2x reaproveitamento</t>
        </is>
      </c>
      <c r="E370" s="1068" t="inlineStr">
        <is>
          <t>M2</t>
        </is>
      </c>
      <c r="F370" s="1067" t="n"/>
      <c r="G370" s="1069">
        <f t="array" ref="G370">IF(B370="insumo",_xlfn.XLOOKUP($D370,Insumos!$B$1:$B$996,Insumos!$D$1:$D$996),"")</f>
        <v/>
      </c>
      <c r="H370" s="1069" t="n">
        <v>59.9562285714286</v>
      </c>
      <c r="I370" s="2161" t="n">
        <v>581.6956</v>
      </c>
      <c r="J370" s="2161" t="n">
        <v>34876.2743525943</v>
      </c>
      <c r="K370" s="2161" t="n"/>
    </row>
    <row r="371" outlineLevel="3" ht="15.75" customHeight="1">
      <c r="A371" s="10" t="n">
        <v>3</v>
      </c>
      <c r="B371" s="10" t="inlineStr">
        <is>
          <t>Insumo</t>
        </is>
      </c>
      <c r="C371" s="10" t="inlineStr">
        <is>
          <t>Forma para infraestrutura em Tábuas de Madeira Serrada 2x reaproveitamento</t>
        </is>
      </c>
      <c r="D371" s="10" t="inlineStr">
        <is>
          <t>PREGO DE ACO POLIDO COM CABECA 15 X 18 (1 1/2 X 13)</t>
        </is>
      </c>
      <c r="E371" s="11">
        <f t="array" ref="E371">_xlfn.XLOOKUP(D371,Insumos!B:B,Insumos!C:$C)</f>
        <v/>
      </c>
      <c r="F371" s="14" t="n">
        <v>0.011</v>
      </c>
      <c r="G371" s="92">
        <f t="array" ref="G371">IF(B371="insumo",_xlfn.XLOOKUP($D371,Insumos!$B$1:$B$996,Insumos!$D$1:$D$996),"")</f>
        <v/>
      </c>
      <c r="H371" s="92" t="n">
        <v>0.2068</v>
      </c>
      <c r="I371" s="2162" t="n">
        <v>581.6956</v>
      </c>
      <c r="J371" s="2162" t="n">
        <v>120.29465008</v>
      </c>
      <c r="K371" s="2162" t="n"/>
    </row>
    <row r="372" outlineLevel="3" ht="15.75" customHeight="1">
      <c r="A372" s="10" t="n">
        <v>40</v>
      </c>
      <c r="B372" s="10" t="inlineStr">
        <is>
          <t>Insumo</t>
        </is>
      </c>
      <c r="C372" s="10" t="inlineStr">
        <is>
          <t>Forma para infraestrutura em Tábuas de Madeira Serrada 2x reaproveitamento</t>
        </is>
      </c>
      <c r="D372" s="10" t="inlineStr">
        <is>
          <t>PREGO DE ACO POLIDO COM CABECA 17 X 21 (2 X 11)</t>
        </is>
      </c>
      <c r="E372" s="11">
        <f t="array" ref="E372">_xlfn.XLOOKUP(D372,Insumos!B:B,Insumos!C:$C)</f>
        <v/>
      </c>
      <c r="F372" s="14" t="n">
        <v>0.095</v>
      </c>
      <c r="G372" s="92">
        <f t="array" ref="G372">IF(B372="insumo",_xlfn.XLOOKUP($D372,Insumos!$B$1:$B$996,Insumos!$D$1:$D$996),"")</f>
        <v/>
      </c>
      <c r="H372" s="92" t="n">
        <v>1.72235</v>
      </c>
      <c r="I372" s="2162" t="n">
        <v>581.6956</v>
      </c>
      <c r="J372" s="2162" t="n">
        <v>1001.88341666</v>
      </c>
      <c r="K372" s="2162" t="n"/>
    </row>
    <row r="373" outlineLevel="3" ht="15.75" customHeight="1">
      <c r="A373" s="10" t="n">
        <v>10</v>
      </c>
      <c r="B373" s="10" t="inlineStr">
        <is>
          <t>Insumo</t>
        </is>
      </c>
      <c r="C373" s="10" t="inlineStr">
        <is>
          <t>Forma para infraestrutura em Tábuas de Madeira Serrada 2x reaproveitamento</t>
        </is>
      </c>
      <c r="D373" s="10" t="inlineStr">
        <is>
          <t xml:space="preserve">DESMOLDANTE PROTETOR PARA FORMAS DE MADEIRA, DE BASE OLEOSA EMULSIONADA EM AGUA   </t>
        </is>
      </c>
      <c r="E373" s="11">
        <f t="array" ref="E373">_xlfn.XLOOKUP(D373,Insumos!B:B,Insumos!C:$C)</f>
        <v/>
      </c>
      <c r="F373" s="14" t="n">
        <v>0.017</v>
      </c>
      <c r="G373" s="92">
        <f t="array" ref="G373">IF(B373="insumo",_xlfn.XLOOKUP($D373,Insumos!$B$1:$B$996,Insumos!$D$1:$D$996),"")</f>
        <v/>
      </c>
      <c r="H373" s="92" t="n">
        <v>0.26435</v>
      </c>
      <c r="I373" s="2162" t="n">
        <v>581.6956</v>
      </c>
      <c r="J373" s="2162" t="n">
        <v>153.77123186</v>
      </c>
      <c r="K373" s="2162" t="n"/>
    </row>
    <row r="374" outlineLevel="3" ht="15.75" customHeight="1">
      <c r="A374" s="10" t="n">
        <v>25</v>
      </c>
      <c r="B374" s="10" t="inlineStr">
        <is>
          <t>Insumo</t>
        </is>
      </c>
      <c r="C374" s="10" t="inlineStr">
        <is>
          <t>Forma para infraestrutura em Tábuas de Madeira Serrada 2x reaproveitamento</t>
        </is>
      </c>
      <c r="D374" s="10" t="inlineStr">
        <is>
          <t>MADEIRA PINUS/SIMILAR - PONTALETE 75X75MM NBR 11700/15696</t>
        </is>
      </c>
      <c r="E374" s="11">
        <f t="array" ref="E374">_xlfn.XLOOKUP(D374,Insumos!B:B,Insumos!C:$C)</f>
        <v/>
      </c>
      <c r="F374" s="14" t="n">
        <v>0.7371428571428572</v>
      </c>
      <c r="G374" s="92">
        <f t="array" ref="G374">IF(B374="insumo",_xlfn.XLOOKUP($D374,Insumos!$B$1:$B$996,Insumos!$D$1:$D$996),"")</f>
        <v/>
      </c>
      <c r="H374" s="92" t="n">
        <v>5.16</v>
      </c>
      <c r="I374" s="2162" t="n">
        <v>581.6956</v>
      </c>
      <c r="J374" s="2162" t="n">
        <v>3001.549296</v>
      </c>
      <c r="K374" s="2162" t="n"/>
    </row>
    <row r="375" outlineLevel="3" ht="15.75" customHeight="1">
      <c r="A375" s="10" t="n">
        <v>19</v>
      </c>
      <c r="B375" s="10" t="inlineStr">
        <is>
          <t>Insumo</t>
        </is>
      </c>
      <c r="C375" s="10" t="inlineStr">
        <is>
          <t>Forma para infraestrutura em Tábuas de Madeira Serrada 2x reaproveitamento</t>
        </is>
      </c>
      <c r="D375" s="10" t="inlineStr">
        <is>
          <t>SARRAFO *2,5 X 7,5* CM EM PINUS, MISTA OU EQUIVALENTE DA REGIAO - BRUTA</t>
        </is>
      </c>
      <c r="E375" s="11">
        <f t="array" ref="E375">_xlfn.XLOOKUP(D375,Insumos!B:B,Insumos!C:$C)</f>
        <v/>
      </c>
      <c r="F375" s="14" t="n">
        <v>0.002638095238095238</v>
      </c>
      <c r="G375" s="92">
        <f t="array" ref="G375">IF(B375="insumo",_xlfn.XLOOKUP($D375,Insumos!$B$1:$B$996,Insumos!$D$1:$D$996),"")</f>
        <v/>
      </c>
      <c r="H375" s="92" t="n">
        <v>3.56142857142857</v>
      </c>
      <c r="I375" s="2162" t="n">
        <v>581.6956</v>
      </c>
      <c r="J375" s="2162" t="n">
        <v>2071.66732971429</v>
      </c>
      <c r="K375" s="2162" t="n"/>
    </row>
    <row r="376" outlineLevel="3" ht="15.75" customHeight="1">
      <c r="A376" s="10" t="n">
        <v>6</v>
      </c>
      <c r="B376" s="10" t="inlineStr">
        <is>
          <t>Insumo</t>
        </is>
      </c>
      <c r="C376" s="10" t="inlineStr">
        <is>
          <t>Forma para infraestrutura em Tábuas de Madeira Serrada 2x reaproveitamento</t>
        </is>
      </c>
      <c r="D376" s="10" t="inlineStr">
        <is>
          <t>TABUA *2,5 X 30 CM EM PINUS, MISTA OU EQUIVALENTE DA REGIAO - BRUTA (M)</t>
        </is>
      </c>
      <c r="E376" s="11">
        <f t="array" ref="E376">_xlfn.XLOOKUP(D376,Insumos!B:B,Insumos!C:$C)</f>
        <v/>
      </c>
      <c r="F376" s="14" t="n">
        <v>1.155</v>
      </c>
      <c r="G376" s="92">
        <f t="array" ref="G376">IF(B376="insumo",_xlfn.XLOOKUP($D376,Insumos!$B$1:$B$996,Insumos!$D$1:$D$996),"")</f>
        <v/>
      </c>
      <c r="H376" s="92" t="n">
        <v>49.0413</v>
      </c>
      <c r="I376" s="2162" t="n">
        <v>581.6956</v>
      </c>
      <c r="J376" s="2162" t="n">
        <v>28527.10842828</v>
      </c>
      <c r="K376" s="2162" t="n"/>
    </row>
    <row r="377" outlineLevel="2" ht="15.75" customHeight="1">
      <c r="A377" s="1067" t="n">
        <v>1</v>
      </c>
      <c r="B377" s="1067" t="inlineStr">
        <is>
          <t>Serviço</t>
        </is>
      </c>
      <c r="C377" s="1067" t="inlineStr">
        <is>
          <t>Forma para infraestrutura em Tábuas de Madeira Serrada 4x reaproveitamento</t>
        </is>
      </c>
      <c r="D377" s="1067" t="inlineStr">
        <is>
          <t>Forma para infraestrutura em Tábuas de Madeira Serrada 4x reaproveitamento</t>
        </is>
      </c>
      <c r="E377" s="1068" t="inlineStr">
        <is>
          <t>M2</t>
        </is>
      </c>
      <c r="F377" s="1067" t="n"/>
      <c r="G377" s="1069">
        <f t="array" ref="G377">IF(B377="insumo",_xlfn.XLOOKUP($D377,Insumos!$B$1:$B$996,Insumos!$D$1:$D$996),"")</f>
        <v/>
      </c>
      <c r="H377" s="1069" t="n">
        <v>59.9562285714286</v>
      </c>
      <c r="I377" s="2161" t="n">
        <v>0</v>
      </c>
      <c r="J377" s="2161" t="n">
        <v>0</v>
      </c>
      <c r="K377" s="2161" t="n"/>
    </row>
    <row r="378" outlineLevel="3" ht="15.75" customHeight="1">
      <c r="A378" s="10" t="n">
        <v>3</v>
      </c>
      <c r="B378" s="10" t="inlineStr">
        <is>
          <t>Insumo</t>
        </is>
      </c>
      <c r="C378" s="10" t="inlineStr">
        <is>
          <t>Forma para infraestrutura em Tábuas de Madeira Serrada 4x reaproveitamento</t>
        </is>
      </c>
      <c r="D378" s="10" t="inlineStr">
        <is>
          <t>PREGO DE ACO POLIDO COM CABECA 15 X 18 (1 1/2 X 13)</t>
        </is>
      </c>
      <c r="E378" s="11">
        <f t="array" ref="E378">_xlfn.XLOOKUP(D378,Insumos!B:B,Insumos!C:$C)</f>
        <v/>
      </c>
      <c r="F378" s="14" t="n">
        <v>0.011</v>
      </c>
      <c r="G378" s="92">
        <f t="array" ref="G378">IF(B378="insumo",_xlfn.XLOOKUP($D378,Insumos!$B$1:$B$996,Insumos!$D$1:$D$996),"")</f>
        <v/>
      </c>
      <c r="H378" s="92" t="n">
        <v>0.2068</v>
      </c>
      <c r="I378" s="2162" t="n">
        <v>0</v>
      </c>
      <c r="J378" s="2162" t="n">
        <v>0</v>
      </c>
      <c r="K378" s="2162" t="n"/>
    </row>
    <row r="379" outlineLevel="3" ht="15.75" customHeight="1">
      <c r="A379" s="10" t="n">
        <v>40</v>
      </c>
      <c r="B379" s="10" t="inlineStr">
        <is>
          <t>Insumo</t>
        </is>
      </c>
      <c r="C379" s="10" t="inlineStr">
        <is>
          <t>Forma para infraestrutura em Tábuas de Madeira Serrada 4x reaproveitamento</t>
        </is>
      </c>
      <c r="D379" s="10" t="inlineStr">
        <is>
          <t>PREGO DE ACO POLIDO COM CABECA 17 X 21 (2 X 11)</t>
        </is>
      </c>
      <c r="E379" s="11">
        <f t="array" ref="E379">_xlfn.XLOOKUP(D379,Insumos!B:B,Insumos!C:$C)</f>
        <v/>
      </c>
      <c r="F379" s="14" t="n">
        <v>0.095</v>
      </c>
      <c r="G379" s="92">
        <f t="array" ref="G379">IF(B379="insumo",_xlfn.XLOOKUP($D379,Insumos!$B$1:$B$996,Insumos!$D$1:$D$996),"")</f>
        <v/>
      </c>
      <c r="H379" s="92" t="n">
        <v>1.72235</v>
      </c>
      <c r="I379" s="2162" t="n">
        <v>0</v>
      </c>
      <c r="J379" s="2162" t="n">
        <v>0</v>
      </c>
      <c r="K379" s="2162" t="n"/>
    </row>
    <row r="380" outlineLevel="3" ht="15.75" customHeight="1">
      <c r="A380" s="10" t="n">
        <v>10</v>
      </c>
      <c r="B380" s="10" t="inlineStr">
        <is>
          <t>Insumo</t>
        </is>
      </c>
      <c r="C380" s="10" t="inlineStr">
        <is>
          <t>Forma para infraestrutura em Tábuas de Madeira Serrada 4x reaproveitamento</t>
        </is>
      </c>
      <c r="D380" s="10" t="inlineStr">
        <is>
          <t xml:space="preserve">DESMOLDANTE PROTETOR PARA FORMAS DE MADEIRA, DE BASE OLEOSA EMULSIONADA EM AGUA   </t>
        </is>
      </c>
      <c r="E380" s="11">
        <f t="array" ref="E380">_xlfn.XLOOKUP(D380,Insumos!B:B,Insumos!C:$C)</f>
        <v/>
      </c>
      <c r="F380" s="14" t="n">
        <v>0.017</v>
      </c>
      <c r="G380" s="92">
        <f t="array" ref="G380">IF(B380="insumo",_xlfn.XLOOKUP($D380,Insumos!$B$1:$B$996,Insumos!$D$1:$D$996),"")</f>
        <v/>
      </c>
      <c r="H380" s="92" t="n">
        <v>0.26435</v>
      </c>
      <c r="I380" s="2162" t="n">
        <v>0</v>
      </c>
      <c r="J380" s="2162" t="n">
        <v>0</v>
      </c>
      <c r="K380" s="2162" t="n"/>
    </row>
    <row r="381" outlineLevel="3" ht="15.75" customHeight="1">
      <c r="A381" s="10" t="n">
        <v>25</v>
      </c>
      <c r="B381" s="10" t="inlineStr">
        <is>
          <t>Insumo</t>
        </is>
      </c>
      <c r="C381" s="10" t="inlineStr">
        <is>
          <t>Forma para infraestrutura em Tábuas de Madeira Serrada 4x reaproveitamento</t>
        </is>
      </c>
      <c r="D381" s="10" t="inlineStr">
        <is>
          <t>MADEIRA PINUS/SIMILAR - PONTALETE 75X75MM NBR 11700/15696</t>
        </is>
      </c>
      <c r="E381" s="11">
        <f t="array" ref="E381">_xlfn.XLOOKUP(D381,Insumos!B:B,Insumos!C:$C)</f>
        <v/>
      </c>
      <c r="F381" s="14" t="n">
        <v>0.7371428571428572</v>
      </c>
      <c r="G381" s="92">
        <f t="array" ref="G381">IF(B381="insumo",_xlfn.XLOOKUP($D381,Insumos!$B$1:$B$996,Insumos!$D$1:$D$996),"")</f>
        <v/>
      </c>
      <c r="H381" s="92" t="n">
        <v>5.16</v>
      </c>
      <c r="I381" s="2162" t="n">
        <v>0</v>
      </c>
      <c r="J381" s="2162" t="n">
        <v>0</v>
      </c>
      <c r="K381" s="2162" t="n"/>
    </row>
    <row r="382" outlineLevel="3" ht="15.75" customHeight="1">
      <c r="A382" s="10" t="n">
        <v>19</v>
      </c>
      <c r="B382" s="10" t="inlineStr">
        <is>
          <t>Insumo</t>
        </is>
      </c>
      <c r="C382" s="10" t="inlineStr">
        <is>
          <t>Forma para infraestrutura em Tábuas de Madeira Serrada 4x reaproveitamento</t>
        </is>
      </c>
      <c r="D382" s="10" t="inlineStr">
        <is>
          <t>SARRAFO *2,5 X 7,5* CM EM PINUS, MISTA OU EQUIVALENTE DA REGIAO - BRUTA</t>
        </is>
      </c>
      <c r="E382" s="11">
        <f t="array" ref="E382">_xlfn.XLOOKUP(D382,Insumos!B:B,Insumos!C:$C)</f>
        <v/>
      </c>
      <c r="F382" s="14" t="n">
        <v>0.002638095238095238</v>
      </c>
      <c r="G382" s="92">
        <f t="array" ref="G382">IF(B382="insumo",_xlfn.XLOOKUP($D382,Insumos!$B$1:$B$996,Insumos!$D$1:$D$996),"")</f>
        <v/>
      </c>
      <c r="H382" s="92" t="n">
        <v>3.56142857142857</v>
      </c>
      <c r="I382" s="2162" t="n">
        <v>0</v>
      </c>
      <c r="J382" s="2162" t="n">
        <v>0</v>
      </c>
      <c r="K382" s="2162" t="n"/>
    </row>
    <row r="383" outlineLevel="3" ht="15.75" customHeight="1">
      <c r="A383" s="10" t="n">
        <v>6</v>
      </c>
      <c r="B383" s="10" t="inlineStr">
        <is>
          <t>Insumo</t>
        </is>
      </c>
      <c r="C383" s="10" t="inlineStr">
        <is>
          <t>Forma para infraestrutura em Tábuas de Madeira Serrada 4x reaproveitamento</t>
        </is>
      </c>
      <c r="D383" s="10" t="inlineStr">
        <is>
          <t>TABUA *2,5 X 30 CM EM PINUS, MISTA OU EQUIVALENTE DA REGIAO - BRUTA (M)</t>
        </is>
      </c>
      <c r="E383" s="11">
        <f t="array" ref="E383">_xlfn.XLOOKUP(D383,Insumos!B:B,Insumos!C:$C)</f>
        <v/>
      </c>
      <c r="F383" s="14" t="n">
        <v>1.155</v>
      </c>
      <c r="G383" s="92">
        <f t="array" ref="G383">IF(B383="insumo",_xlfn.XLOOKUP($D383,Insumos!$B$1:$B$996,Insumos!$D$1:$D$996),"")</f>
        <v/>
      </c>
      <c r="H383" s="92" t="n">
        <v>49.0413</v>
      </c>
      <c r="I383" s="2162" t="n">
        <v>0</v>
      </c>
      <c r="J383" s="2162" t="n">
        <v>0</v>
      </c>
      <c r="K383" s="2162" t="n"/>
    </row>
    <row r="384" outlineLevel="1" ht="15.75" customHeight="1">
      <c r="A384" s="1090" t="n">
        <v>4</v>
      </c>
      <c r="B384" s="1090" t="inlineStr">
        <is>
          <t>Subetapa</t>
        </is>
      </c>
      <c r="C384" s="1090" t="inlineStr">
        <is>
          <t>Forma para infraestrutura em Tábuas de Madeira Serrada 4x reaproveitamento</t>
        </is>
      </c>
      <c r="D384" s="1090" t="inlineStr">
        <is>
          <t>ARMADURA</t>
        </is>
      </c>
      <c r="E384" s="1091" t="n"/>
      <c r="F384" s="2160" t="n"/>
      <c r="G384" s="1091" t="n"/>
      <c r="H384" s="1091" t="n">
        <v>0</v>
      </c>
      <c r="I384" s="2160" t="n">
        <v>0</v>
      </c>
      <c r="J384" s="2160" t="n">
        <v>0</v>
      </c>
      <c r="K384" s="2160" t="n"/>
    </row>
    <row r="385" outlineLevel="2" ht="15.75" customHeight="1">
      <c r="A385" s="1067" t="n">
        <v>1</v>
      </c>
      <c r="B385" s="1067" t="inlineStr">
        <is>
          <t>Serviço</t>
        </is>
      </c>
      <c r="C385" s="1067" t="inlineStr">
        <is>
          <t>Armação aço CA-50 ø 5,0mm para infraestrutura (corte e dobra em obra)</t>
        </is>
      </c>
      <c r="D385" s="1067" t="inlineStr">
        <is>
          <t>Armação aço CA-50 ø 5,0mm para infraestrutura (corte e dobra em obra)</t>
        </is>
      </c>
      <c r="E385" s="1068" t="inlineStr">
        <is>
          <t>KG</t>
        </is>
      </c>
      <c r="F385" s="1067" t="n"/>
      <c r="G385" s="1069">
        <f t="array" ref="G385">IF(B385="insumo",_xlfn.XLOOKUP($D385,Insumos!$B$1:$B$996,Insumos!$D$1:$D$996),"")</f>
        <v/>
      </c>
      <c r="H385" s="1069" t="n">
        <v>7.0532266249184</v>
      </c>
      <c r="I385" s="2161" t="n">
        <v>0</v>
      </c>
      <c r="J385" s="2161" t="n">
        <v>0</v>
      </c>
      <c r="K385" s="2161" t="n"/>
    </row>
    <row r="386" outlineLevel="3" ht="15.75" customHeight="1">
      <c r="A386" s="10" t="n">
        <v>5</v>
      </c>
      <c r="B386" s="10" t="inlineStr">
        <is>
          <t>Insumo</t>
        </is>
      </c>
      <c r="C386" s="10" t="inlineStr">
        <is>
          <t>Armação aço CA-50 ø 5,0mm para infraestrutura (corte e dobra em obra)</t>
        </is>
      </c>
      <c r="D386" s="10" t="inlineStr">
        <is>
          <t>Aço CA60 5,0mm</t>
        </is>
      </c>
      <c r="E386" s="11">
        <f t="array" ref="E386">_xlfn.XLOOKUP(D386,Insumos!B:B,Insumos!C:$C)</f>
        <v/>
      </c>
      <c r="F386" s="14" t="n">
        <v>1.1</v>
      </c>
      <c r="G386" s="92">
        <f t="array" ref="G386">IF(B386="insumo",_xlfn.XLOOKUP($D386,Insumos!$B$1:$B$996,Insumos!$D$1:$D$996),"")</f>
        <v/>
      </c>
      <c r="H386" s="92" t="n">
        <v>6.7590816249184</v>
      </c>
      <c r="I386" s="2162" t="n">
        <v>0</v>
      </c>
      <c r="J386" s="2162" t="n">
        <v>0</v>
      </c>
      <c r="K386" s="2162" t="n"/>
    </row>
    <row r="387" outlineLevel="3" ht="15.75" customHeight="1">
      <c r="A387" s="10" t="n">
        <v>41</v>
      </c>
      <c r="B387" s="10" t="inlineStr">
        <is>
          <t>Insumo</t>
        </is>
      </c>
      <c r="C387" s="10" t="inlineStr">
        <is>
          <t>Armação aço CA-50 ø 5,0mm para infraestrutura (corte e dobra em obra)</t>
        </is>
      </c>
      <c r="D387" s="10" t="inlineStr">
        <is>
          <t xml:space="preserve">Arame Galvanizado </t>
        </is>
      </c>
      <c r="E387" s="11">
        <f t="array" ref="E387">_xlfn.XLOOKUP(D387,Insumos!B:B,Insumos!C:$C)</f>
        <v/>
      </c>
      <c r="F387" s="14" t="n">
        <v>0.0205</v>
      </c>
      <c r="G387" s="92">
        <f t="array" ref="G387">IF(B387="insumo",_xlfn.XLOOKUP($D387,Insumos!$B$1:$B$996,Insumos!$D$1:$D$996),"")</f>
        <v/>
      </c>
      <c r="H387" s="92" t="n">
        <v>0.280645</v>
      </c>
      <c r="I387" s="2162" t="n">
        <v>0</v>
      </c>
      <c r="J387" s="2162" t="n">
        <v>0</v>
      </c>
      <c r="K387" s="2162" t="n"/>
    </row>
    <row r="388" outlineLevel="3" ht="15.75" customHeight="1">
      <c r="A388" s="10" t="n">
        <v>62</v>
      </c>
      <c r="B388" s="10" t="inlineStr">
        <is>
          <t>Insumo</t>
        </is>
      </c>
      <c r="C388" s="10" t="inlineStr">
        <is>
          <t>Armação aço CA-50 ø 5,0mm para infraestrutura (corte e dobra em obra)</t>
        </is>
      </c>
      <c r="D388" s="10" t="inlineStr">
        <is>
          <t>Espaçador para armadura</t>
        </is>
      </c>
      <c r="E388" s="11">
        <f t="array" ref="E388">_xlfn.XLOOKUP(D388,Insumos!B:B,Insumos!C:$C)</f>
        <v/>
      </c>
      <c r="F388" s="14" t="n">
        <v>0.05</v>
      </c>
      <c r="G388" s="92">
        <f t="array" ref="G388">IF(B388="insumo",_xlfn.XLOOKUP($D388,Insumos!$B$1:$B$996,Insumos!$D$1:$D$996),"")</f>
        <v/>
      </c>
      <c r="H388" s="92" t="n">
        <v>0.0135</v>
      </c>
      <c r="I388" s="2162" t="n">
        <v>0</v>
      </c>
      <c r="J388" s="2162" t="n">
        <v>0</v>
      </c>
      <c r="K388" s="2162" t="n"/>
    </row>
    <row r="389" outlineLevel="2" ht="15.75" customHeight="1">
      <c r="A389" s="1067" t="n">
        <v>1</v>
      </c>
      <c r="B389" s="1067" t="inlineStr">
        <is>
          <t>Serviço</t>
        </is>
      </c>
      <c r="C389" s="1067" t="inlineStr">
        <is>
          <t>Armação aço CA-50 ø 6,3mm para infraestrutura (corte e dobra em obra)</t>
        </is>
      </c>
      <c r="D389" s="1067" t="inlineStr">
        <is>
          <t>Armação aço CA-50 ø 6,3mm para infraestrutura (corte e dobra em obra)</t>
        </is>
      </c>
      <c r="E389" s="1068" t="inlineStr">
        <is>
          <t>KG</t>
        </is>
      </c>
      <c r="F389" s="1067" t="n"/>
      <c r="G389" s="1069">
        <f t="array" ref="G389">IF(B389="insumo",_xlfn.XLOOKUP($D389,Insumos!$B$1:$B$996,Insumos!$D$1:$D$996),"")</f>
        <v/>
      </c>
      <c r="H389" s="1069" t="n">
        <v>6.0795673937957</v>
      </c>
      <c r="I389" s="2161" t="n">
        <v>0</v>
      </c>
      <c r="J389" s="2161" t="n">
        <v>0</v>
      </c>
      <c r="K389" s="2161" t="n"/>
    </row>
    <row r="390" outlineLevel="3" ht="15.75" customHeight="1">
      <c r="A390" s="10" t="n">
        <v>4</v>
      </c>
      <c r="B390" s="10" t="inlineStr">
        <is>
          <t>Insumo</t>
        </is>
      </c>
      <c r="C390" s="10" t="inlineStr">
        <is>
          <t>Armação aço CA-50 ø 6,3mm para infraestrutura (corte e dobra em obra)</t>
        </is>
      </c>
      <c r="D390" s="10" t="inlineStr">
        <is>
          <t>Aço CA50 6,3 mm</t>
        </is>
      </c>
      <c r="E390" s="11">
        <f t="array" ref="E390">_xlfn.XLOOKUP(D390,Insumos!B:B,Insumos!C:$C)</f>
        <v/>
      </c>
      <c r="F390" s="14" t="n">
        <v>1.1</v>
      </c>
      <c r="G390" s="92">
        <f t="array" ref="G390">IF(B390="insumo",_xlfn.XLOOKUP($D390,Insumos!$B$1:$B$996,Insumos!$D$1:$D$996),"")</f>
        <v/>
      </c>
      <c r="H390" s="92" t="n">
        <v>5.7854223937957</v>
      </c>
      <c r="I390" s="2162" t="n">
        <v>0</v>
      </c>
      <c r="J390" s="2162" t="n">
        <v>0</v>
      </c>
      <c r="K390" s="2162" t="n"/>
    </row>
    <row r="391" outlineLevel="3" ht="15.75" customHeight="1">
      <c r="A391" s="10" t="n">
        <v>41</v>
      </c>
      <c r="B391" s="10" t="inlineStr">
        <is>
          <t>Insumo</t>
        </is>
      </c>
      <c r="C391" s="10" t="inlineStr">
        <is>
          <t>Armação aço CA-50 ø 6,3mm para infraestrutura (corte e dobra em obra)</t>
        </is>
      </c>
      <c r="D391" s="10" t="inlineStr">
        <is>
          <t xml:space="preserve">Arame Galvanizado </t>
        </is>
      </c>
      <c r="E391" s="11">
        <f t="array" ref="E391">_xlfn.XLOOKUP(D391,Insumos!B:B,Insumos!C:$C)</f>
        <v/>
      </c>
      <c r="F391" s="14" t="n">
        <v>0.0205</v>
      </c>
      <c r="G391" s="92">
        <f t="array" ref="G391">IF(B391="insumo",_xlfn.XLOOKUP($D391,Insumos!$B$1:$B$996,Insumos!$D$1:$D$996),"")</f>
        <v/>
      </c>
      <c r="H391" s="92" t="n">
        <v>0.280645</v>
      </c>
      <c r="I391" s="2162" t="n">
        <v>0</v>
      </c>
      <c r="J391" s="2162" t="n">
        <v>0</v>
      </c>
      <c r="K391" s="2162" t="n"/>
    </row>
    <row r="392" outlineLevel="3" ht="15.75" customHeight="1">
      <c r="A392" s="10" t="n">
        <v>62</v>
      </c>
      <c r="B392" s="10" t="inlineStr">
        <is>
          <t>Insumo</t>
        </is>
      </c>
      <c r="C392" s="10" t="inlineStr">
        <is>
          <t>Armação aço CA-50 ø 6,3mm para infraestrutura (corte e dobra em obra)</t>
        </is>
      </c>
      <c r="D392" s="10" t="inlineStr">
        <is>
          <t>Espaçador para armadura</t>
        </is>
      </c>
      <c r="E392" s="11">
        <f t="array" ref="E392">_xlfn.XLOOKUP(D392,Insumos!B:B,Insumos!C:$C)</f>
        <v/>
      </c>
      <c r="F392" s="14" t="n">
        <v>0.05</v>
      </c>
      <c r="G392" s="92">
        <f t="array" ref="G392">IF(B392="insumo",_xlfn.XLOOKUP($D392,Insumos!$B$1:$B$996,Insumos!$D$1:$D$996),"")</f>
        <v/>
      </c>
      <c r="H392" s="92" t="n">
        <v>0.0135</v>
      </c>
      <c r="I392" s="2162" t="n">
        <v>0</v>
      </c>
      <c r="J392" s="2162" t="n">
        <v>0</v>
      </c>
      <c r="K392" s="2162" t="n"/>
    </row>
    <row r="393" outlineLevel="2" ht="15.75" customHeight="1">
      <c r="A393" s="1067" t="n">
        <v>1</v>
      </c>
      <c r="B393" s="1067" t="inlineStr">
        <is>
          <t>Serviço</t>
        </is>
      </c>
      <c r="C393" s="1067" t="inlineStr">
        <is>
          <t>Armação aço CA-50 ø 8,0mm para infraestrutura (corte e dobra em obra)</t>
        </is>
      </c>
      <c r="D393" s="1067" t="inlineStr">
        <is>
          <t>Armação aço CA-50 ø 8,0mm para infraestrutura (corte e dobra em obra)</t>
        </is>
      </c>
      <c r="E393" s="1068" t="inlineStr">
        <is>
          <t>KG</t>
        </is>
      </c>
      <c r="F393" s="1067" t="n"/>
      <c r="G393" s="1069">
        <f t="array" ref="G393">IF(B393="insumo",_xlfn.XLOOKUP($D393,Insumos!$B$1:$B$996,Insumos!$D$1:$D$996),"")</f>
        <v/>
      </c>
      <c r="H393" s="1069" t="n">
        <v>5.71148765890462</v>
      </c>
      <c r="I393" s="2161" t="n">
        <v>0</v>
      </c>
      <c r="J393" s="2161" t="n">
        <v>0</v>
      </c>
      <c r="K393" s="2161" t="n"/>
    </row>
    <row r="394" outlineLevel="3" ht="15.75" customHeight="1">
      <c r="A394" s="10" t="n">
        <v>5</v>
      </c>
      <c r="B394" s="10" t="inlineStr">
        <is>
          <t>Insumo</t>
        </is>
      </c>
      <c r="C394" s="10" t="inlineStr">
        <is>
          <t>Armação aço CA-50 ø 8,0mm para infraestrutura (corte e dobra em obra)</t>
        </is>
      </c>
      <c r="D394" s="10" t="inlineStr">
        <is>
          <t>Aço CA50 8,0 mm</t>
        </is>
      </c>
      <c r="E394" s="11">
        <f t="array" ref="E394">_xlfn.XLOOKUP(D394,Insumos!B:B,Insumos!C:$C)</f>
        <v/>
      </c>
      <c r="F394" s="14" t="n">
        <v>1.1</v>
      </c>
      <c r="G394" s="92">
        <f t="array" ref="G394">IF(B394="insumo",_xlfn.XLOOKUP($D394,Insumos!$B$1:$B$996,Insumos!$D$1:$D$996),"")</f>
        <v/>
      </c>
      <c r="H394" s="92" t="n">
        <v>5.41734265890462</v>
      </c>
      <c r="I394" s="2162" t="n">
        <v>0</v>
      </c>
      <c r="J394" s="2162" t="n">
        <v>0</v>
      </c>
      <c r="K394" s="2162" t="n"/>
    </row>
    <row r="395" outlineLevel="3" ht="15.75" customHeight="1">
      <c r="A395" s="10" t="n">
        <v>41</v>
      </c>
      <c r="B395" s="10" t="inlineStr">
        <is>
          <t>Insumo</t>
        </is>
      </c>
      <c r="C395" s="10" t="inlineStr">
        <is>
          <t>Armação aço CA-50 ø 8,0mm para infraestrutura (corte e dobra em obra)</t>
        </is>
      </c>
      <c r="D395" s="10" t="inlineStr">
        <is>
          <t xml:space="preserve">Arame Galvanizado </t>
        </is>
      </c>
      <c r="E395" s="11">
        <f t="array" ref="E395">_xlfn.XLOOKUP(D395,Insumos!B:B,Insumos!C:$C)</f>
        <v/>
      </c>
      <c r="F395" s="14" t="n">
        <v>0.0205</v>
      </c>
      <c r="G395" s="92">
        <f t="array" ref="G395">IF(B395="insumo",_xlfn.XLOOKUP($D395,Insumos!$B$1:$B$996,Insumos!$D$1:$D$996),"")</f>
        <v/>
      </c>
      <c r="H395" s="92" t="n">
        <v>0.280645</v>
      </c>
      <c r="I395" s="2162" t="n">
        <v>0</v>
      </c>
      <c r="J395" s="2162" t="n">
        <v>0</v>
      </c>
      <c r="K395" s="2162" t="n"/>
    </row>
    <row r="396" outlineLevel="3" ht="15.75" customHeight="1">
      <c r="A396" s="10" t="n">
        <v>62</v>
      </c>
      <c r="B396" s="10" t="inlineStr">
        <is>
          <t>Insumo</t>
        </is>
      </c>
      <c r="C396" s="10" t="inlineStr">
        <is>
          <t>Armação aço CA-50 ø 8,0mm para infraestrutura (corte e dobra em obra)</t>
        </is>
      </c>
      <c r="D396" s="10" t="inlineStr">
        <is>
          <t>Espaçador para armadura</t>
        </is>
      </c>
      <c r="E396" s="11">
        <f t="array" ref="E396">_xlfn.XLOOKUP(D396,Insumos!B:B,Insumos!C:$C)</f>
        <v/>
      </c>
      <c r="F396" s="14" t="n">
        <v>0.05</v>
      </c>
      <c r="G396" s="92">
        <f t="array" ref="G396">IF(B396="insumo",_xlfn.XLOOKUP($D396,Insumos!$B$1:$B$996,Insumos!$D$1:$D$996),"")</f>
        <v/>
      </c>
      <c r="H396" s="92" t="n">
        <v>0.0135</v>
      </c>
      <c r="I396" s="2162" t="n">
        <v>0</v>
      </c>
      <c r="J396" s="2162" t="n">
        <v>0</v>
      </c>
      <c r="K396" s="2162" t="n"/>
    </row>
    <row r="397" outlineLevel="2" ht="15.75" customHeight="1">
      <c r="A397" s="1067" t="n">
        <v>1</v>
      </c>
      <c r="B397" s="1067" t="inlineStr">
        <is>
          <t>Serviço</t>
        </is>
      </c>
      <c r="C397" s="1067" t="inlineStr">
        <is>
          <t>Armação aço CA-50 ø 10,0mm para infraestrutura (corte e dobra em obra)</t>
        </is>
      </c>
      <c r="D397" s="1067" t="inlineStr">
        <is>
          <t>Armação aço CA-50 ø 10,0mm para infraestrutura (corte e dobra em obra)</t>
        </is>
      </c>
      <c r="E397" s="1068" t="inlineStr">
        <is>
          <t>KG</t>
        </is>
      </c>
      <c r="F397" s="1067" t="n"/>
      <c r="G397" s="1069">
        <f t="array" ref="G397">IF(B397="insumo",_xlfn.XLOOKUP($D397,Insumos!$B$1:$B$996,Insumos!$D$1:$D$996),"")</f>
        <v/>
      </c>
      <c r="H397" s="1069" t="n">
        <v>5.57489771932025</v>
      </c>
      <c r="I397" s="2161" t="n">
        <v>0</v>
      </c>
      <c r="J397" s="2161" t="n">
        <v>0</v>
      </c>
      <c r="K397" s="2161" t="n"/>
    </row>
    <row r="398" outlineLevel="3" ht="15.75" customHeight="1">
      <c r="A398" s="10" t="n">
        <v>4</v>
      </c>
      <c r="B398" s="10" t="inlineStr">
        <is>
          <t>Insumo</t>
        </is>
      </c>
      <c r="C398" s="10" t="inlineStr">
        <is>
          <t>Armação aço CA-50 ø 10,0mm para infraestrutura (corte e dobra em obra)</t>
        </is>
      </c>
      <c r="D398" s="10" t="inlineStr">
        <is>
          <t>Aço CA50 10,0 mm</t>
        </is>
      </c>
      <c r="E398" s="11">
        <f t="array" ref="E398">_xlfn.XLOOKUP(D398,Insumos!B:B,Insumos!C:$C)</f>
        <v/>
      </c>
      <c r="F398" s="14" t="n">
        <v>1.1</v>
      </c>
      <c r="G398" s="92">
        <f t="array" ref="G398">IF(B398="insumo",_xlfn.XLOOKUP($D398,Insumos!$B$1:$B$996,Insumos!$D$1:$D$996),"")</f>
        <v/>
      </c>
      <c r="H398" s="92" t="n">
        <v>5.28075271932025</v>
      </c>
      <c r="I398" s="2162" t="n">
        <v>0</v>
      </c>
      <c r="J398" s="2162" t="n">
        <v>0</v>
      </c>
      <c r="K398" s="2162" t="n"/>
    </row>
    <row r="399" outlineLevel="3" ht="15.75" customHeight="1">
      <c r="A399" s="10" t="n">
        <v>41</v>
      </c>
      <c r="B399" s="10" t="inlineStr">
        <is>
          <t>Insumo</t>
        </is>
      </c>
      <c r="C399" s="10" t="inlineStr">
        <is>
          <t>Armação aço CA-50 ø 10,0mm para infraestrutura (corte e dobra em obra)</t>
        </is>
      </c>
      <c r="D399" s="10" t="inlineStr">
        <is>
          <t xml:space="preserve">Arame Galvanizado </t>
        </is>
      </c>
      <c r="E399" s="11">
        <f t="array" ref="E399">_xlfn.XLOOKUP(D399,Insumos!B:B,Insumos!C:$C)</f>
        <v/>
      </c>
      <c r="F399" s="14" t="n">
        <v>0.0205</v>
      </c>
      <c r="G399" s="92">
        <f t="array" ref="G399">IF(B399="insumo",_xlfn.XLOOKUP($D399,Insumos!$B$1:$B$996,Insumos!$D$1:$D$996),"")</f>
        <v/>
      </c>
      <c r="H399" s="92" t="n">
        <v>0.280645</v>
      </c>
      <c r="I399" s="2162" t="n">
        <v>0</v>
      </c>
      <c r="J399" s="2162" t="n">
        <v>0</v>
      </c>
      <c r="K399" s="2162" t="n"/>
    </row>
    <row r="400" outlineLevel="3" ht="15.75" customHeight="1">
      <c r="A400" s="10" t="n">
        <v>62</v>
      </c>
      <c r="B400" s="10" t="inlineStr">
        <is>
          <t>Insumo</t>
        </is>
      </c>
      <c r="C400" s="10" t="inlineStr">
        <is>
          <t>Armação aço CA-50 ø 10,0mm para infraestrutura (corte e dobra em obra)</t>
        </is>
      </c>
      <c r="D400" s="10" t="inlineStr">
        <is>
          <t>Espaçador para armadura</t>
        </is>
      </c>
      <c r="E400" s="11">
        <f t="array" ref="E400">_xlfn.XLOOKUP(D400,Insumos!B:B,Insumos!C:$C)</f>
        <v/>
      </c>
      <c r="F400" s="14" t="n">
        <v>0.05</v>
      </c>
      <c r="G400" s="92">
        <f t="array" ref="G400">IF(B400="insumo",_xlfn.XLOOKUP($D400,Insumos!$B$1:$B$996,Insumos!$D$1:$D$996),"")</f>
        <v/>
      </c>
      <c r="H400" s="92" t="n">
        <v>0.0135</v>
      </c>
      <c r="I400" s="2162" t="n">
        <v>0</v>
      </c>
      <c r="J400" s="2162" t="n">
        <v>0</v>
      </c>
      <c r="K400" s="2162" t="n"/>
    </row>
    <row r="401" outlineLevel="2" ht="15.75" customHeight="1">
      <c r="A401" s="1067" t="n">
        <v>1</v>
      </c>
      <c r="B401" s="1067" t="inlineStr">
        <is>
          <t>Serviço</t>
        </is>
      </c>
      <c r="C401" s="1067" t="inlineStr">
        <is>
          <t xml:space="preserve">Armação aço CA-50 ø 12,5mm para infraestrutura (corte e dobra em obra) </t>
        </is>
      </c>
      <c r="D401" s="1067" t="inlineStr">
        <is>
          <t xml:space="preserve">Armação aço CA-50 ø 12,5mm para infraestrutura (corte e dobra em obra) </t>
        </is>
      </c>
      <c r="E401" s="1068" t="inlineStr">
        <is>
          <t>KG</t>
        </is>
      </c>
      <c r="F401" s="1067" t="n"/>
      <c r="G401" s="1069">
        <f t="array" ref="G401">IF(B401="insumo",_xlfn.XLOOKUP($D401,Insumos!$B$1:$B$996,Insumos!$D$1:$D$996),"")</f>
        <v/>
      </c>
      <c r="H401" s="1069" t="n">
        <v>5.85253908446873</v>
      </c>
      <c r="I401" s="2161" t="n">
        <v>0</v>
      </c>
      <c r="J401" s="2161" t="n">
        <v>0</v>
      </c>
      <c r="K401" s="2161" t="n"/>
    </row>
    <row r="402" outlineLevel="3" ht="15.75" customHeight="1">
      <c r="A402" s="10" t="n">
        <v>3</v>
      </c>
      <c r="B402" s="10" t="inlineStr">
        <is>
          <t>Insumo</t>
        </is>
      </c>
      <c r="C402" s="10" t="inlineStr">
        <is>
          <t xml:space="preserve">Armação aço CA-50 ø 12,5mm para infraestrutura (corte e dobra em obra) </t>
        </is>
      </c>
      <c r="D402" s="10" t="inlineStr">
        <is>
          <t>Aço CA50 12,5 mm</t>
        </is>
      </c>
      <c r="E402" s="11">
        <f t="array" ref="E402">_xlfn.XLOOKUP(D402,Insumos!B:B,Insumos!C:$C)</f>
        <v/>
      </c>
      <c r="F402" s="14" t="n">
        <v>1.1</v>
      </c>
      <c r="G402" s="92">
        <f t="array" ref="G402">IF(B402="insumo",_xlfn.XLOOKUP($D402,Insumos!$B$1:$B$996,Insumos!$D$1:$D$996),"")</f>
        <v/>
      </c>
      <c r="H402" s="92" t="n">
        <v>5.55839408446873</v>
      </c>
      <c r="I402" s="2162" t="n">
        <v>0</v>
      </c>
      <c r="J402" s="2162" t="n">
        <v>0</v>
      </c>
      <c r="K402" s="2162" t="n"/>
    </row>
    <row r="403" outlineLevel="3" ht="15.75" customHeight="1">
      <c r="A403" s="10" t="n">
        <v>41</v>
      </c>
      <c r="B403" s="10" t="inlineStr">
        <is>
          <t>Insumo</t>
        </is>
      </c>
      <c r="C403" s="10" t="inlineStr">
        <is>
          <t xml:space="preserve">Armação aço CA-50 ø 12,5mm para infraestrutura (corte e dobra em obra) </t>
        </is>
      </c>
      <c r="D403" s="10" t="inlineStr">
        <is>
          <t xml:space="preserve">Arame Galvanizado </t>
        </is>
      </c>
      <c r="E403" s="11">
        <f t="array" ref="E403">_xlfn.XLOOKUP(D403,Insumos!B:B,Insumos!C:$C)</f>
        <v/>
      </c>
      <c r="F403" s="14" t="n">
        <v>0.0205</v>
      </c>
      <c r="G403" s="92">
        <f t="array" ref="G403">IF(B403="insumo",_xlfn.XLOOKUP($D403,Insumos!$B$1:$B$996,Insumos!$D$1:$D$996),"")</f>
        <v/>
      </c>
      <c r="H403" s="92" t="n">
        <v>0.280645</v>
      </c>
      <c r="I403" s="2162" t="n">
        <v>0</v>
      </c>
      <c r="J403" s="2162" t="n">
        <v>0</v>
      </c>
      <c r="K403" s="2162" t="n"/>
    </row>
    <row r="404" outlineLevel="3" ht="15.75" customHeight="1">
      <c r="A404" s="10" t="n">
        <v>62</v>
      </c>
      <c r="B404" s="10" t="inlineStr">
        <is>
          <t>Insumo</t>
        </is>
      </c>
      <c r="C404" s="10" t="inlineStr">
        <is>
          <t xml:space="preserve">Armação aço CA-50 ø 12,5mm para infraestrutura (corte e dobra em obra) </t>
        </is>
      </c>
      <c r="D404" s="10" t="inlineStr">
        <is>
          <t>Espaçador para armadura</t>
        </is>
      </c>
      <c r="E404" s="11">
        <f t="array" ref="E404">_xlfn.XLOOKUP(D404,Insumos!B:B,Insumos!C:$C)</f>
        <v/>
      </c>
      <c r="F404" s="14" t="n">
        <v>0.05</v>
      </c>
      <c r="G404" s="92">
        <f t="array" ref="G404">IF(B404="insumo",_xlfn.XLOOKUP($D404,Insumos!$B$1:$B$996,Insumos!$D$1:$D$996),"")</f>
        <v/>
      </c>
      <c r="H404" s="92" t="n">
        <v>0.0135</v>
      </c>
      <c r="I404" s="2162" t="n">
        <v>0</v>
      </c>
      <c r="J404" s="2162" t="n">
        <v>0</v>
      </c>
      <c r="K404" s="2162" t="n"/>
    </row>
    <row r="405" outlineLevel="2" ht="15.75" customHeight="1">
      <c r="A405" s="1067" t="n">
        <v>1</v>
      </c>
      <c r="B405" s="1067" t="inlineStr">
        <is>
          <t>Serviço</t>
        </is>
      </c>
      <c r="C405" s="1067" t="inlineStr">
        <is>
          <t>Armação aço CA-50 ø 16,0mm para infraestrutura (corte e dobra em obra)</t>
        </is>
      </c>
      <c r="D405" s="1067" t="inlineStr">
        <is>
          <t>Armação aço CA-50 ø 16,0mm para infraestrutura (corte e dobra em obra)</t>
        </is>
      </c>
      <c r="E405" s="1068" t="inlineStr">
        <is>
          <t>KG</t>
        </is>
      </c>
      <c r="F405" s="1067" t="n"/>
      <c r="G405" s="1069">
        <f t="array" ref="G405">IF(B405="insumo",_xlfn.XLOOKUP($D405,Insumos!$B$1:$B$996,Insumos!$D$1:$D$996),"")</f>
        <v/>
      </c>
      <c r="H405" s="1069" t="n">
        <v>5.72876144939818</v>
      </c>
      <c r="I405" s="2161" t="n">
        <v>0</v>
      </c>
      <c r="J405" s="2161" t="n">
        <v>0</v>
      </c>
      <c r="K405" s="2161" t="n"/>
    </row>
    <row r="406" outlineLevel="3" ht="15.75" customHeight="1">
      <c r="A406" s="10" t="n">
        <v>4</v>
      </c>
      <c r="B406" s="10" t="inlineStr">
        <is>
          <t>Insumo</t>
        </is>
      </c>
      <c r="C406" s="10" t="inlineStr">
        <is>
          <t>Armação aço CA-50 ø 16,0mm para infraestrutura (corte e dobra em obra)</t>
        </is>
      </c>
      <c r="D406" s="10" t="inlineStr">
        <is>
          <t>Aço CA50 16,0mm</t>
        </is>
      </c>
      <c r="E406" s="11">
        <f t="array" ref="E406">_xlfn.XLOOKUP(D406,Insumos!B:B,Insumos!C:$C)</f>
        <v/>
      </c>
      <c r="F406" s="14" t="n">
        <v>1.1</v>
      </c>
      <c r="G406" s="92">
        <f t="array" ref="G406">IF(B406="insumo",_xlfn.XLOOKUP($D406,Insumos!$B$1:$B$996,Insumos!$D$1:$D$996),"")</f>
        <v/>
      </c>
      <c r="H406" s="92" t="n">
        <v>5.43461644939818</v>
      </c>
      <c r="I406" s="2162" t="n">
        <v>0</v>
      </c>
      <c r="J406" s="2162" t="n">
        <v>0</v>
      </c>
      <c r="K406" s="2162" t="n"/>
    </row>
    <row r="407" outlineLevel="3" ht="15.75" customHeight="1">
      <c r="A407" s="10" t="n">
        <v>41</v>
      </c>
      <c r="B407" s="10" t="inlineStr">
        <is>
          <t>Insumo</t>
        </is>
      </c>
      <c r="C407" s="10" t="inlineStr">
        <is>
          <t>Armação aço CA-50 ø 16,0mm para infraestrutura (corte e dobra em obra)</t>
        </is>
      </c>
      <c r="D407" s="10" t="inlineStr">
        <is>
          <t xml:space="preserve">Arame Galvanizado </t>
        </is>
      </c>
      <c r="E407" s="11">
        <f t="array" ref="E407">_xlfn.XLOOKUP(D407,Insumos!B:B,Insumos!C:$C)</f>
        <v/>
      </c>
      <c r="F407" s="14" t="n">
        <v>0.0205</v>
      </c>
      <c r="G407" s="92">
        <f t="array" ref="G407">IF(B407="insumo",_xlfn.XLOOKUP($D407,Insumos!$B$1:$B$996,Insumos!$D$1:$D$996),"")</f>
        <v/>
      </c>
      <c r="H407" s="92" t="n">
        <v>0.280645</v>
      </c>
      <c r="I407" s="2162" t="n">
        <v>0</v>
      </c>
      <c r="J407" s="2162" t="n">
        <v>0</v>
      </c>
      <c r="K407" s="2162" t="n"/>
    </row>
    <row r="408" outlineLevel="3" ht="15.75" customHeight="1">
      <c r="A408" s="10" t="n">
        <v>62</v>
      </c>
      <c r="B408" s="10" t="inlineStr">
        <is>
          <t>Insumo</t>
        </is>
      </c>
      <c r="C408" s="10" t="inlineStr">
        <is>
          <t>Armação aço CA-50 ø 16,0mm para infraestrutura (corte e dobra em obra)</t>
        </is>
      </c>
      <c r="D408" s="10" t="inlineStr">
        <is>
          <t>Espaçador para armadura</t>
        </is>
      </c>
      <c r="E408" s="11">
        <f t="array" ref="E408">_xlfn.XLOOKUP(D408,Insumos!B:B,Insumos!C:$C)</f>
        <v/>
      </c>
      <c r="F408" s="14" t="n">
        <v>0.05</v>
      </c>
      <c r="G408" s="92">
        <f t="array" ref="G408">IF(B408="insumo",_xlfn.XLOOKUP($D408,Insumos!$B$1:$B$996,Insumos!$D$1:$D$996),"")</f>
        <v/>
      </c>
      <c r="H408" s="92" t="n">
        <v>0.0135</v>
      </c>
      <c r="I408" s="2162" t="n">
        <v>0</v>
      </c>
      <c r="J408" s="2162" t="n">
        <v>0</v>
      </c>
      <c r="K408" s="2162" t="n"/>
    </row>
    <row r="409" outlineLevel="2" ht="15.75" customHeight="1">
      <c r="A409" s="1067" t="n">
        <v>1</v>
      </c>
      <c r="B409" s="1067" t="inlineStr">
        <is>
          <t>Serviço</t>
        </is>
      </c>
      <c r="C409" s="1067" t="inlineStr">
        <is>
          <t xml:space="preserve">Armação aço CA-50 ø 20,0mm para infraestrutura (corte e dobra em obra) </t>
        </is>
      </c>
      <c r="D409" s="1067" t="inlineStr">
        <is>
          <t xml:space="preserve">Armação aço CA-50 ø 20,0mm para infraestrutura (corte e dobra em obra) </t>
        </is>
      </c>
      <c r="E409" s="1068" t="inlineStr">
        <is>
          <t>KG</t>
        </is>
      </c>
      <c r="F409" s="1067" t="n"/>
      <c r="G409" s="1069">
        <f t="array" ref="G409">IF(B409="insumo",_xlfn.XLOOKUP($D409,Insumos!$B$1:$B$996,Insumos!$D$1:$D$996),"")</f>
        <v/>
      </c>
      <c r="H409" s="1069" t="n">
        <v>5.83202387420167</v>
      </c>
      <c r="I409" s="2161" t="n">
        <v>0</v>
      </c>
      <c r="J409" s="2161" t="n">
        <v>0</v>
      </c>
      <c r="K409" s="2161" t="n"/>
    </row>
    <row r="410" outlineLevel="3" ht="15.75" customHeight="1">
      <c r="A410" s="10" t="n">
        <v>4</v>
      </c>
      <c r="B410" s="10" t="inlineStr">
        <is>
          <t>Insumo</t>
        </is>
      </c>
      <c r="C410" s="10" t="inlineStr">
        <is>
          <t xml:space="preserve">Armação aço CA-50 ø 20,0mm para infraestrutura (corte e dobra em obra) </t>
        </is>
      </c>
      <c r="D410" s="10" t="inlineStr">
        <is>
          <t>Aço CA50 20,0mm</t>
        </is>
      </c>
      <c r="E410" s="11">
        <f t="array" ref="E410">_xlfn.XLOOKUP(D410,Insumos!B:B,Insumos!C:$C)</f>
        <v/>
      </c>
      <c r="F410" s="14" t="n">
        <v>1.1</v>
      </c>
      <c r="G410" s="92">
        <f t="array" ref="G410">IF(B410="insumo",_xlfn.XLOOKUP($D410,Insumos!$B$1:$B$996,Insumos!$D$1:$D$996),"")</f>
        <v/>
      </c>
      <c r="H410" s="92" t="n">
        <v>5.53787887420167</v>
      </c>
      <c r="I410" s="2162" t="n">
        <v>0</v>
      </c>
      <c r="J410" s="2162" t="n">
        <v>0</v>
      </c>
      <c r="K410" s="2162" t="n"/>
    </row>
    <row r="411" outlineLevel="3" ht="15.75" customHeight="1">
      <c r="A411" s="10" t="n">
        <v>41</v>
      </c>
      <c r="B411" s="10" t="inlineStr">
        <is>
          <t>Insumo</t>
        </is>
      </c>
      <c r="C411" s="10" t="inlineStr">
        <is>
          <t xml:space="preserve">Armação aço CA-50 ø 20,0mm para infraestrutura (corte e dobra em obra) </t>
        </is>
      </c>
      <c r="D411" s="10" t="inlineStr">
        <is>
          <t xml:space="preserve">Arame Galvanizado </t>
        </is>
      </c>
      <c r="E411" s="11">
        <f t="array" ref="E411">_xlfn.XLOOKUP(D411,Insumos!B:B,Insumos!C:$C)</f>
        <v/>
      </c>
      <c r="F411" s="14" t="n">
        <v>0.0205</v>
      </c>
      <c r="G411" s="92">
        <f t="array" ref="G411">IF(B411="insumo",_xlfn.XLOOKUP($D411,Insumos!$B$1:$B$996,Insumos!$D$1:$D$996),"")</f>
        <v/>
      </c>
      <c r="H411" s="92" t="n">
        <v>0.280645</v>
      </c>
      <c r="I411" s="2162" t="n">
        <v>0</v>
      </c>
      <c r="J411" s="2162" t="n">
        <v>0</v>
      </c>
      <c r="K411" s="2162" t="n"/>
    </row>
    <row r="412" outlineLevel="3" ht="15.75" customHeight="1">
      <c r="A412" s="10" t="n">
        <v>62</v>
      </c>
      <c r="B412" s="10" t="inlineStr">
        <is>
          <t>Insumo</t>
        </is>
      </c>
      <c r="C412" s="10" t="inlineStr">
        <is>
          <t xml:space="preserve">Armação aço CA-50 ø 20,0mm para infraestrutura (corte e dobra em obra) </t>
        </is>
      </c>
      <c r="D412" s="10" t="inlineStr">
        <is>
          <t>Espaçador para armadura</t>
        </is>
      </c>
      <c r="E412" s="11">
        <f t="array" ref="E412">_xlfn.XLOOKUP(D412,Insumos!B:B,Insumos!C:$C)</f>
        <v/>
      </c>
      <c r="F412" s="14" t="n">
        <v>0.05</v>
      </c>
      <c r="G412" s="92">
        <f t="array" ref="G412">IF(B412="insumo",_xlfn.XLOOKUP($D412,Insumos!$B$1:$B$996,Insumos!$D$1:$D$996),"")</f>
        <v/>
      </c>
      <c r="H412" s="92" t="n">
        <v>0.0135</v>
      </c>
      <c r="I412" s="2162" t="n">
        <v>0</v>
      </c>
      <c r="J412" s="2162" t="n">
        <v>0</v>
      </c>
      <c r="K412" s="2162" t="n"/>
    </row>
    <row r="413" outlineLevel="2" ht="15.75" customHeight="1">
      <c r="A413" s="1067" t="n">
        <v>1</v>
      </c>
      <c r="B413" s="1067" t="inlineStr">
        <is>
          <t>Serviço</t>
        </is>
      </c>
      <c r="C413" s="1067" t="inlineStr">
        <is>
          <t xml:space="preserve">Armação aço CA-50 ø 25,0mm para infraestrutura (corte e dobra em obra) </t>
        </is>
      </c>
      <c r="D413" s="1067" t="inlineStr">
        <is>
          <t xml:space="preserve">Armação aço CA-50 ø 25,0mm para infraestrutura (corte e dobra em obra) </t>
        </is>
      </c>
      <c r="E413" s="1068" t="inlineStr">
        <is>
          <t>KG</t>
        </is>
      </c>
      <c r="F413" s="1067" t="n"/>
      <c r="G413" s="1069">
        <f t="array" ref="G413">IF(B413="insumo",_xlfn.XLOOKUP($D413,Insumos!$B$1:$B$996,Insumos!$D$1:$D$996),"")</f>
        <v/>
      </c>
      <c r="H413" s="1069" t="n">
        <v>5.97109784758844</v>
      </c>
      <c r="I413" s="2161" t="n">
        <v>0</v>
      </c>
      <c r="J413" s="2161" t="n">
        <v>0</v>
      </c>
      <c r="K413" s="2161" t="n"/>
    </row>
    <row r="414" outlineLevel="3" ht="15.75" customHeight="1">
      <c r="A414" s="10" t="n">
        <v>3</v>
      </c>
      <c r="B414" s="10" t="inlineStr">
        <is>
          <t>Insumo</t>
        </is>
      </c>
      <c r="C414" s="10" t="inlineStr">
        <is>
          <t xml:space="preserve">Armação aço CA-50 ø 25,0mm para infraestrutura (corte e dobra em obra) </t>
        </is>
      </c>
      <c r="D414" s="10" t="inlineStr">
        <is>
          <t>Aço CA50 25,0mm</t>
        </is>
      </c>
      <c r="E414" s="11">
        <f t="array" ref="E414">_xlfn.XLOOKUP(D414,Insumos!B:B,Insumos!C:$C)</f>
        <v/>
      </c>
      <c r="F414" s="14" t="n">
        <v>1.1</v>
      </c>
      <c r="G414" s="92">
        <f t="array" ref="G414">IF(B414="insumo",_xlfn.XLOOKUP($D414,Insumos!$B$1:$B$996,Insumos!$D$1:$D$996),"")</f>
        <v/>
      </c>
      <c r="H414" s="92" t="n">
        <v>5.67695284758844</v>
      </c>
      <c r="I414" s="2162" t="n">
        <v>0</v>
      </c>
      <c r="J414" s="2162" t="n">
        <v>0</v>
      </c>
      <c r="K414" s="2162" t="n"/>
    </row>
    <row r="415" outlineLevel="3" ht="15.75" customHeight="1">
      <c r="A415" s="10" t="n">
        <v>41</v>
      </c>
      <c r="B415" s="10" t="inlineStr">
        <is>
          <t>Insumo</t>
        </is>
      </c>
      <c r="C415" s="10" t="inlineStr">
        <is>
          <t xml:space="preserve">Armação aço CA-50 ø 25,0mm para infraestrutura (corte e dobra em obra) </t>
        </is>
      </c>
      <c r="D415" s="10" t="inlineStr">
        <is>
          <t xml:space="preserve">Arame Galvanizado </t>
        </is>
      </c>
      <c r="E415" s="11">
        <f t="array" ref="E415">_xlfn.XLOOKUP(D415,Insumos!B:B,Insumos!C:$C)</f>
        <v/>
      </c>
      <c r="F415" s="14" t="n">
        <v>0.0205</v>
      </c>
      <c r="G415" s="92">
        <f t="array" ref="G415">IF(B415="insumo",_xlfn.XLOOKUP($D415,Insumos!$B$1:$B$996,Insumos!$D$1:$D$996),"")</f>
        <v/>
      </c>
      <c r="H415" s="92" t="n">
        <v>0.280645</v>
      </c>
      <c r="I415" s="2162" t="n">
        <v>0</v>
      </c>
      <c r="J415" s="2162" t="n">
        <v>0</v>
      </c>
      <c r="K415" s="2162" t="n"/>
    </row>
    <row r="416" outlineLevel="3" ht="15.75" customHeight="1">
      <c r="A416" s="10" t="n">
        <v>62</v>
      </c>
      <c r="B416" s="10" t="inlineStr">
        <is>
          <t>Insumo</t>
        </is>
      </c>
      <c r="C416" s="10" t="inlineStr">
        <is>
          <t xml:space="preserve">Armação aço CA-50 ø 25,0mm para infraestrutura (corte e dobra em obra) </t>
        </is>
      </c>
      <c r="D416" s="10" t="inlineStr">
        <is>
          <t>Espaçador para armadura</t>
        </is>
      </c>
      <c r="E416" s="11">
        <f t="array" ref="E416">_xlfn.XLOOKUP(D416,Insumos!B:B,Insumos!C:$C)</f>
        <v/>
      </c>
      <c r="F416" s="14" t="n">
        <v>0.05</v>
      </c>
      <c r="G416" s="92">
        <f t="array" ref="G416">IF(B416="insumo",_xlfn.XLOOKUP($D416,Insumos!$B$1:$B$996,Insumos!$D$1:$D$996),"")</f>
        <v/>
      </c>
      <c r="H416" s="92" t="n">
        <v>0.0135</v>
      </c>
      <c r="I416" s="2162" t="n">
        <v>0</v>
      </c>
      <c r="J416" s="2162" t="n">
        <v>0</v>
      </c>
      <c r="K416" s="2162" t="n"/>
    </row>
    <row r="417" outlineLevel="2" ht="15.75" customHeight="1">
      <c r="A417" s="1067" t="n">
        <v>1</v>
      </c>
      <c r="B417" s="1067" t="inlineStr">
        <is>
          <t>Serviço</t>
        </is>
      </c>
      <c r="C417" s="1067" t="inlineStr">
        <is>
          <t xml:space="preserve">Armação aço CA-60 ø 5,00mm para infraestrutura (corte e dobra em obra) </t>
        </is>
      </c>
      <c r="D417" s="1067" t="inlineStr">
        <is>
          <t xml:space="preserve">Armação aço CA-60 ø 5,00mm para infraestrutura (corte e dobra em obra) </t>
        </is>
      </c>
      <c r="E417" s="1068" t="inlineStr">
        <is>
          <t>KG</t>
        </is>
      </c>
      <c r="F417" s="1067" t="n"/>
      <c r="G417" s="1069">
        <f t="array" ref="G417">IF(B417="insumo",_xlfn.XLOOKUP($D417,Insumos!$B$1:$B$996,Insumos!$D$1:$D$996),"")</f>
        <v/>
      </c>
      <c r="H417" s="1069" t="n">
        <v>7.0532266249184</v>
      </c>
      <c r="I417" s="2161" t="n">
        <v>0</v>
      </c>
      <c r="J417" s="2161" t="n">
        <v>0</v>
      </c>
      <c r="K417" s="2161" t="n"/>
    </row>
    <row r="418" outlineLevel="3" ht="15.75" customHeight="1">
      <c r="A418" s="10" t="n">
        <v>5</v>
      </c>
      <c r="B418" s="10" t="inlineStr">
        <is>
          <t>Insumo</t>
        </is>
      </c>
      <c r="C418" s="10" t="inlineStr">
        <is>
          <t xml:space="preserve">Armação aço CA-60 ø 5,00mm para infraestrutura (corte e dobra em obra) </t>
        </is>
      </c>
      <c r="D418" s="10" t="inlineStr">
        <is>
          <t>Aço CA60 5,0mm</t>
        </is>
      </c>
      <c r="E418" s="11">
        <f t="array" ref="E418">_xlfn.XLOOKUP(D418,Insumos!B:B,Insumos!C:$C)</f>
        <v/>
      </c>
      <c r="F418" s="14" t="n">
        <v>1.1</v>
      </c>
      <c r="G418" s="92">
        <f t="array" ref="G418">IF(B418="insumo",_xlfn.XLOOKUP($D418,Insumos!$B$1:$B$996,Insumos!$D$1:$D$996),"")</f>
        <v/>
      </c>
      <c r="H418" s="92" t="n">
        <v>6.7590816249184</v>
      </c>
      <c r="I418" s="2162" t="n">
        <v>0</v>
      </c>
      <c r="J418" s="2162" t="n">
        <v>0</v>
      </c>
      <c r="K418" s="2162" t="n"/>
    </row>
    <row r="419" outlineLevel="3" ht="15.75" customHeight="1">
      <c r="A419" s="10" t="n">
        <v>41</v>
      </c>
      <c r="B419" s="10" t="inlineStr">
        <is>
          <t>Insumo</t>
        </is>
      </c>
      <c r="C419" s="10" t="inlineStr">
        <is>
          <t xml:space="preserve">Armação aço CA-60 ø 5,00mm para infraestrutura (corte e dobra em obra) </t>
        </is>
      </c>
      <c r="D419" s="10" t="inlineStr">
        <is>
          <t xml:space="preserve">Arame Galvanizado </t>
        </is>
      </c>
      <c r="E419" s="11">
        <f t="array" ref="E419">_xlfn.XLOOKUP(D419,Insumos!B:B,Insumos!C:$C)</f>
        <v/>
      </c>
      <c r="F419" s="14" t="n">
        <v>0.0205</v>
      </c>
      <c r="G419" s="92">
        <f t="array" ref="G419">IF(B419="insumo",_xlfn.XLOOKUP($D419,Insumos!$B$1:$B$996,Insumos!$D$1:$D$996),"")</f>
        <v/>
      </c>
      <c r="H419" s="92" t="n">
        <v>0.280645</v>
      </c>
      <c r="I419" s="2162" t="n">
        <v>0</v>
      </c>
      <c r="J419" s="2162" t="n">
        <v>0</v>
      </c>
      <c r="K419" s="2162" t="n"/>
    </row>
    <row r="420" outlineLevel="3" ht="15.75" customHeight="1">
      <c r="A420" s="10" t="n">
        <v>62</v>
      </c>
      <c r="B420" s="10" t="inlineStr">
        <is>
          <t>Insumo</t>
        </is>
      </c>
      <c r="C420" s="10" t="inlineStr">
        <is>
          <t xml:space="preserve">Armação aço CA-60 ø 5,00mm para infraestrutura (corte e dobra em obra) </t>
        </is>
      </c>
      <c r="D420" s="10" t="inlineStr">
        <is>
          <t>Espaçador para armadura</t>
        </is>
      </c>
      <c r="E420" s="11">
        <f t="array" ref="E420">_xlfn.XLOOKUP(D420,Insumos!B:B,Insumos!C:$C)</f>
        <v/>
      </c>
      <c r="F420" s="14" t="n">
        <v>0.05</v>
      </c>
      <c r="G420" s="92">
        <f t="array" ref="G420">IF(B420="insumo",_xlfn.XLOOKUP($D420,Insumos!$B$1:$B$996,Insumos!$D$1:$D$996),"")</f>
        <v/>
      </c>
      <c r="H420" s="92" t="n">
        <v>0.0135</v>
      </c>
      <c r="I420" s="2162" t="n">
        <v>0</v>
      </c>
      <c r="J420" s="2162" t="n">
        <v>0</v>
      </c>
      <c r="K420" s="2162" t="n"/>
    </row>
    <row r="421" outlineLevel="2" ht="15.75" customHeight="1">
      <c r="A421" s="1067" t="n">
        <v>1</v>
      </c>
      <c r="B421" s="1067" t="inlineStr">
        <is>
          <t>Serviço</t>
        </is>
      </c>
      <c r="C421" s="1067" t="inlineStr">
        <is>
          <t xml:space="preserve">Armação aço CA-50 ø 32,00mm para infraestrutura (corte e dobra em obra) </t>
        </is>
      </c>
      <c r="D421" s="1067" t="inlineStr">
        <is>
          <t xml:space="preserve">Armação aço CA-50 ø 32,00mm para infraestrutura (corte e dobra em obra) </t>
        </is>
      </c>
      <c r="E421" s="1068" t="inlineStr">
        <is>
          <t>KG</t>
        </is>
      </c>
      <c r="F421" s="1067" t="n"/>
      <c r="G421" s="1069">
        <f t="array" ref="G421">IF(B421="insumo",_xlfn.XLOOKUP($D421,Insumos!$B$1:$B$996,Insumos!$D$1:$D$996),"")</f>
        <v/>
      </c>
      <c r="H421" s="1069" t="n">
        <v>7.136145</v>
      </c>
      <c r="I421" s="2161" t="n">
        <v>0</v>
      </c>
      <c r="J421" s="2161" t="n">
        <v>0</v>
      </c>
      <c r="K421" s="2161" t="n"/>
    </row>
    <row r="422" outlineLevel="3" ht="15.75" customHeight="1">
      <c r="A422" s="10" t="n">
        <v>2</v>
      </c>
      <c r="B422" s="10" t="inlineStr">
        <is>
          <t>Insumo</t>
        </is>
      </c>
      <c r="C422" s="10" t="inlineStr">
        <is>
          <t xml:space="preserve">Armação aço CA-50 ø 32,00mm para infraestrutura (corte e dobra em obra) </t>
        </is>
      </c>
      <c r="D422" s="10" t="inlineStr">
        <is>
          <t>Aço CA60 32,0mm</t>
        </is>
      </c>
      <c r="E422" s="11">
        <f t="array" ref="E422">_xlfn.XLOOKUP(D422,Insumos!B:B,Insumos!C:$C)</f>
        <v/>
      </c>
      <c r="F422" s="14" t="n">
        <v>1.1</v>
      </c>
      <c r="G422" s="92">
        <f t="array" ref="G422">IF(B422="insumo",_xlfn.XLOOKUP($D422,Insumos!$B$1:$B$996,Insumos!$D$1:$D$996),"")</f>
        <v/>
      </c>
      <c r="H422" s="92" t="n">
        <v>6.842</v>
      </c>
      <c r="I422" s="2162" t="n">
        <v>0</v>
      </c>
      <c r="J422" s="2162" t="n">
        <v>0</v>
      </c>
      <c r="K422" s="2162" t="n"/>
    </row>
    <row r="423" outlineLevel="3" ht="15.75" customHeight="1">
      <c r="A423" s="10" t="n">
        <v>41</v>
      </c>
      <c r="B423" s="10" t="inlineStr">
        <is>
          <t>Insumo</t>
        </is>
      </c>
      <c r="C423" s="10" t="inlineStr">
        <is>
          <t xml:space="preserve">Armação aço CA-50 ø 32,00mm para infraestrutura (corte e dobra em obra) </t>
        </is>
      </c>
      <c r="D423" s="10" t="inlineStr">
        <is>
          <t xml:space="preserve">Arame Galvanizado </t>
        </is>
      </c>
      <c r="E423" s="11">
        <f t="array" ref="E423">_xlfn.XLOOKUP(D423,Insumos!B:B,Insumos!C:$C)</f>
        <v/>
      </c>
      <c r="F423" s="14" t="n">
        <v>0.0205</v>
      </c>
      <c r="G423" s="92">
        <f t="array" ref="G423">IF(B423="insumo",_xlfn.XLOOKUP($D423,Insumos!$B$1:$B$996,Insumos!$D$1:$D$996),"")</f>
        <v/>
      </c>
      <c r="H423" s="92" t="n">
        <v>0.280645</v>
      </c>
      <c r="I423" s="2162" t="n">
        <v>0</v>
      </c>
      <c r="J423" s="2162" t="n">
        <v>0</v>
      </c>
      <c r="K423" s="2162" t="n"/>
    </row>
    <row r="424" outlineLevel="3" ht="15.75" customHeight="1">
      <c r="A424" s="10" t="n">
        <v>62</v>
      </c>
      <c r="B424" s="10" t="inlineStr">
        <is>
          <t>Insumo</t>
        </is>
      </c>
      <c r="C424" s="10" t="inlineStr">
        <is>
          <t xml:space="preserve">Armação aço CA-50 ø 32,00mm para infraestrutura (corte e dobra em obra) </t>
        </is>
      </c>
      <c r="D424" s="10" t="inlineStr">
        <is>
          <t>Espaçador para armadura</t>
        </is>
      </c>
      <c r="E424" s="11">
        <f t="array" ref="E424">_xlfn.XLOOKUP(D424,Insumos!B:B,Insumos!C:$C)</f>
        <v/>
      </c>
      <c r="F424" s="14" t="n">
        <v>0.05</v>
      </c>
      <c r="G424" s="92">
        <f t="array" ref="G424">IF(B424="insumo",_xlfn.XLOOKUP($D424,Insumos!$B$1:$B$996,Insumos!$D$1:$D$996),"")</f>
        <v/>
      </c>
      <c r="H424" s="92" t="n">
        <v>0.0135</v>
      </c>
      <c r="I424" s="2162" t="n">
        <v>0</v>
      </c>
      <c r="J424" s="2162" t="n">
        <v>0</v>
      </c>
      <c r="K424" s="2162" t="n"/>
    </row>
    <row r="425" outlineLevel="2" ht="15.75" customHeight="1">
      <c r="A425" s="1067" t="n">
        <v>1</v>
      </c>
      <c r="B425" s="1067" t="inlineStr">
        <is>
          <t>Serviço</t>
        </is>
      </c>
      <c r="C425" s="1067" t="inlineStr">
        <is>
          <t>Armação aço CA-50 ø 5,0mm para infraestrutura (corte e dobra em Indústria)</t>
        </is>
      </c>
      <c r="D425" s="1067" t="inlineStr">
        <is>
          <t>Armação aço CA-50 ø 5,0mm para infraestrutura (corte e dobra em Indústria)</t>
        </is>
      </c>
      <c r="E425" s="1068" t="inlineStr">
        <is>
          <t>KG</t>
        </is>
      </c>
      <c r="F425" s="1067" t="n"/>
      <c r="G425" s="1069">
        <f t="array" ref="G425">IF(B425="insumo",_xlfn.XLOOKUP($D425,Insumos!$B$1:$B$996,Insumos!$D$1:$D$996),"")</f>
        <v/>
      </c>
      <c r="H425" s="1069" t="n">
        <v>8.964145</v>
      </c>
      <c r="I425" s="2161" t="n">
        <v>52</v>
      </c>
      <c r="J425" s="2161" t="n">
        <v>466.13554</v>
      </c>
      <c r="K425" s="2161" t="n"/>
    </row>
    <row r="426" outlineLevel="3" ht="15.75" customHeight="1">
      <c r="A426" s="10" t="n">
        <v>2</v>
      </c>
      <c r="B426" s="10" t="inlineStr">
        <is>
          <t>Insumo</t>
        </is>
      </c>
      <c r="C426" s="10" t="inlineStr">
        <is>
          <t>Armação aço CA-50 ø 5,0mm para infraestrutura (corte e dobra em Indústria)</t>
        </is>
      </c>
      <c r="D426" s="10" t="inlineStr">
        <is>
          <t>Aço CA50 5,0 mm Corte e Dobra em Indústria</t>
        </is>
      </c>
      <c r="E426" s="11">
        <f t="array" ref="E426">_xlfn.XLOOKUP(D426,Insumos!B:B,Insumos!C:$C)</f>
        <v/>
      </c>
      <c r="F426" s="14" t="n">
        <v>1</v>
      </c>
      <c r="G426" s="92">
        <f t="array" ref="G426">IF(B426="insumo",_xlfn.XLOOKUP($D426,Insumos!$B$1:$B$996,Insumos!$D$1:$D$996),"")</f>
        <v/>
      </c>
      <c r="H426" s="92" t="n">
        <v>8.67</v>
      </c>
      <c r="I426" s="2162" t="n">
        <v>52</v>
      </c>
      <c r="J426" s="2162" t="n">
        <v>450.84</v>
      </c>
      <c r="K426" s="2162" t="n"/>
    </row>
    <row r="427" outlineLevel="3" ht="15.75" customHeight="1">
      <c r="A427" s="10" t="n">
        <v>41</v>
      </c>
      <c r="B427" s="10" t="inlineStr">
        <is>
          <t>Insumo</t>
        </is>
      </c>
      <c r="C427" s="10" t="inlineStr">
        <is>
          <t>Armação aço CA-50 ø 5,0mm para infraestrutura (corte e dobra em Indústria)</t>
        </is>
      </c>
      <c r="D427" s="10" t="inlineStr">
        <is>
          <t xml:space="preserve">Arame Galvanizado </t>
        </is>
      </c>
      <c r="E427" s="11">
        <f t="array" ref="E427">_xlfn.XLOOKUP(D427,Insumos!B:B,Insumos!C:$C)</f>
        <v/>
      </c>
      <c r="F427" s="14" t="n">
        <v>0.0205</v>
      </c>
      <c r="G427" s="92">
        <f t="array" ref="G427">IF(B427="insumo",_xlfn.XLOOKUP($D427,Insumos!$B$1:$B$996,Insumos!$D$1:$D$996),"")</f>
        <v/>
      </c>
      <c r="H427" s="92" t="n">
        <v>0.280645</v>
      </c>
      <c r="I427" s="2162" t="n">
        <v>52</v>
      </c>
      <c r="J427" s="2162" t="n">
        <v>14.59354</v>
      </c>
      <c r="K427" s="2162" t="n"/>
    </row>
    <row r="428" outlineLevel="3" ht="15.75" customHeight="1">
      <c r="A428" s="10" t="n">
        <v>62</v>
      </c>
      <c r="B428" s="10" t="inlineStr">
        <is>
          <t>Insumo</t>
        </is>
      </c>
      <c r="C428" s="10" t="inlineStr">
        <is>
          <t>Armação aço CA-50 ø 5,0mm para infraestrutura (corte e dobra em Indústria)</t>
        </is>
      </c>
      <c r="D428" s="10" t="inlineStr">
        <is>
          <t>Espaçador para armadura</t>
        </is>
      </c>
      <c r="E428" s="11">
        <f t="array" ref="E428">_xlfn.XLOOKUP(D428,Insumos!B:B,Insumos!C:$C)</f>
        <v/>
      </c>
      <c r="F428" s="14" t="n">
        <v>0.05</v>
      </c>
      <c r="G428" s="92">
        <f t="array" ref="G428">IF(B428="insumo",_xlfn.XLOOKUP($D428,Insumos!$B$1:$B$996,Insumos!$D$1:$D$996),"")</f>
        <v/>
      </c>
      <c r="H428" s="92" t="n">
        <v>0.0135</v>
      </c>
      <c r="I428" s="2162" t="n">
        <v>52</v>
      </c>
      <c r="J428" s="2162" t="n">
        <v>0.702</v>
      </c>
      <c r="K428" s="2162" t="n"/>
    </row>
    <row r="429" outlineLevel="2" ht="15.75" customHeight="1">
      <c r="A429" s="1067" t="n">
        <v>1</v>
      </c>
      <c r="B429" s="1067" t="inlineStr">
        <is>
          <t>Serviço</t>
        </is>
      </c>
      <c r="C429" s="1067" t="inlineStr">
        <is>
          <t>Armação aço CA-50 ø 6,3mm para infraestrutura (corte e dobra em Indústria)</t>
        </is>
      </c>
      <c r="D429" s="1067" t="inlineStr">
        <is>
          <t>Armação aço CA-50 ø 6,3mm para infraestrutura (corte e dobra em Indústria)</t>
        </is>
      </c>
      <c r="E429" s="1068" t="inlineStr">
        <is>
          <t>KG</t>
        </is>
      </c>
      <c r="F429" s="1067" t="n"/>
      <c r="G429" s="1069">
        <f t="array" ref="G429">IF(B429="insumo",_xlfn.XLOOKUP($D429,Insumos!$B$1:$B$996,Insumos!$D$1:$D$996),"")</f>
        <v/>
      </c>
      <c r="H429" s="1069" t="n">
        <v>8.964145</v>
      </c>
      <c r="I429" s="2161" t="n">
        <v>130.272727272727</v>
      </c>
      <c r="J429" s="2161" t="n">
        <v>1167.78361681818</v>
      </c>
      <c r="K429" s="2161" t="n"/>
    </row>
    <row r="430" outlineLevel="3" ht="15.75" customHeight="1">
      <c r="A430" s="10" t="n">
        <v>4</v>
      </c>
      <c r="B430" s="10" t="inlineStr">
        <is>
          <t>Insumo</t>
        </is>
      </c>
      <c r="C430" s="10" t="inlineStr">
        <is>
          <t>Armação aço CA-50 ø 6,3mm para infraestrutura (corte e dobra em Indústria)</t>
        </is>
      </c>
      <c r="D430" s="10" t="inlineStr">
        <is>
          <t>Aço CA50 6,3 mm Corte e Dobra em Indústria</t>
        </is>
      </c>
      <c r="E430" s="11">
        <f t="array" ref="E430">_xlfn.XLOOKUP(D430,Insumos!B:B,Insumos!C:$C)</f>
        <v/>
      </c>
      <c r="F430" s="14" t="n">
        <v>1</v>
      </c>
      <c r="G430" s="92">
        <f t="array" ref="G430">IF(B430="insumo",_xlfn.XLOOKUP($D430,Insumos!$B$1:$B$996,Insumos!$D$1:$D$996),"")</f>
        <v/>
      </c>
      <c r="H430" s="92" t="n">
        <v>8.67</v>
      </c>
      <c r="I430" s="2162" t="n">
        <v>130.272727272727</v>
      </c>
      <c r="J430" s="2162" t="n">
        <v>1129.46454545454</v>
      </c>
      <c r="K430" s="2162" t="n"/>
    </row>
    <row r="431" outlineLevel="3" ht="15.75" customHeight="1">
      <c r="A431" s="10" t="n">
        <v>41</v>
      </c>
      <c r="B431" s="10" t="inlineStr">
        <is>
          <t>Insumo</t>
        </is>
      </c>
      <c r="C431" s="10" t="inlineStr">
        <is>
          <t>Armação aço CA-50 ø 6,3mm para infraestrutura (corte e dobra em Indústria)</t>
        </is>
      </c>
      <c r="D431" s="10" t="inlineStr">
        <is>
          <t xml:space="preserve">Arame Galvanizado </t>
        </is>
      </c>
      <c r="E431" s="11">
        <f t="array" ref="E431">_xlfn.XLOOKUP(D431,Insumos!B:B,Insumos!C:$C)</f>
        <v/>
      </c>
      <c r="F431" s="14" t="n">
        <v>0.0205</v>
      </c>
      <c r="G431" s="92">
        <f t="array" ref="G431">IF(B431="insumo",_xlfn.XLOOKUP($D431,Insumos!$B$1:$B$996,Insumos!$D$1:$D$996),"")</f>
        <v/>
      </c>
      <c r="H431" s="92" t="n">
        <v>0.280645</v>
      </c>
      <c r="I431" s="2162" t="n">
        <v>130.272727272727</v>
      </c>
      <c r="J431" s="2162" t="n">
        <v>36.5603895454545</v>
      </c>
      <c r="K431" s="2162" t="n"/>
    </row>
    <row r="432" outlineLevel="3" ht="15.75" customHeight="1">
      <c r="A432" s="10" t="n">
        <v>62</v>
      </c>
      <c r="B432" s="10" t="inlineStr">
        <is>
          <t>Insumo</t>
        </is>
      </c>
      <c r="C432" s="10" t="inlineStr">
        <is>
          <t>Armação aço CA-50 ø 6,3mm para infraestrutura (corte e dobra em Indústria)</t>
        </is>
      </c>
      <c r="D432" s="10" t="inlineStr">
        <is>
          <t>Espaçador para armadura</t>
        </is>
      </c>
      <c r="E432" s="11">
        <f t="array" ref="E432">_xlfn.XLOOKUP(D432,Insumos!B:B,Insumos!C:$C)</f>
        <v/>
      </c>
      <c r="F432" s="14" t="n">
        <v>0.05</v>
      </c>
      <c r="G432" s="92">
        <f t="array" ref="G432">IF(B432="insumo",_xlfn.XLOOKUP($D432,Insumos!$B$1:$B$996,Insumos!$D$1:$D$996),"")</f>
        <v/>
      </c>
      <c r="H432" s="92" t="n">
        <v>0.0135</v>
      </c>
      <c r="I432" s="2162" t="n">
        <v>130.272727272727</v>
      </c>
      <c r="J432" s="2162" t="n">
        <v>1.75868181818181</v>
      </c>
      <c r="K432" s="2162" t="n"/>
    </row>
    <row r="433" outlineLevel="2" ht="15.75" customHeight="1">
      <c r="A433" s="1067" t="n">
        <v>1</v>
      </c>
      <c r="B433" s="1067" t="inlineStr">
        <is>
          <t>Serviço</t>
        </is>
      </c>
      <c r="C433" s="1067" t="inlineStr">
        <is>
          <t>Armação aço CA-50 ø 8,0mm para infraestrutura (corte e dobra em Indústria)</t>
        </is>
      </c>
      <c r="D433" s="1067" t="inlineStr">
        <is>
          <t>Armação aço CA-50 ø 8,0mm para infraestrutura (corte e dobra em Indústria)</t>
        </is>
      </c>
      <c r="E433" s="1068" t="inlineStr">
        <is>
          <t>KG</t>
        </is>
      </c>
      <c r="F433" s="1067" t="n"/>
      <c r="G433" s="1069">
        <f t="array" ref="G433">IF(B433="insumo",_xlfn.XLOOKUP($D433,Insumos!$B$1:$B$996,Insumos!$D$1:$D$996),"")</f>
        <v/>
      </c>
      <c r="H433" s="1069" t="n">
        <v>8.964145</v>
      </c>
      <c r="I433" s="2161" t="n">
        <v>982.636363636364</v>
      </c>
      <c r="J433" s="2161" t="n">
        <v>8808.49484590909</v>
      </c>
      <c r="K433" s="2161" t="n"/>
    </row>
    <row r="434" outlineLevel="3" ht="15.75" customHeight="1">
      <c r="A434" s="10" t="n">
        <v>3</v>
      </c>
      <c r="B434" s="10" t="inlineStr">
        <is>
          <t>Insumo</t>
        </is>
      </c>
      <c r="C434" s="10" t="inlineStr">
        <is>
          <t>Armação aço CA-50 ø 8,0mm para infraestrutura (corte e dobra em Indústria)</t>
        </is>
      </c>
      <c r="D434" s="10" t="inlineStr">
        <is>
          <t>Aço CA50 8,0 mm Corte e Dobra em Indústria</t>
        </is>
      </c>
      <c r="E434" s="11">
        <f t="array" ref="E434">_xlfn.XLOOKUP(D434,Insumos!B:B,Insumos!C:$C)</f>
        <v/>
      </c>
      <c r="F434" s="14" t="n">
        <v>1</v>
      </c>
      <c r="G434" s="92">
        <f t="array" ref="G434">IF(B434="insumo",_xlfn.XLOOKUP($D434,Insumos!$B$1:$B$996,Insumos!$D$1:$D$996),"")</f>
        <v/>
      </c>
      <c r="H434" s="92" t="n">
        <v>8.67</v>
      </c>
      <c r="I434" s="2162" t="n">
        <v>982.636363636364</v>
      </c>
      <c r="J434" s="2162" t="n">
        <v>8519.457272727281</v>
      </c>
      <c r="K434" s="2162" t="n"/>
    </row>
    <row r="435" outlineLevel="3" ht="15.75" customHeight="1">
      <c r="A435" s="10" t="n">
        <v>41</v>
      </c>
      <c r="B435" s="10" t="inlineStr">
        <is>
          <t>Insumo</t>
        </is>
      </c>
      <c r="C435" s="10" t="inlineStr">
        <is>
          <t>Armação aço CA-50 ø 8,0mm para infraestrutura (corte e dobra em Indústria)</t>
        </is>
      </c>
      <c r="D435" s="10" t="inlineStr">
        <is>
          <t xml:space="preserve">Arame Galvanizado </t>
        </is>
      </c>
      <c r="E435" s="11">
        <f t="array" ref="E435">_xlfn.XLOOKUP(D435,Insumos!B:B,Insumos!C:$C)</f>
        <v/>
      </c>
      <c r="F435" s="14" t="n">
        <v>0.0205</v>
      </c>
      <c r="G435" s="92">
        <f t="array" ref="G435">IF(B435="insumo",_xlfn.XLOOKUP($D435,Insumos!$B$1:$B$996,Insumos!$D$1:$D$996),"")</f>
        <v/>
      </c>
      <c r="H435" s="92" t="n">
        <v>0.280645</v>
      </c>
      <c r="I435" s="2162" t="n">
        <v>982.636363636364</v>
      </c>
      <c r="J435" s="2162" t="n">
        <v>275.771982272727</v>
      </c>
      <c r="K435" s="2162" t="n"/>
    </row>
    <row r="436" outlineLevel="3" ht="15.75" customHeight="1">
      <c r="A436" s="10" t="n">
        <v>62</v>
      </c>
      <c r="B436" s="10" t="inlineStr">
        <is>
          <t>Insumo</t>
        </is>
      </c>
      <c r="C436" s="10" t="inlineStr">
        <is>
          <t>Armação aço CA-50 ø 8,0mm para infraestrutura (corte e dobra em Indústria)</t>
        </is>
      </c>
      <c r="D436" s="10" t="inlineStr">
        <is>
          <t>Espaçador para armadura</t>
        </is>
      </c>
      <c r="E436" s="11">
        <f t="array" ref="E436">_xlfn.XLOOKUP(D436,Insumos!B:B,Insumos!C:$C)</f>
        <v/>
      </c>
      <c r="F436" s="14" t="n">
        <v>0.05</v>
      </c>
      <c r="G436" s="92">
        <f t="array" ref="G436">IF(B436="insumo",_xlfn.XLOOKUP($D436,Insumos!$B$1:$B$996,Insumos!$D$1:$D$996),"")</f>
        <v/>
      </c>
      <c r="H436" s="92" t="n">
        <v>0.0135</v>
      </c>
      <c r="I436" s="2162" t="n">
        <v>982.636363636364</v>
      </c>
      <c r="J436" s="2162" t="n">
        <v>13.2655909090909</v>
      </c>
      <c r="K436" s="2162" t="n"/>
    </row>
    <row r="437" outlineLevel="2" ht="15.75" customHeight="1">
      <c r="A437" s="1067" t="n">
        <v>1</v>
      </c>
      <c r="B437" s="1067" t="inlineStr">
        <is>
          <t>Serviço</t>
        </is>
      </c>
      <c r="C437" s="1067" t="inlineStr">
        <is>
          <t>Armação aço CA-50 ø 10,0mm para infraestrutura (corte e dobra em Indústria)</t>
        </is>
      </c>
      <c r="D437" s="1067" t="inlineStr">
        <is>
          <t>Armação aço CA-50 ø 10,0mm para infraestrutura (corte e dobra em Indústria)</t>
        </is>
      </c>
      <c r="E437" s="1068" t="inlineStr">
        <is>
          <t>KG</t>
        </is>
      </c>
      <c r="F437" s="1067" t="n"/>
      <c r="G437" s="1069">
        <f t="array" ref="G437">IF(B437="insumo",_xlfn.XLOOKUP($D437,Insumos!$B$1:$B$996,Insumos!$D$1:$D$996),"")</f>
        <v/>
      </c>
      <c r="H437" s="1069" t="n">
        <v>8.964145</v>
      </c>
      <c r="I437" s="2161" t="n">
        <v>7011.63636363636</v>
      </c>
      <c r="J437" s="2161" t="n">
        <v>62853.3250509091</v>
      </c>
      <c r="K437" s="2161" t="n"/>
    </row>
    <row r="438" outlineLevel="3" ht="15.75" customHeight="1">
      <c r="A438" s="10" t="n">
        <v>2</v>
      </c>
      <c r="B438" s="10" t="inlineStr">
        <is>
          <t>Insumo</t>
        </is>
      </c>
      <c r="C438" s="10" t="inlineStr">
        <is>
          <t>Armação aço CA-50 ø 10,0mm para infraestrutura (corte e dobra em Indústria)</t>
        </is>
      </c>
      <c r="D438" s="10" t="inlineStr">
        <is>
          <t>Aço CA50 10,0 mm Corte e Dobra em Indústria</t>
        </is>
      </c>
      <c r="E438" s="11">
        <f t="array" ref="E438">_xlfn.XLOOKUP(D438,Insumos!B:B,Insumos!C:$C)</f>
        <v/>
      </c>
      <c r="F438" s="14" t="n">
        <v>1</v>
      </c>
      <c r="G438" s="92">
        <f t="array" ref="G438">IF(B438="insumo",_xlfn.XLOOKUP($D438,Insumos!$B$1:$B$996,Insumos!$D$1:$D$996),"")</f>
        <v/>
      </c>
      <c r="H438" s="92" t="n">
        <v>8.67</v>
      </c>
      <c r="I438" s="2162" t="n">
        <v>7011.63636363636</v>
      </c>
      <c r="J438" s="2162" t="n">
        <v>60790.8872727272</v>
      </c>
      <c r="K438" s="2162" t="n"/>
    </row>
    <row r="439" outlineLevel="3" ht="15.75" customHeight="1">
      <c r="A439" s="10" t="n">
        <v>41</v>
      </c>
      <c r="B439" s="10" t="inlineStr">
        <is>
          <t>Insumo</t>
        </is>
      </c>
      <c r="C439" s="10" t="inlineStr">
        <is>
          <t>Armação aço CA-50 ø 10,0mm para infraestrutura (corte e dobra em Indústria)</t>
        </is>
      </c>
      <c r="D439" s="10" t="inlineStr">
        <is>
          <t xml:space="preserve">Arame Galvanizado </t>
        </is>
      </c>
      <c r="E439" s="11">
        <f t="array" ref="E439">_xlfn.XLOOKUP(D439,Insumos!B:B,Insumos!C:$C)</f>
        <v/>
      </c>
      <c r="F439" s="14" t="n">
        <v>0.0205</v>
      </c>
      <c r="G439" s="92">
        <f t="array" ref="G439">IF(B439="insumo",_xlfn.XLOOKUP($D439,Insumos!$B$1:$B$996,Insumos!$D$1:$D$996),"")</f>
        <v/>
      </c>
      <c r="H439" s="92" t="n">
        <v>0.280645</v>
      </c>
      <c r="I439" s="2162" t="n">
        <v>7011.63636363636</v>
      </c>
      <c r="J439" s="2162" t="n">
        <v>1967.78068727273</v>
      </c>
      <c r="K439" s="2162" t="n"/>
    </row>
    <row r="440" outlineLevel="3" ht="15.75" customHeight="1">
      <c r="A440" s="10" t="n">
        <v>62</v>
      </c>
      <c r="B440" s="10" t="inlineStr">
        <is>
          <t>Insumo</t>
        </is>
      </c>
      <c r="C440" s="10" t="inlineStr">
        <is>
          <t>Armação aço CA-50 ø 10,0mm para infraestrutura (corte e dobra em Indústria)</t>
        </is>
      </c>
      <c r="D440" s="10" t="inlineStr">
        <is>
          <t>Espaçador para armadura</t>
        </is>
      </c>
      <c r="E440" s="11">
        <f t="array" ref="E440">_xlfn.XLOOKUP(D440,Insumos!B:B,Insumos!C:$C)</f>
        <v/>
      </c>
      <c r="F440" s="14" t="n">
        <v>0.05</v>
      </c>
      <c r="G440" s="92">
        <f t="array" ref="G440">IF(B440="insumo",_xlfn.XLOOKUP($D440,Insumos!$B$1:$B$996,Insumos!$D$1:$D$996),"")</f>
        <v/>
      </c>
      <c r="H440" s="92" t="n">
        <v>0.0135</v>
      </c>
      <c r="I440" s="2162" t="n">
        <v>7011.63636363636</v>
      </c>
      <c r="J440" s="2162" t="n">
        <v>94.6570909090909</v>
      </c>
      <c r="K440" s="2162" t="n"/>
    </row>
    <row r="441" outlineLevel="2" ht="15.75" customHeight="1">
      <c r="A441" s="1067" t="n">
        <v>1</v>
      </c>
      <c r="B441" s="1067" t="inlineStr">
        <is>
          <t>Serviço</t>
        </is>
      </c>
      <c r="C441" s="1067" t="inlineStr">
        <is>
          <t xml:space="preserve">Armação aço CA-50 ø 12,5mm para infraestrutura (corte e dobra em Indústria) </t>
        </is>
      </c>
      <c r="D441" s="1067" t="inlineStr">
        <is>
          <t xml:space="preserve">Armação aço CA-50 ø 12,5mm para infraestrutura (corte e dobra em Indústria) </t>
        </is>
      </c>
      <c r="E441" s="1068" t="inlineStr">
        <is>
          <t>KG</t>
        </is>
      </c>
      <c r="F441" s="1067" t="n"/>
      <c r="G441" s="1069">
        <f t="array" ref="G441">IF(B441="insumo",_xlfn.XLOOKUP($D441,Insumos!$B$1:$B$996,Insumos!$D$1:$D$996),"")</f>
        <v/>
      </c>
      <c r="H441" s="1069" t="n">
        <v>8.484145</v>
      </c>
      <c r="I441" s="2161" t="n">
        <v>6536</v>
      </c>
      <c r="J441" s="2161" t="n">
        <v>55452.37172</v>
      </c>
      <c r="K441" s="2161" t="n"/>
    </row>
    <row r="442" outlineLevel="3" ht="15.75" customHeight="1">
      <c r="A442" s="10" t="n">
        <v>3</v>
      </c>
      <c r="B442" s="10" t="inlineStr">
        <is>
          <t>Insumo</t>
        </is>
      </c>
      <c r="C442" s="10" t="inlineStr">
        <is>
          <t xml:space="preserve">Armação aço CA-50 ø 12,5mm para infraestrutura (corte e dobra em Indústria) </t>
        </is>
      </c>
      <c r="D442" s="10" t="inlineStr">
        <is>
          <t>Aço CA50 12,5 mm Corte e Dobra em Indústria</t>
        </is>
      </c>
      <c r="E442" s="11">
        <f t="array" ref="E442">_xlfn.XLOOKUP(D442,Insumos!B:B,Insumos!C:$C)</f>
        <v/>
      </c>
      <c r="F442" s="14" t="n">
        <v>1</v>
      </c>
      <c r="G442" s="92">
        <f t="array" ref="G442">IF(B442="insumo",_xlfn.XLOOKUP($D442,Insumos!$B$1:$B$996,Insumos!$D$1:$D$996),"")</f>
        <v/>
      </c>
      <c r="H442" s="92" t="n">
        <v>8.19</v>
      </c>
      <c r="I442" s="2162" t="n">
        <v>6536</v>
      </c>
      <c r="J442" s="2162" t="n">
        <v>53529.84</v>
      </c>
      <c r="K442" s="2162" t="n"/>
    </row>
    <row r="443" outlineLevel="3" ht="15.75" customHeight="1">
      <c r="A443" s="10" t="n">
        <v>41</v>
      </c>
      <c r="B443" s="10" t="inlineStr">
        <is>
          <t>Insumo</t>
        </is>
      </c>
      <c r="C443" s="10" t="inlineStr">
        <is>
          <t xml:space="preserve">Armação aço CA-50 ø 12,5mm para infraestrutura (corte e dobra em Indústria) </t>
        </is>
      </c>
      <c r="D443" s="10" t="inlineStr">
        <is>
          <t xml:space="preserve">Arame Galvanizado </t>
        </is>
      </c>
      <c r="E443" s="11">
        <f t="array" ref="E443">_xlfn.XLOOKUP(D443,Insumos!B:B,Insumos!C:$C)</f>
        <v/>
      </c>
      <c r="F443" s="14" t="n">
        <v>0.0205</v>
      </c>
      <c r="G443" s="92">
        <f t="array" ref="G443">IF(B443="insumo",_xlfn.XLOOKUP($D443,Insumos!$B$1:$B$996,Insumos!$D$1:$D$996),"")</f>
        <v/>
      </c>
      <c r="H443" s="92" t="n">
        <v>0.280645</v>
      </c>
      <c r="I443" s="2162" t="n">
        <v>6536</v>
      </c>
      <c r="J443" s="2162" t="n">
        <v>1834.29572</v>
      </c>
      <c r="K443" s="2162" t="n"/>
    </row>
    <row r="444" outlineLevel="3" ht="15.75" customHeight="1">
      <c r="A444" s="10" t="n">
        <v>62</v>
      </c>
      <c r="B444" s="10" t="inlineStr">
        <is>
          <t>Insumo</t>
        </is>
      </c>
      <c r="C444" s="10" t="inlineStr">
        <is>
          <t xml:space="preserve">Armação aço CA-50 ø 12,5mm para infraestrutura (corte e dobra em Indústria) </t>
        </is>
      </c>
      <c r="D444" s="10" t="inlineStr">
        <is>
          <t>Espaçador para armadura</t>
        </is>
      </c>
      <c r="E444" s="11">
        <f t="array" ref="E444">_xlfn.XLOOKUP(D444,Insumos!B:B,Insumos!C:$C)</f>
        <v/>
      </c>
      <c r="F444" s="14" t="n">
        <v>0.05</v>
      </c>
      <c r="G444" s="92">
        <f t="array" ref="G444">IF(B444="insumo",_xlfn.XLOOKUP($D444,Insumos!$B$1:$B$996,Insumos!$D$1:$D$996),"")</f>
        <v/>
      </c>
      <c r="H444" s="92" t="n">
        <v>0.0135</v>
      </c>
      <c r="I444" s="2162" t="n">
        <v>6536</v>
      </c>
      <c r="J444" s="2162" t="n">
        <v>88.236</v>
      </c>
      <c r="K444" s="2162" t="n"/>
    </row>
    <row r="445" outlineLevel="2" ht="15.75" customHeight="1">
      <c r="A445" s="1067" t="n">
        <v>1</v>
      </c>
      <c r="B445" s="1067" t="inlineStr">
        <is>
          <t>Serviço</t>
        </is>
      </c>
      <c r="C445" s="1067" t="inlineStr">
        <is>
          <t>Armação aço CA-50 ø 16,0mm para infraestrutura (corte e dobra em Indústria)</t>
        </is>
      </c>
      <c r="D445" s="1067" t="inlineStr">
        <is>
          <t>Armação aço CA-50 ø 16,0mm para infraestrutura (corte e dobra em Indústria)</t>
        </is>
      </c>
      <c r="E445" s="1068" t="inlineStr">
        <is>
          <t>KG</t>
        </is>
      </c>
      <c r="F445" s="1067" t="n"/>
      <c r="G445" s="1069">
        <f t="array" ref="G445">IF(B445="insumo",_xlfn.XLOOKUP($D445,Insumos!$B$1:$B$996,Insumos!$D$1:$D$996),"")</f>
        <v/>
      </c>
      <c r="H445" s="1069" t="n">
        <v>8.484145</v>
      </c>
      <c r="I445" s="2161" t="n">
        <v>8601.54545454545</v>
      </c>
      <c r="J445" s="2161" t="n">
        <v>72976.7588604545</v>
      </c>
      <c r="K445" s="2161" t="n"/>
    </row>
    <row r="446" outlineLevel="3" ht="15.75" customHeight="1">
      <c r="A446" s="10" t="n">
        <v>3</v>
      </c>
      <c r="B446" s="10" t="inlineStr">
        <is>
          <t>Insumo</t>
        </is>
      </c>
      <c r="C446" s="10" t="inlineStr">
        <is>
          <t>Armação aço CA-50 ø 16,0mm para infraestrutura (corte e dobra em Indústria)</t>
        </is>
      </c>
      <c r="D446" s="10" t="inlineStr">
        <is>
          <t>Aço CA50 16,0 mm Corte e Dobra em Indústria</t>
        </is>
      </c>
      <c r="E446" s="11">
        <f t="array" ref="E446">_xlfn.XLOOKUP(D446,Insumos!B:B,Insumos!C:$C)</f>
        <v/>
      </c>
      <c r="F446" s="14" t="n">
        <v>1</v>
      </c>
      <c r="G446" s="92">
        <f t="array" ref="G446">IF(B446="insumo",_xlfn.XLOOKUP($D446,Insumos!$B$1:$B$996,Insumos!$D$1:$D$996),"")</f>
        <v/>
      </c>
      <c r="H446" s="92" t="n">
        <v>8.19</v>
      </c>
      <c r="I446" s="2162" t="n">
        <v>8601.54545454545</v>
      </c>
      <c r="J446" s="2162" t="n">
        <v>70446.6572727272</v>
      </c>
      <c r="K446" s="2162" t="n"/>
    </row>
    <row r="447" outlineLevel="3" ht="15.75" customHeight="1">
      <c r="A447" s="10" t="n">
        <v>41</v>
      </c>
      <c r="B447" s="10" t="inlineStr">
        <is>
          <t>Insumo</t>
        </is>
      </c>
      <c r="C447" s="10" t="inlineStr">
        <is>
          <t>Armação aço CA-50 ø 16,0mm para infraestrutura (corte e dobra em Indústria)</t>
        </is>
      </c>
      <c r="D447" s="10" t="inlineStr">
        <is>
          <t xml:space="preserve">Arame Galvanizado </t>
        </is>
      </c>
      <c r="E447" s="11">
        <f t="array" ref="E447">_xlfn.XLOOKUP(D447,Insumos!B:B,Insumos!C:$C)</f>
        <v/>
      </c>
      <c r="F447" s="14" t="n">
        <v>0.0205</v>
      </c>
      <c r="G447" s="92">
        <f t="array" ref="G447">IF(B447="insumo",_xlfn.XLOOKUP($D447,Insumos!$B$1:$B$996,Insumos!$D$1:$D$996),"")</f>
        <v/>
      </c>
      <c r="H447" s="92" t="n">
        <v>0.280645</v>
      </c>
      <c r="I447" s="2162" t="n">
        <v>8601.54545454545</v>
      </c>
      <c r="J447" s="2162" t="n">
        <v>2413.98072409091</v>
      </c>
      <c r="K447" s="2162" t="n"/>
    </row>
    <row r="448" outlineLevel="3" ht="15.75" customHeight="1">
      <c r="A448" s="10" t="n">
        <v>62</v>
      </c>
      <c r="B448" s="10" t="inlineStr">
        <is>
          <t>Insumo</t>
        </is>
      </c>
      <c r="C448" s="10" t="inlineStr">
        <is>
          <t>Armação aço CA-50 ø 16,0mm para infraestrutura (corte e dobra em Indústria)</t>
        </is>
      </c>
      <c r="D448" s="10" t="inlineStr">
        <is>
          <t>Espaçador para armadura</t>
        </is>
      </c>
      <c r="E448" s="11">
        <f t="array" ref="E448">_xlfn.XLOOKUP(D448,Insumos!B:B,Insumos!C:$C)</f>
        <v/>
      </c>
      <c r="F448" s="14" t="n">
        <v>0.05</v>
      </c>
      <c r="G448" s="92">
        <f t="array" ref="G448">IF(B448="insumo",_xlfn.XLOOKUP($D448,Insumos!$B$1:$B$996,Insumos!$D$1:$D$996),"")</f>
        <v/>
      </c>
      <c r="H448" s="92" t="n">
        <v>0.0135</v>
      </c>
      <c r="I448" s="2162" t="n">
        <v>8601.54545454545</v>
      </c>
      <c r="J448" s="2162" t="n">
        <v>116.120863636364</v>
      </c>
      <c r="K448" s="2162" t="n"/>
    </row>
    <row r="449" outlineLevel="2" ht="15.75" customHeight="1">
      <c r="A449" s="1067" t="n">
        <v>1</v>
      </c>
      <c r="B449" s="1067" t="inlineStr">
        <is>
          <t>Serviço</t>
        </is>
      </c>
      <c r="C449" s="1067" t="inlineStr">
        <is>
          <t xml:space="preserve">Armação aço CA-50 ø 20,0mm para infraestrutura (corte e dobra em Indústria) </t>
        </is>
      </c>
      <c r="D449" s="1067" t="inlineStr">
        <is>
          <t xml:space="preserve">Armação aço CA-50 ø 20,0mm para infraestrutura (corte e dobra em Indústria) </t>
        </is>
      </c>
      <c r="E449" s="1068" t="inlineStr">
        <is>
          <t>KG</t>
        </is>
      </c>
      <c r="F449" s="1067" t="n"/>
      <c r="G449" s="1069">
        <f t="array" ref="G449">IF(B449="insumo",_xlfn.XLOOKUP($D449,Insumos!$B$1:$B$996,Insumos!$D$1:$D$996),"")</f>
        <v/>
      </c>
      <c r="H449" s="1069" t="n">
        <v>8.484145</v>
      </c>
      <c r="I449" s="2161" t="n">
        <v>2220.18181818182</v>
      </c>
      <c r="J449" s="2161" t="n">
        <v>18836.3444718182</v>
      </c>
      <c r="K449" s="2161" t="n"/>
    </row>
    <row r="450" outlineLevel="3" ht="15.75" customHeight="1">
      <c r="A450" s="10" t="n">
        <v>4</v>
      </c>
      <c r="B450" s="10" t="inlineStr">
        <is>
          <t>Insumo</t>
        </is>
      </c>
      <c r="C450" s="10" t="inlineStr">
        <is>
          <t xml:space="preserve">Armação aço CA-50 ø 20,0mm para infraestrutura (corte e dobra em Indústria) </t>
        </is>
      </c>
      <c r="D450" s="10" t="inlineStr">
        <is>
          <t>Aço CA50 20,0 mm Corte e Dobra em Indústria</t>
        </is>
      </c>
      <c r="E450" s="11">
        <f t="array" ref="E450">_xlfn.XLOOKUP(D450,Insumos!B:B,Insumos!C:$C)</f>
        <v/>
      </c>
      <c r="F450" s="14" t="n">
        <v>1</v>
      </c>
      <c r="G450" s="92">
        <f t="array" ref="G450">IF(B450="insumo",_xlfn.XLOOKUP($D450,Insumos!$B$1:$B$996,Insumos!$D$1:$D$996),"")</f>
        <v/>
      </c>
      <c r="H450" s="92" t="n">
        <v>8.19</v>
      </c>
      <c r="I450" s="2162" t="n">
        <v>2220.18181818182</v>
      </c>
      <c r="J450" s="2162" t="n">
        <v>18183.2890909091</v>
      </c>
      <c r="K450" s="2162" t="n"/>
    </row>
    <row r="451" outlineLevel="3" ht="15.75" customHeight="1">
      <c r="A451" s="10" t="n">
        <v>41</v>
      </c>
      <c r="B451" s="10" t="inlineStr">
        <is>
          <t>Insumo</t>
        </is>
      </c>
      <c r="C451" s="10" t="inlineStr">
        <is>
          <t xml:space="preserve">Armação aço CA-50 ø 20,0mm para infraestrutura (corte e dobra em Indústria) </t>
        </is>
      </c>
      <c r="D451" s="10" t="inlineStr">
        <is>
          <t xml:space="preserve">Arame Galvanizado </t>
        </is>
      </c>
      <c r="E451" s="11">
        <f t="array" ref="E451">_xlfn.XLOOKUP(D451,Insumos!B:B,Insumos!C:$C)</f>
        <v/>
      </c>
      <c r="F451" s="14" t="n">
        <v>0.0205</v>
      </c>
      <c r="G451" s="92">
        <f t="array" ref="G451">IF(B451="insumo",_xlfn.XLOOKUP($D451,Insumos!$B$1:$B$996,Insumos!$D$1:$D$996),"")</f>
        <v/>
      </c>
      <c r="H451" s="92" t="n">
        <v>0.280645</v>
      </c>
      <c r="I451" s="2162" t="n">
        <v>2220.18181818182</v>
      </c>
      <c r="J451" s="2162" t="n">
        <v>623.0829263636369</v>
      </c>
      <c r="K451" s="2162" t="n"/>
    </row>
    <row r="452" outlineLevel="3" ht="15.75" customHeight="1">
      <c r="A452" s="10" t="n">
        <v>62</v>
      </c>
      <c r="B452" s="10" t="inlineStr">
        <is>
          <t>Insumo</t>
        </is>
      </c>
      <c r="C452" s="10" t="inlineStr">
        <is>
          <t xml:space="preserve">Armação aço CA-50 ø 20,0mm para infraestrutura (corte e dobra em Indústria) </t>
        </is>
      </c>
      <c r="D452" s="10" t="inlineStr">
        <is>
          <t>Espaçador para armadura</t>
        </is>
      </c>
      <c r="E452" s="11">
        <f t="array" ref="E452">_xlfn.XLOOKUP(D452,Insumos!B:B,Insumos!C:$C)</f>
        <v/>
      </c>
      <c r="F452" s="14" t="n">
        <v>0.05</v>
      </c>
      <c r="G452" s="92">
        <f t="array" ref="G452">IF(B452="insumo",_xlfn.XLOOKUP($D452,Insumos!$B$1:$B$996,Insumos!$D$1:$D$996),"")</f>
        <v/>
      </c>
      <c r="H452" s="92" t="n">
        <v>0.0135</v>
      </c>
      <c r="I452" s="2162" t="n">
        <v>2220.18181818182</v>
      </c>
      <c r="J452" s="2162" t="n">
        <v>29.9724545454546</v>
      </c>
      <c r="K452" s="2162" t="n"/>
    </row>
    <row r="453" outlineLevel="2" ht="15.75" customHeight="1">
      <c r="A453" s="1067" t="n">
        <v>1</v>
      </c>
      <c r="B453" s="1067" t="inlineStr">
        <is>
          <t>Serviço</t>
        </is>
      </c>
      <c r="C453" s="1067" t="inlineStr">
        <is>
          <t xml:space="preserve">Armação aço CA-50 ø 25,0mm para infraestrutura (corte e dobra em Indústria) </t>
        </is>
      </c>
      <c r="D453" s="1067" t="inlineStr">
        <is>
          <t xml:space="preserve">Armação aço CA-50 ø 25,0mm para infraestrutura (corte e dobra em Indústria) </t>
        </is>
      </c>
      <c r="E453" s="1068" t="inlineStr">
        <is>
          <t>KG</t>
        </is>
      </c>
      <c r="F453" s="1067" t="n"/>
      <c r="G453" s="1069">
        <f t="array" ref="G453">IF(B453="insumo",_xlfn.XLOOKUP($D453,Insumos!$B$1:$B$996,Insumos!$D$1:$D$996),"")</f>
        <v/>
      </c>
      <c r="H453" s="1069" t="n">
        <v>8.484145</v>
      </c>
      <c r="I453" s="2161" t="n">
        <v>65337.2727272727</v>
      </c>
      <c r="J453" s="2161" t="n">
        <v>554330.8957227269</v>
      </c>
      <c r="K453" s="2161" t="n"/>
    </row>
    <row r="454" outlineLevel="3" ht="15.75" customHeight="1">
      <c r="A454" s="10" t="n">
        <v>3</v>
      </c>
      <c r="B454" s="10" t="inlineStr">
        <is>
          <t>Insumo</t>
        </is>
      </c>
      <c r="C454" s="10" t="inlineStr">
        <is>
          <t xml:space="preserve">Armação aço CA-50 ø 25,0mm para infraestrutura (corte e dobra em Indústria) </t>
        </is>
      </c>
      <c r="D454" s="10" t="inlineStr">
        <is>
          <t>Aço CA50 25,0mm Corte e Dobra em Indústria</t>
        </is>
      </c>
      <c r="E454" s="11">
        <f t="array" ref="E454">_xlfn.XLOOKUP(D454,Insumos!B:B,Insumos!C:$C)</f>
        <v/>
      </c>
      <c r="F454" s="14" t="n">
        <v>1</v>
      </c>
      <c r="G454" s="92">
        <f t="array" ref="G454">IF(B454="insumo",_xlfn.XLOOKUP($D454,Insumos!$B$1:$B$996,Insumos!$D$1:$D$996),"")</f>
        <v/>
      </c>
      <c r="H454" s="92" t="n">
        <v>8.19</v>
      </c>
      <c r="I454" s="2162" t="n">
        <v>65337.2727272727</v>
      </c>
      <c r="J454" s="2162" t="n">
        <v>535112.263636363</v>
      </c>
      <c r="K454" s="2162" t="n"/>
    </row>
    <row r="455" outlineLevel="3" ht="15.75" customHeight="1">
      <c r="A455" s="10" t="n">
        <v>41</v>
      </c>
      <c r="B455" s="10" t="inlineStr">
        <is>
          <t>Insumo</t>
        </is>
      </c>
      <c r="C455" s="10" t="inlineStr">
        <is>
          <t xml:space="preserve">Armação aço CA-50 ø 25,0mm para infraestrutura (corte e dobra em Indústria) </t>
        </is>
      </c>
      <c r="D455" s="10" t="inlineStr">
        <is>
          <t xml:space="preserve">Arame Galvanizado </t>
        </is>
      </c>
      <c r="E455" s="11">
        <f t="array" ref="E455">_xlfn.XLOOKUP(D455,Insumos!B:B,Insumos!C:$C)</f>
        <v/>
      </c>
      <c r="F455" s="14" t="n">
        <v>0.0205</v>
      </c>
      <c r="G455" s="92">
        <f t="array" ref="G455">IF(B455="insumo",_xlfn.XLOOKUP($D455,Insumos!$B$1:$B$996,Insumos!$D$1:$D$996),"")</f>
        <v/>
      </c>
      <c r="H455" s="92" t="n">
        <v>0.280645</v>
      </c>
      <c r="I455" s="2162" t="n">
        <v>65337.2727272727</v>
      </c>
      <c r="J455" s="2162" t="n">
        <v>18336.5789045454</v>
      </c>
      <c r="K455" s="2162" t="n"/>
    </row>
    <row r="456" outlineLevel="3" ht="15.75" customHeight="1">
      <c r="A456" s="10" t="n">
        <v>62</v>
      </c>
      <c r="B456" s="10" t="inlineStr">
        <is>
          <t>Insumo</t>
        </is>
      </c>
      <c r="C456" s="10" t="inlineStr">
        <is>
          <t xml:space="preserve">Armação aço CA-50 ø 25,0mm para infraestrutura (corte e dobra em Indústria) </t>
        </is>
      </c>
      <c r="D456" s="10" t="inlineStr">
        <is>
          <t>Espaçador para armadura</t>
        </is>
      </c>
      <c r="E456" s="11">
        <f t="array" ref="E456">_xlfn.XLOOKUP(D456,Insumos!B:B,Insumos!C:$C)</f>
        <v/>
      </c>
      <c r="F456" s="14" t="n">
        <v>0.05</v>
      </c>
      <c r="G456" s="92">
        <f t="array" ref="G456">IF(B456="insumo",_xlfn.XLOOKUP($D456,Insumos!$B$1:$B$996,Insumos!$D$1:$D$996),"")</f>
        <v/>
      </c>
      <c r="H456" s="92" t="n">
        <v>0.0135</v>
      </c>
      <c r="I456" s="2162" t="n">
        <v>65337.2727272727</v>
      </c>
      <c r="J456" s="2162" t="n">
        <v>882.053181818181</v>
      </c>
      <c r="K456" s="2162" t="n"/>
    </row>
    <row r="457" outlineLevel="2" ht="15.75" customHeight="1">
      <c r="A457" s="1067" t="n">
        <v>1</v>
      </c>
      <c r="B457" s="1067" t="inlineStr">
        <is>
          <t>Serviço</t>
        </is>
      </c>
      <c r="C457" s="1067" t="inlineStr">
        <is>
          <t xml:space="preserve">Armação aço CA-50 ø 32,00mm para infraestrutura (corte e dobra em Indústria) </t>
        </is>
      </c>
      <c r="D457" s="1067" t="inlineStr">
        <is>
          <t xml:space="preserve">Armação aço CA-50 ø 32,00mm para infraestrutura (corte e dobra em Indústria) </t>
        </is>
      </c>
      <c r="E457" s="1068" t="inlineStr">
        <is>
          <t>KG</t>
        </is>
      </c>
      <c r="F457" s="1067" t="n"/>
      <c r="G457" s="1069">
        <f t="array" ref="G457">IF(B457="insumo",_xlfn.XLOOKUP($D457,Insumos!$B$1:$B$996,Insumos!$D$1:$D$996),"")</f>
        <v/>
      </c>
      <c r="H457" s="1069" t="n">
        <v>9.070505945443699</v>
      </c>
      <c r="I457" s="2161" t="n">
        <v>27316</v>
      </c>
      <c r="J457" s="2161" t="n">
        <v>247769.94040574</v>
      </c>
      <c r="K457" s="2161" t="n"/>
    </row>
    <row r="458" outlineLevel="3" ht="15.75" customHeight="1">
      <c r="A458" s="10" t="n">
        <v>2</v>
      </c>
      <c r="B458" s="10" t="inlineStr">
        <is>
          <t>Insumo</t>
        </is>
      </c>
      <c r="C458" s="10" t="inlineStr">
        <is>
          <t xml:space="preserve">Armação aço CA-50 ø 32,00mm para infraestrutura (corte e dobra em Indústria) </t>
        </is>
      </c>
      <c r="D458" s="10" t="inlineStr">
        <is>
          <t>Aço CA50 32,0mm Corte e Dobra em Indústria</t>
        </is>
      </c>
      <c r="E458" s="11">
        <f t="array" ref="E458">_xlfn.XLOOKUP(D458,Insumos!B:B,Insumos!C:$C)</f>
        <v/>
      </c>
      <c r="F458" s="14" t="n">
        <v>1</v>
      </c>
      <c r="G458" s="92">
        <f t="array" ref="G458">IF(B458="insumo",_xlfn.XLOOKUP($D458,Insumos!$B$1:$B$996,Insumos!$D$1:$D$996),"")</f>
        <v/>
      </c>
      <c r="H458" s="92" t="n">
        <v>8.776360945443701</v>
      </c>
      <c r="I458" s="2162" t="n">
        <v>27316</v>
      </c>
      <c r="J458" s="2162" t="n">
        <v>239735.07558574</v>
      </c>
      <c r="K458" s="2162" t="n"/>
    </row>
    <row r="459" outlineLevel="3" ht="15.75" customHeight="1">
      <c r="A459" s="10" t="n">
        <v>41</v>
      </c>
      <c r="B459" s="10" t="inlineStr">
        <is>
          <t>Insumo</t>
        </is>
      </c>
      <c r="C459" s="10" t="inlineStr">
        <is>
          <t xml:space="preserve">Armação aço CA-50 ø 32,00mm para infraestrutura (corte e dobra em Indústria) </t>
        </is>
      </c>
      <c r="D459" s="10" t="inlineStr">
        <is>
          <t xml:space="preserve">Arame Galvanizado </t>
        </is>
      </c>
      <c r="E459" s="11">
        <f t="array" ref="E459">_xlfn.XLOOKUP(D459,Insumos!B:B,Insumos!C:$C)</f>
        <v/>
      </c>
      <c r="F459" s="14" t="n">
        <v>0.0205</v>
      </c>
      <c r="G459" s="92">
        <f t="array" ref="G459">IF(B459="insumo",_xlfn.XLOOKUP($D459,Insumos!$B$1:$B$996,Insumos!$D$1:$D$996),"")</f>
        <v/>
      </c>
      <c r="H459" s="92" t="n">
        <v>0.280645</v>
      </c>
      <c r="I459" s="2162" t="n">
        <v>27316</v>
      </c>
      <c r="J459" s="2162" t="n">
        <v>7666.09882</v>
      </c>
      <c r="K459" s="2162" t="n"/>
    </row>
    <row r="460" outlineLevel="3" ht="15.75" customHeight="1">
      <c r="A460" s="10" t="n">
        <v>62</v>
      </c>
      <c r="B460" s="10" t="inlineStr">
        <is>
          <t>Insumo</t>
        </is>
      </c>
      <c r="C460" s="10" t="inlineStr">
        <is>
          <t xml:space="preserve">Armação aço CA-50 ø 32,00mm para infraestrutura (corte e dobra em Indústria) </t>
        </is>
      </c>
      <c r="D460" s="10" t="inlineStr">
        <is>
          <t>Espaçador para armadura</t>
        </is>
      </c>
      <c r="E460" s="11">
        <f t="array" ref="E460">_xlfn.XLOOKUP(D460,Insumos!B:B,Insumos!C:$C)</f>
        <v/>
      </c>
      <c r="F460" s="14" t="n">
        <v>0.05</v>
      </c>
      <c r="G460" s="92">
        <f t="array" ref="G460">IF(B460="insumo",_xlfn.XLOOKUP($D460,Insumos!$B$1:$B$996,Insumos!$D$1:$D$996),"")</f>
        <v/>
      </c>
      <c r="H460" s="92" t="n">
        <v>0.0135</v>
      </c>
      <c r="I460" s="2162" t="n">
        <v>27316</v>
      </c>
      <c r="J460" s="2162" t="n">
        <v>368.766</v>
      </c>
      <c r="K460" s="2162" t="n"/>
    </row>
    <row r="461" outlineLevel="2" ht="12.75" customHeight="1">
      <c r="A461" s="1071" t="n">
        <v>1</v>
      </c>
      <c r="B461" s="1071" t="inlineStr">
        <is>
          <t>Serviço</t>
        </is>
      </c>
      <c r="C461" s="1071" t="inlineStr">
        <is>
          <t>Junta serrada de 4 mm e 10 cm de altura, com tarucel</t>
        </is>
      </c>
      <c r="D461" s="1071" t="inlineStr">
        <is>
          <t>Junta serrada de 4 mm e 10 cm de altura, com tarucel</t>
        </is>
      </c>
      <c r="E461" s="1072" t="inlineStr">
        <is>
          <t>M</t>
        </is>
      </c>
      <c r="F461" s="1071" t="n"/>
      <c r="G461" s="1073">
        <f t="array" ref="G461">IF(B461="insumo",_xlfn.XLOOKUP($D461,Insumos!$B$1:$B$996,Insumos!$D$1:$D$996),"")</f>
        <v/>
      </c>
      <c r="H461" s="1073" t="n">
        <v>3.64</v>
      </c>
      <c r="I461" s="2163" t="n">
        <v>0</v>
      </c>
      <c r="J461" s="2163" t="n">
        <v>0</v>
      </c>
      <c r="K461" s="2163" t="n"/>
    </row>
    <row r="462" outlineLevel="3" ht="12.75" customHeight="1">
      <c r="A462" s="82" t="n">
        <v>1</v>
      </c>
      <c r="B462" s="82" t="inlineStr">
        <is>
          <t>Insumo</t>
        </is>
      </c>
      <c r="C462" s="82" t="inlineStr">
        <is>
          <t>Junta serrada de 4 mm e 10 cm de altura, com tarucel</t>
        </is>
      </c>
      <c r="D462" s="82" t="inlineStr">
        <is>
          <t>Tarucel de 6 mm</t>
        </is>
      </c>
      <c r="E462" s="11">
        <f t="array" ref="E462">_xlfn.XLOOKUP(D462,Insumos!B:B,Insumos!C:$C)</f>
        <v/>
      </c>
      <c r="F462" s="2164" t="n">
        <v>1.1</v>
      </c>
      <c r="G462" s="92">
        <f t="array" ref="G462">IF(B462="insumo",_xlfn.XLOOKUP($D462,Insumos!$B$1:$B$996,Insumos!$D$1:$D$996),"")</f>
        <v/>
      </c>
      <c r="H462" s="92" t="n">
        <v>0.88</v>
      </c>
      <c r="I462" s="2165" t="n">
        <v>0</v>
      </c>
      <c r="J462" s="2165" t="n">
        <v>0</v>
      </c>
      <c r="K462" s="2165" t="n"/>
    </row>
    <row r="463" outlineLevel="3" ht="12.75" customHeight="1">
      <c r="A463" s="82" t="n">
        <v>10</v>
      </c>
      <c r="B463" s="82" t="inlineStr">
        <is>
          <t>Insumo</t>
        </is>
      </c>
      <c r="C463" s="82" t="inlineStr">
        <is>
          <t>Junta serrada de 4 mm e 10 cm de altura, com tarucel</t>
        </is>
      </c>
      <c r="D463" s="82" t="inlineStr">
        <is>
          <t>SELANTE ELASTICO MONOCOMPONENTE A BASE DE POLIURETANO (PU) PARA JUNTAS DIVERSAS</t>
        </is>
      </c>
      <c r="E463" s="11">
        <f t="array" ref="E463">_xlfn.XLOOKUP(D463,Insumos!B:B,Insumos!C:$C)</f>
        <v/>
      </c>
      <c r="F463" s="2164">
        <f>(1*0.004*0.01)/(0.01*0.01*3)</f>
        <v/>
      </c>
      <c r="G463" s="92">
        <f t="array" ref="G463">IF(B463="insumo",_xlfn.XLOOKUP($D463,Insumos!$B$1:$B$996,Insumos!$D$1:$D$996),"")</f>
        <v/>
      </c>
      <c r="H463" s="92" t="n">
        <v>2.76</v>
      </c>
      <c r="I463" s="2164" t="n">
        <v>0</v>
      </c>
      <c r="J463" s="2164" t="n">
        <v>0</v>
      </c>
      <c r="K463" s="2164" t="n"/>
    </row>
    <row r="464" outlineLevel="1" ht="15.75" customHeight="1">
      <c r="A464" s="1090" t="n">
        <v>5</v>
      </c>
      <c r="B464" s="1090" t="inlineStr">
        <is>
          <t>Subetapa</t>
        </is>
      </c>
      <c r="C464" s="1090" t="inlineStr">
        <is>
          <t>Junta serrada de 4 mm e 10 cm de altura, com tarucel</t>
        </is>
      </c>
      <c r="D464" s="1090" t="inlineStr">
        <is>
          <t>CONCRETO</t>
        </is>
      </c>
      <c r="E464" s="1091" t="n"/>
      <c r="F464" s="2160" t="n"/>
      <c r="G464" s="1091" t="n"/>
      <c r="H464" s="1091" t="n">
        <v>0</v>
      </c>
      <c r="I464" s="2160" t="n">
        <v>0</v>
      </c>
      <c r="J464" s="2160" t="n">
        <v>0</v>
      </c>
      <c r="K464" s="2160" t="n"/>
    </row>
    <row r="465" outlineLevel="2" ht="15.75" customHeight="1">
      <c r="A465" s="1067" t="n">
        <v>1</v>
      </c>
      <c r="B465" s="1067" t="inlineStr">
        <is>
          <t>Serviço</t>
        </is>
      </c>
      <c r="C465" s="1067" t="inlineStr">
        <is>
          <t>Concreto Usinado bombeável 30MPa para infraestrutura - incluindo serviço de bombeamento</t>
        </is>
      </c>
      <c r="D465" s="1067" t="inlineStr">
        <is>
          <t>Concreto Usinado bombeável 30MPa para infraestrutura - incluindo serviço de bombeamento</t>
        </is>
      </c>
      <c r="E465" s="1068" t="inlineStr">
        <is>
          <t>M3</t>
        </is>
      </c>
      <c r="F465" s="1067" t="n"/>
      <c r="G465" s="1069">
        <f t="array" ref="G465">IF(B465="insumo",_xlfn.XLOOKUP($D465,Insumos!$B$1:$B$996,Insumos!$D$1:$D$996),"")</f>
        <v/>
      </c>
      <c r="H465" s="1069" t="n">
        <v>578.26</v>
      </c>
      <c r="I465" s="2161" t="n">
        <v>0</v>
      </c>
      <c r="J465" s="2161" t="n">
        <v>0</v>
      </c>
      <c r="K465" s="2161" t="n"/>
    </row>
    <row r="466" outlineLevel="3" ht="15.75" customHeight="1">
      <c r="A466" s="10" t="n">
        <v>4</v>
      </c>
      <c r="B466" s="10" t="inlineStr">
        <is>
          <t>Insumo</t>
        </is>
      </c>
      <c r="C466" s="10" t="inlineStr">
        <is>
          <t>Concreto Usinado bombeável 30MPa para infraestrutura - incluindo serviço de bombeamento</t>
        </is>
      </c>
      <c r="D466" s="10" t="inlineStr">
        <is>
          <t>Concreto Usinado bombeável 30MPa Convencional</t>
        </is>
      </c>
      <c r="E466" s="11">
        <f t="array" ref="E466">_xlfn.XLOOKUP(D466,Insumos!B:B,Insumos!C:$C)</f>
        <v/>
      </c>
      <c r="F466" s="14" t="n">
        <v>1.05</v>
      </c>
      <c r="G466" s="92">
        <f t="array" ref="G466">IF(B466="insumo",_xlfn.XLOOKUP($D466,Insumos!$B$1:$B$996,Insumos!$D$1:$D$996),"")</f>
        <v/>
      </c>
      <c r="H466" s="92" t="n">
        <v>535.5</v>
      </c>
      <c r="I466" s="2162" t="n">
        <v>0</v>
      </c>
      <c r="J466" s="2162" t="n">
        <v>0</v>
      </c>
      <c r="K466" s="2162" t="n"/>
    </row>
    <row r="467" outlineLevel="3" ht="15.75" customHeight="1">
      <c r="A467" s="10" t="n">
        <v>25</v>
      </c>
      <c r="B467" s="10" t="inlineStr">
        <is>
          <t>Insumo</t>
        </is>
      </c>
      <c r="C467" s="10" t="inlineStr">
        <is>
          <t>Concreto Usinado bombeável 30MPa para infraestrutura - incluindo serviço de bombeamento</t>
        </is>
      </c>
      <c r="D467" s="10" t="inlineStr">
        <is>
          <t>serviço de bombeamento</t>
        </is>
      </c>
      <c r="E467" s="11">
        <f t="array" ref="E467">_xlfn.XLOOKUP(D467,Insumos!B:B,Insumos!C:$C)</f>
        <v/>
      </c>
      <c r="F467" s="14" t="n">
        <v>1.05</v>
      </c>
      <c r="G467" s="92">
        <f t="array" ref="G467">IF(B467="insumo",_xlfn.XLOOKUP($D467,Insumos!$B$1:$B$996,Insumos!$D$1:$D$996),"")</f>
        <v/>
      </c>
      <c r="H467" s="92" t="n">
        <v>42</v>
      </c>
      <c r="I467" s="2162" t="n">
        <v>0</v>
      </c>
      <c r="J467" s="2162" t="n">
        <v>0</v>
      </c>
      <c r="K467" s="2162" t="n"/>
    </row>
    <row r="468" outlineLevel="3" ht="15.75" customHeight="1">
      <c r="A468" s="10" t="n">
        <v>62</v>
      </c>
      <c r="B468" s="10" t="inlineStr">
        <is>
          <t>Insumo</t>
        </is>
      </c>
      <c r="C468" s="10" t="inlineStr">
        <is>
          <t>Concreto Usinado bombeável 30MPa para infraestrutura - incluindo serviço de bombeamento</t>
        </is>
      </c>
      <c r="D468" s="10" t="inlineStr">
        <is>
          <t>Cimento Portland Composto CP II-32</t>
        </is>
      </c>
      <c r="E468" s="11">
        <f t="array" ref="E468">_xlfn.XLOOKUP(D468,Insumos!B:B,Insumos!C:$C)</f>
        <v/>
      </c>
      <c r="F468" s="14" t="n">
        <v>1</v>
      </c>
      <c r="G468" s="92">
        <f t="array" ref="G468">IF(B468="insumo",_xlfn.XLOOKUP($D468,Insumos!$B$1:$B$996,Insumos!$D$1:$D$996),"")</f>
        <v/>
      </c>
      <c r="H468" s="92" t="n">
        <v>0.76</v>
      </c>
      <c r="I468" s="2162" t="n">
        <v>0</v>
      </c>
      <c r="J468" s="2162" t="n">
        <v>0</v>
      </c>
      <c r="K468" s="2162" t="n"/>
    </row>
    <row r="469" outlineLevel="2" ht="15.75" customHeight="1">
      <c r="A469" s="1067" t="n">
        <v>1</v>
      </c>
      <c r="B469" s="1067" t="inlineStr">
        <is>
          <t>Serviço</t>
        </is>
      </c>
      <c r="C469" s="1067" t="inlineStr">
        <is>
          <t>Concreto Usinado bombeável 35MPa para infraestrutura - incluindo serviço de bombeamento</t>
        </is>
      </c>
      <c r="D469" s="1067" t="inlineStr">
        <is>
          <t>Concreto Usinado bombeável 35MPa para infraestrutura - incluindo serviço de bombeamento</t>
        </is>
      </c>
      <c r="E469" s="1068" t="inlineStr">
        <is>
          <t>M3</t>
        </is>
      </c>
      <c r="F469" s="1067" t="n"/>
      <c r="G469" s="1069">
        <f t="array" ref="G469">IF(B469="insumo",_xlfn.XLOOKUP($D469,Insumos!$B$1:$B$996,Insumos!$D$1:$D$996),"")</f>
        <v/>
      </c>
      <c r="H469" s="1069" t="n">
        <v>677.7265</v>
      </c>
      <c r="I469" s="2161" t="n">
        <v>0</v>
      </c>
      <c r="J469" s="2161" t="n">
        <v>0</v>
      </c>
      <c r="K469" s="2161" t="n"/>
    </row>
    <row r="470" outlineLevel="3" ht="15.75" customHeight="1">
      <c r="A470" s="10" t="n">
        <v>6</v>
      </c>
      <c r="B470" s="10" t="inlineStr">
        <is>
          <t>Insumo</t>
        </is>
      </c>
      <c r="C470" s="10" t="inlineStr">
        <is>
          <t>Concreto Usinado bombeável 35MPa para infraestrutura - incluindo serviço de bombeamento</t>
        </is>
      </c>
      <c r="D470" s="10" t="inlineStr">
        <is>
          <t>Concreto Usinado bombeável 35MPa Convencional</t>
        </is>
      </c>
      <c r="E470" s="11">
        <f t="array" ref="E470">_xlfn.XLOOKUP(D470,Insumos!B:B,Insumos!C:$C)</f>
        <v/>
      </c>
      <c r="F470" s="14" t="n">
        <v>1.05</v>
      </c>
      <c r="G470" s="92">
        <f t="array" ref="G470">IF(B470="insumo",_xlfn.XLOOKUP($D470,Insumos!$B$1:$B$996,Insumos!$D$1:$D$996),"")</f>
        <v/>
      </c>
      <c r="H470" s="92" t="n">
        <v>634.9665</v>
      </c>
      <c r="I470" s="2162" t="n">
        <v>0</v>
      </c>
      <c r="J470" s="2162" t="n">
        <v>0</v>
      </c>
      <c r="K470" s="2162" t="n"/>
    </row>
    <row r="471" outlineLevel="3" ht="15.75" customHeight="1">
      <c r="A471" s="10" t="n">
        <v>25</v>
      </c>
      <c r="B471" s="10" t="inlineStr">
        <is>
          <t>Insumo</t>
        </is>
      </c>
      <c r="C471" s="10" t="inlineStr">
        <is>
          <t>Concreto Usinado bombeável 35MPa para infraestrutura - incluindo serviço de bombeamento</t>
        </is>
      </c>
      <c r="D471" s="10" t="inlineStr">
        <is>
          <t>serviço de bombeamento</t>
        </is>
      </c>
      <c r="E471" s="11">
        <f t="array" ref="E471">_xlfn.XLOOKUP(D471,Insumos!B:B,Insumos!C:$C)</f>
        <v/>
      </c>
      <c r="F471" s="14" t="n">
        <v>1.05</v>
      </c>
      <c r="G471" s="92">
        <f t="array" ref="G471">IF(B471="insumo",_xlfn.XLOOKUP($D471,Insumos!$B$1:$B$996,Insumos!$D$1:$D$996),"")</f>
        <v/>
      </c>
      <c r="H471" s="92" t="n">
        <v>42</v>
      </c>
      <c r="I471" s="2162" t="n">
        <v>0</v>
      </c>
      <c r="J471" s="2162" t="n">
        <v>0</v>
      </c>
      <c r="K471" s="2162" t="n"/>
    </row>
    <row r="472" outlineLevel="3" ht="15.75" customHeight="1">
      <c r="A472" s="10" t="n">
        <v>62</v>
      </c>
      <c r="B472" s="10" t="inlineStr">
        <is>
          <t>Insumo</t>
        </is>
      </c>
      <c r="C472" s="10" t="inlineStr">
        <is>
          <t>Concreto Usinado bombeável 35MPa para infraestrutura - incluindo serviço de bombeamento</t>
        </is>
      </c>
      <c r="D472" s="10" t="inlineStr">
        <is>
          <t>Cimento Portland Composto CP II-32</t>
        </is>
      </c>
      <c r="E472" s="11">
        <f t="array" ref="E472">_xlfn.XLOOKUP(D472,Insumos!B:B,Insumos!C:$C)</f>
        <v/>
      </c>
      <c r="F472" s="14" t="n">
        <v>1</v>
      </c>
      <c r="G472" s="92">
        <f t="array" ref="G472">IF(B472="insumo",_xlfn.XLOOKUP($D472,Insumos!$B$1:$B$996,Insumos!$D$1:$D$996),"")</f>
        <v/>
      </c>
      <c r="H472" s="92" t="n">
        <v>0.76</v>
      </c>
      <c r="I472" s="2162" t="n">
        <v>0</v>
      </c>
      <c r="J472" s="2162" t="n">
        <v>0</v>
      </c>
      <c r="K472" s="2162" t="n"/>
    </row>
    <row r="473" outlineLevel="2" ht="12.75" customHeight="1">
      <c r="A473" s="1071" t="n">
        <v>1</v>
      </c>
      <c r="B473" s="1071" t="inlineStr">
        <is>
          <t>Serviço</t>
        </is>
      </c>
      <c r="C473" s="1071" t="inlineStr">
        <is>
          <t>Concreto Usinado bombeável 40MPa para infraestrutura- incluindo serviço de bombeamento</t>
        </is>
      </c>
      <c r="D473" s="1071" t="inlineStr">
        <is>
          <t>Concreto Usinado bombeável 40MPa para infraestrutura- incluindo serviço de bombeamento</t>
        </is>
      </c>
      <c r="E473" s="1072" t="inlineStr">
        <is>
          <t>M3</t>
        </is>
      </c>
      <c r="F473" s="1071" t="n"/>
      <c r="G473" s="1073">
        <f t="array" ref="G473">IF(B473="insumo",_xlfn.XLOOKUP($D473,Insumos!$B$1:$B$996,Insumos!$D$1:$D$996),"")</f>
        <v/>
      </c>
      <c r="H473" s="1073" t="n">
        <v>631.306</v>
      </c>
      <c r="I473" s="2163" t="n">
        <v>0</v>
      </c>
      <c r="J473" s="2163" t="n">
        <v>0</v>
      </c>
      <c r="K473" s="2163" t="n"/>
    </row>
    <row r="474" outlineLevel="3" ht="12.75" customHeight="1">
      <c r="A474" s="82" t="n">
        <v>2</v>
      </c>
      <c r="B474" s="82" t="inlineStr">
        <is>
          <t>Insumo</t>
        </is>
      </c>
      <c r="C474" s="82" t="inlineStr">
        <is>
          <t>Concreto Usinado bombeável 40MPa para infraestrutura- incluindo serviço de bombeamento</t>
        </is>
      </c>
      <c r="D474" s="82" t="inlineStr">
        <is>
          <t>Concreto Usinado bombeável 40MPa Convencional</t>
        </is>
      </c>
      <c r="E474" s="11">
        <f t="array" ref="E474">_xlfn.XLOOKUP(D474,Insumos!B:B,Insumos!C:$C)</f>
        <v/>
      </c>
      <c r="F474" s="2164" t="n">
        <v>1.05</v>
      </c>
      <c r="G474" s="92">
        <f t="array" ref="G474">IF(B474="insumo",_xlfn.XLOOKUP($D474,Insumos!$B$1:$B$996,Insumos!$D$1:$D$996),"")</f>
        <v/>
      </c>
      <c r="H474" s="92" t="n">
        <v>588.546</v>
      </c>
      <c r="I474" s="2165" t="n">
        <v>0</v>
      </c>
      <c r="J474" s="2165" t="n">
        <v>0</v>
      </c>
      <c r="K474" s="2165" t="n"/>
    </row>
    <row r="475" outlineLevel="3" ht="12.75" customHeight="1">
      <c r="A475" s="82" t="n">
        <v>25</v>
      </c>
      <c r="B475" s="82" t="inlineStr">
        <is>
          <t>Insumo</t>
        </is>
      </c>
      <c r="C475" s="82" t="inlineStr">
        <is>
          <t>Concreto Usinado bombeável 40MPa para infraestrutura- incluindo serviço de bombeamento</t>
        </is>
      </c>
      <c r="D475" s="82" t="inlineStr">
        <is>
          <t>serviço de bombeamento</t>
        </is>
      </c>
      <c r="E475" s="11">
        <f t="array" ref="E475">_xlfn.XLOOKUP(D475,Insumos!B:B,Insumos!C:$C)</f>
        <v/>
      </c>
      <c r="F475" s="2164" t="n">
        <v>1.05</v>
      </c>
      <c r="G475" s="92">
        <f t="array" ref="G475">IF(B475="insumo",_xlfn.XLOOKUP($D475,Insumos!$B$1:$B$996,Insumos!$D$1:$D$996),"")</f>
        <v/>
      </c>
      <c r="H475" s="92" t="n">
        <v>42</v>
      </c>
      <c r="I475" s="2165" t="n">
        <v>0</v>
      </c>
      <c r="J475" s="2165" t="n">
        <v>0</v>
      </c>
      <c r="K475" s="2165" t="n"/>
    </row>
    <row r="476" outlineLevel="3" ht="12.75" customHeight="1">
      <c r="A476" s="82" t="n">
        <v>62</v>
      </c>
      <c r="B476" s="82" t="inlineStr">
        <is>
          <t>Insumo</t>
        </is>
      </c>
      <c r="C476" s="82" t="inlineStr">
        <is>
          <t>Concreto Usinado bombeável 40MPa para infraestrutura- incluindo serviço de bombeamento</t>
        </is>
      </c>
      <c r="D476" s="82" t="inlineStr">
        <is>
          <t>Cimento Portland Composto CP II-32</t>
        </is>
      </c>
      <c r="E476" s="11">
        <f t="array" ref="E476">_xlfn.XLOOKUP(D476,Insumos!B:B,Insumos!C:$C)</f>
        <v/>
      </c>
      <c r="F476" s="2164" t="n">
        <v>1</v>
      </c>
      <c r="G476" s="92">
        <f t="array" ref="G476">IF(B476="insumo",_xlfn.XLOOKUP($D476,Insumos!$B$1:$B$996,Insumos!$D$1:$D$996),"")</f>
        <v/>
      </c>
      <c r="H476" s="92" t="n">
        <v>0.76</v>
      </c>
      <c r="I476" s="2165" t="n">
        <v>0</v>
      </c>
      <c r="J476" s="2165" t="n">
        <v>0</v>
      </c>
      <c r="K476" s="2165" t="n"/>
    </row>
    <row r="477" outlineLevel="2" ht="15.75" customHeight="1">
      <c r="A477" s="1067" t="n">
        <v>1</v>
      </c>
      <c r="B477" s="1067" t="inlineStr">
        <is>
          <t>Serviço</t>
        </is>
      </c>
      <c r="C477" s="1067" t="inlineStr">
        <is>
          <t>Concreto Usinado bombeável 45MPa para infraestrutura- incluindo serviço de bombeamento</t>
        </is>
      </c>
      <c r="D477" s="1067" t="inlineStr">
        <is>
          <t>Concreto Usinado bombeável 45MPa para infraestrutura- incluindo serviço de bombeamento</t>
        </is>
      </c>
      <c r="E477" s="1068" t="inlineStr">
        <is>
          <t>M3</t>
        </is>
      </c>
      <c r="F477" s="1067" t="n"/>
      <c r="G477" s="1069">
        <f t="array" ref="G477">IF(B477="insumo",_xlfn.XLOOKUP($D477,Insumos!$B$1:$B$996,Insumos!$D$1:$D$996),"")</f>
        <v/>
      </c>
      <c r="H477" s="1069" t="n">
        <v>620.407</v>
      </c>
      <c r="I477" s="2161" t="n">
        <v>0</v>
      </c>
      <c r="J477" s="2161" t="n">
        <v>0</v>
      </c>
      <c r="K477" s="2161" t="n"/>
    </row>
    <row r="478" outlineLevel="3" ht="15.75" customHeight="1">
      <c r="A478" s="10" t="n">
        <v>2</v>
      </c>
      <c r="B478" s="10" t="inlineStr">
        <is>
          <t>Insumo</t>
        </is>
      </c>
      <c r="C478" s="10" t="inlineStr">
        <is>
          <t>Concreto Usinado bombeável 45MPa para infraestrutura- incluindo serviço de bombeamento</t>
        </is>
      </c>
      <c r="D478" s="10" t="inlineStr">
        <is>
          <t>Concreto Usinado bombeável 45MPa Convencional</t>
        </is>
      </c>
      <c r="E478" s="11">
        <f t="array" ref="E478">_xlfn.XLOOKUP(D478,Insumos!B:B,Insumos!C:$C)</f>
        <v/>
      </c>
      <c r="F478" s="14" t="n">
        <v>1.05</v>
      </c>
      <c r="G478" s="92">
        <f t="array" ref="G478">IF(B478="insumo",_xlfn.XLOOKUP($D478,Insumos!$B$1:$B$996,Insumos!$D$1:$D$996),"")</f>
        <v/>
      </c>
      <c r="H478" s="92" t="n">
        <v>577.647</v>
      </c>
      <c r="I478" s="2162" t="n">
        <v>0</v>
      </c>
      <c r="J478" s="2162" t="n">
        <v>0</v>
      </c>
      <c r="K478" s="2162" t="n"/>
    </row>
    <row r="479" outlineLevel="3" ht="15.75" customHeight="1">
      <c r="A479" s="10" t="n">
        <v>25</v>
      </c>
      <c r="B479" s="10" t="inlineStr">
        <is>
          <t>Insumo</t>
        </is>
      </c>
      <c r="C479" s="10" t="inlineStr">
        <is>
          <t>Concreto Usinado bombeável 45MPa para infraestrutura- incluindo serviço de bombeamento</t>
        </is>
      </c>
      <c r="D479" s="10" t="inlineStr">
        <is>
          <t>serviço de bombeamento</t>
        </is>
      </c>
      <c r="E479" s="11">
        <f t="array" ref="E479">_xlfn.XLOOKUP(D479,Insumos!B:B,Insumos!C:$C)</f>
        <v/>
      </c>
      <c r="F479" s="14" t="n">
        <v>1.05</v>
      </c>
      <c r="G479" s="92">
        <f t="array" ref="G479">IF(B479="insumo",_xlfn.XLOOKUP($D479,Insumos!$B$1:$B$996,Insumos!$D$1:$D$996),"")</f>
        <v/>
      </c>
      <c r="H479" s="92" t="n">
        <v>42</v>
      </c>
      <c r="I479" s="2162" t="n">
        <v>0</v>
      </c>
      <c r="J479" s="2162" t="n">
        <v>0</v>
      </c>
      <c r="K479" s="2162" t="n"/>
    </row>
    <row r="480" outlineLevel="3" ht="15.75" customHeight="1">
      <c r="A480" s="10" t="n">
        <v>62</v>
      </c>
      <c r="B480" s="10" t="inlineStr">
        <is>
          <t>Insumo</t>
        </is>
      </c>
      <c r="C480" s="10" t="inlineStr">
        <is>
          <t>Concreto Usinado bombeável 45MPa para infraestrutura- incluindo serviço de bombeamento</t>
        </is>
      </c>
      <c r="D480" s="10" t="inlineStr">
        <is>
          <t>Cimento Portland Composto CP II-32</t>
        </is>
      </c>
      <c r="E480" s="11">
        <f t="array" ref="E480">_xlfn.XLOOKUP(D480,Insumos!B:B,Insumos!C:$C)</f>
        <v/>
      </c>
      <c r="F480" s="14" t="n">
        <v>1</v>
      </c>
      <c r="G480" s="92">
        <f t="array" ref="G480">IF(B480="insumo",_xlfn.XLOOKUP($D480,Insumos!$B$1:$B$996,Insumos!$D$1:$D$996),"")</f>
        <v/>
      </c>
      <c r="H480" s="92" t="n">
        <v>0.76</v>
      </c>
      <c r="I480" s="2162" t="n">
        <v>0</v>
      </c>
      <c r="J480" s="2162" t="n">
        <v>0</v>
      </c>
      <c r="K480" s="2162" t="n"/>
    </row>
    <row r="481" outlineLevel="2" ht="15.75" customHeight="1">
      <c r="A481" s="1067" t="n">
        <v>1</v>
      </c>
      <c r="B481" s="1067" t="inlineStr">
        <is>
          <t>Serviço</t>
        </is>
      </c>
      <c r="C481" s="1067" t="inlineStr">
        <is>
          <t>Concreto Usinado bombeável 50MPa para infraestrutura- incluindo serviço de bombeamento</t>
        </is>
      </c>
      <c r="D481" s="1067" t="inlineStr">
        <is>
          <t>Concreto Usinado bombeável 50MPa para infraestrutura- incluindo serviço de bombeamento</t>
        </is>
      </c>
      <c r="E481" s="1068" t="inlineStr">
        <is>
          <t>M3</t>
        </is>
      </c>
      <c r="F481" s="1067" t="n"/>
      <c r="G481" s="1069">
        <f t="array" ref="G481">IF(B481="insumo",_xlfn.XLOOKUP($D481,Insumos!$B$1:$B$996,Insumos!$D$1:$D$996),"")</f>
        <v/>
      </c>
      <c r="H481" s="1069" t="n">
        <v>680.106</v>
      </c>
      <c r="I481" s="2161" t="n">
        <v>738.737662</v>
      </c>
      <c r="J481" s="2161" t="n">
        <v>502419.916352172</v>
      </c>
      <c r="K481" s="2161" t="n"/>
    </row>
    <row r="482" outlineLevel="3" ht="15.75" customHeight="1">
      <c r="A482" s="10" t="n">
        <v>2</v>
      </c>
      <c r="B482" s="10" t="inlineStr">
        <is>
          <t>Insumo</t>
        </is>
      </c>
      <c r="C482" s="10" t="inlineStr">
        <is>
          <t>Concreto Usinado bombeável 50MPa para infraestrutura- incluindo serviço de bombeamento</t>
        </is>
      </c>
      <c r="D482" s="10" t="inlineStr">
        <is>
          <t>Concreto Usinado bombeável 50MPa Convencional</t>
        </is>
      </c>
      <c r="E482" s="11">
        <f t="array" ref="E482">_xlfn.XLOOKUP(D482,Insumos!B:B,Insumos!C:$C)</f>
        <v/>
      </c>
      <c r="F482" s="14" t="n">
        <v>1.05</v>
      </c>
      <c r="G482" s="92">
        <f t="array" ref="G482">IF(B482="insumo",_xlfn.XLOOKUP($D482,Insumos!$B$1:$B$996,Insumos!$D$1:$D$996),"")</f>
        <v/>
      </c>
      <c r="H482" s="92" t="n">
        <v>638.106</v>
      </c>
      <c r="I482" s="2162" t="n">
        <v>738.737662</v>
      </c>
      <c r="J482" s="2162" t="n">
        <v>471392.934548172</v>
      </c>
      <c r="K482" s="2162" t="n"/>
    </row>
    <row r="483" outlineLevel="3" ht="15.75" customHeight="1">
      <c r="A483" s="10" t="n">
        <v>25</v>
      </c>
      <c r="B483" s="10" t="inlineStr">
        <is>
          <t>Insumo</t>
        </is>
      </c>
      <c r="C483" s="10" t="inlineStr">
        <is>
          <t>Concreto Usinado bombeável 50MPa para infraestrutura- incluindo serviço de bombeamento</t>
        </is>
      </c>
      <c r="D483" s="10" t="inlineStr">
        <is>
          <t>serviço de bombeamento</t>
        </is>
      </c>
      <c r="E483" s="11">
        <f t="array" ref="E483">_xlfn.XLOOKUP(D483,Insumos!B:B,Insumos!C:$C)</f>
        <v/>
      </c>
      <c r="F483" s="14" t="n">
        <v>1.05</v>
      </c>
      <c r="G483" s="92">
        <f t="array" ref="G483">IF(B483="insumo",_xlfn.XLOOKUP($D483,Insumos!$B$1:$B$996,Insumos!$D$1:$D$996),"")</f>
        <v/>
      </c>
      <c r="H483" s="92" t="n">
        <v>42</v>
      </c>
      <c r="I483" s="2162" t="n">
        <v>738.737662</v>
      </c>
      <c r="J483" s="2162" t="n">
        <v>31026.981804</v>
      </c>
      <c r="K483" s="2162" t="n"/>
    </row>
    <row r="484" outlineLevel="3" ht="15.75" customHeight="1">
      <c r="A484" s="10" t="n">
        <v>62</v>
      </c>
      <c r="B484" s="10" t="inlineStr">
        <is>
          <t>Insumo</t>
        </is>
      </c>
      <c r="C484" s="10" t="inlineStr">
        <is>
          <t>Concreto Usinado bombeável 50MPa para infraestrutura- incluindo serviço de bombeamento</t>
        </is>
      </c>
      <c r="D484" s="10" t="inlineStr">
        <is>
          <t>Cimento Portland Composto CP II-32</t>
        </is>
      </c>
      <c r="E484" s="11">
        <f t="array" ref="E484">_xlfn.XLOOKUP(D484,Insumos!B:B,Insumos!C:$C)</f>
        <v/>
      </c>
      <c r="F484" s="14" t="n">
        <v>0</v>
      </c>
      <c r="G484" s="92">
        <f t="array" ref="G484">IF(B484="insumo",_xlfn.XLOOKUP($D484,Insumos!$B$1:$B$996,Insumos!$D$1:$D$996),"")</f>
        <v/>
      </c>
      <c r="H484" s="92" t="n">
        <v>0</v>
      </c>
      <c r="I484" s="2162" t="n">
        <v>738.737662</v>
      </c>
      <c r="J484" s="2162" t="n">
        <v>0</v>
      </c>
      <c r="K484" s="2162" t="n"/>
    </row>
    <row r="485" outlineLevel="2" ht="15.75" customHeight="1">
      <c r="A485" s="1067" t="n">
        <v>1</v>
      </c>
      <c r="B485" s="1067" t="inlineStr">
        <is>
          <t>Serviço</t>
        </is>
      </c>
      <c r="C485" s="1067" t="inlineStr">
        <is>
          <t>Concreto Usinado bombeável 60MPa para infraestrutura- incluindo serviço de bombeamento</t>
        </is>
      </c>
      <c r="D485" s="1067" t="inlineStr">
        <is>
          <t>Concreto Usinado bombeável 60MPa para infraestrutura- incluindo serviço de bombeamento</t>
        </is>
      </c>
      <c r="E485" s="1068" t="inlineStr">
        <is>
          <t>M3</t>
        </is>
      </c>
      <c r="F485" s="1067" t="n"/>
      <c r="G485" s="1069">
        <f t="array" ref="G485">IF(B485="insumo",_xlfn.XLOOKUP($D485,Insumos!$B$1:$B$996,Insumos!$D$1:$D$996),"")</f>
        <v/>
      </c>
      <c r="H485" s="1069" t="n">
        <v>656.292</v>
      </c>
      <c r="I485" s="2161" t="n">
        <v>0</v>
      </c>
      <c r="J485" s="2161" t="n">
        <v>0</v>
      </c>
      <c r="K485" s="2161" t="n"/>
    </row>
    <row r="486" outlineLevel="3" ht="15.75" customHeight="1">
      <c r="A486" s="10" t="n">
        <v>1</v>
      </c>
      <c r="B486" s="10" t="inlineStr">
        <is>
          <t>Insumo</t>
        </is>
      </c>
      <c r="C486" s="10" t="inlineStr">
        <is>
          <t>Concreto Usinado bombeável 60MPa para infraestrutura- incluindo serviço de bombeamento</t>
        </is>
      </c>
      <c r="D486" s="10" t="inlineStr">
        <is>
          <t>Concreto Usinado bombeável 60MPa Convencional</t>
        </is>
      </c>
      <c r="E486" s="11">
        <f t="array" ref="E486">_xlfn.XLOOKUP(D486,Insumos!B:B,Insumos!C:$C)</f>
        <v/>
      </c>
      <c r="F486" s="14" t="n">
        <v>1.05</v>
      </c>
      <c r="G486" s="92">
        <f t="array" ref="G486">IF(B486="insumo",_xlfn.XLOOKUP($D486,Insumos!$B$1:$B$996,Insumos!$D$1:$D$996),"")</f>
        <v/>
      </c>
      <c r="H486" s="92" t="n">
        <v>614.292</v>
      </c>
      <c r="I486" s="2162" t="n">
        <v>0</v>
      </c>
      <c r="J486" s="2162" t="n">
        <v>0</v>
      </c>
      <c r="K486" s="2162" t="n"/>
    </row>
    <row r="487" outlineLevel="3" ht="15.75" customHeight="1">
      <c r="A487" s="10" t="n">
        <v>25</v>
      </c>
      <c r="B487" s="10" t="inlineStr">
        <is>
          <t>Insumo</t>
        </is>
      </c>
      <c r="C487" s="10" t="inlineStr">
        <is>
          <t>Concreto Usinado bombeável 60MPa para infraestrutura- incluindo serviço de bombeamento</t>
        </is>
      </c>
      <c r="D487" s="10" t="inlineStr">
        <is>
          <t>serviço de bombeamento</t>
        </is>
      </c>
      <c r="E487" s="11">
        <f t="array" ref="E487">_xlfn.XLOOKUP(D487,Insumos!B:B,Insumos!C:$C)</f>
        <v/>
      </c>
      <c r="F487" s="14" t="n">
        <v>1.05</v>
      </c>
      <c r="G487" s="92">
        <f t="array" ref="G487">IF(B487="insumo",_xlfn.XLOOKUP($D487,Insumos!$B$1:$B$996,Insumos!$D$1:$D$996),"")</f>
        <v/>
      </c>
      <c r="H487" s="92" t="n">
        <v>42</v>
      </c>
      <c r="I487" s="2162" t="n">
        <v>0</v>
      </c>
      <c r="J487" s="2162" t="n">
        <v>0</v>
      </c>
      <c r="K487" s="2162" t="n"/>
    </row>
    <row r="488" outlineLevel="3" ht="15.75" customHeight="1">
      <c r="A488" s="10" t="n">
        <v>62</v>
      </c>
      <c r="B488" s="10" t="inlineStr">
        <is>
          <t>Insumo</t>
        </is>
      </c>
      <c r="C488" s="10" t="inlineStr">
        <is>
          <t>Concreto Usinado bombeável 60MPa para infraestrutura- incluindo serviço de bombeamento</t>
        </is>
      </c>
      <c r="D488" s="10" t="inlineStr">
        <is>
          <t>Cimento Portland Composto CP II-32</t>
        </is>
      </c>
      <c r="E488" s="11">
        <f t="array" ref="E488">_xlfn.XLOOKUP(D488,Insumos!B:B,Insumos!C:$C)</f>
        <v/>
      </c>
      <c r="F488" s="14" t="n">
        <v>0</v>
      </c>
      <c r="G488" s="92">
        <f t="array" ref="G488">IF(B488="insumo",_xlfn.XLOOKUP($D488,Insumos!$B$1:$B$996,Insumos!$D$1:$D$996),"")</f>
        <v/>
      </c>
      <c r="H488" s="92" t="n">
        <v>0</v>
      </c>
      <c r="I488" s="2162" t="n">
        <v>0</v>
      </c>
      <c r="J488" s="2162" t="n">
        <v>0</v>
      </c>
      <c r="K488" s="2162" t="n"/>
    </row>
    <row r="489" outlineLevel="2" ht="15.75" customHeight="1">
      <c r="A489" s="1067" t="n">
        <v>1</v>
      </c>
      <c r="B489" s="1067" t="inlineStr">
        <is>
          <t>Serviço</t>
        </is>
      </c>
      <c r="C489" s="1067" t="inlineStr">
        <is>
          <t>Concreto Usinado bombeável 50MPa com Penetron para infraestrutura- incluindo serviço de bombeamento</t>
        </is>
      </c>
      <c r="D489" s="1067" t="inlineStr">
        <is>
          <t>Concreto Usinado bombeável 50MPa com Penetron para infraestrutura- incluindo serviço de bombeamento</t>
        </is>
      </c>
      <c r="E489" s="1068" t="inlineStr">
        <is>
          <t>M3</t>
        </is>
      </c>
      <c r="F489" s="1067" t="n"/>
      <c r="G489" s="1069">
        <f t="array" ref="G489">IF(B489="insumo",_xlfn.XLOOKUP($D489,Insumos!$B$1:$B$876,Insumos!$D$1:$D$876),"")</f>
        <v/>
      </c>
      <c r="H489" s="1069" t="n">
        <v>837.606</v>
      </c>
      <c r="I489" s="2161" t="n">
        <v>210</v>
      </c>
      <c r="J489" s="2161" t="n">
        <v>175897.26</v>
      </c>
      <c r="K489" s="2161" t="n"/>
    </row>
    <row r="490" outlineLevel="3" ht="15.75" customHeight="1">
      <c r="A490" s="10" t="n">
        <v>1</v>
      </c>
      <c r="B490" s="10" t="inlineStr">
        <is>
          <t>Insumo</t>
        </is>
      </c>
      <c r="C490" s="10" t="inlineStr">
        <is>
          <t>Concreto Usinado bombeável 50MPa com Penetron para infraestrutura- incluindo serviço de bombeamento</t>
        </is>
      </c>
      <c r="D490" s="10" t="inlineStr">
        <is>
          <t>Concreto Usinado bombeável 50MPa Com Penetron</t>
        </is>
      </c>
      <c r="E490" s="11">
        <f t="array" ref="E490">_xlfn.XLOOKUP(D490,Insumos!B:B,Insumos!C:$C)</f>
        <v/>
      </c>
      <c r="F490" s="14" t="n">
        <v>1.05</v>
      </c>
      <c r="G490" s="92">
        <f t="array" ref="G490">IF(B490="insumo",_xlfn.XLOOKUP($D490,Insumos!$B$1:$B$996,Insumos!$D$1:$D$996),"")</f>
        <v/>
      </c>
      <c r="H490" s="92" t="n">
        <v>795.606</v>
      </c>
      <c r="I490" s="2162" t="n">
        <v>210</v>
      </c>
      <c r="J490" s="2162" t="n">
        <v>167077.26</v>
      </c>
      <c r="K490" s="2162" t="n"/>
    </row>
    <row r="491" outlineLevel="3" ht="15.75" customHeight="1">
      <c r="A491" s="10" t="n">
        <v>25</v>
      </c>
      <c r="B491" s="10" t="inlineStr">
        <is>
          <t>Insumo</t>
        </is>
      </c>
      <c r="C491" s="10" t="inlineStr">
        <is>
          <t>Concreto Usinado bombeável 50MPa com Penetron para infraestrutura- incluindo serviço de bombeamento</t>
        </is>
      </c>
      <c r="D491" s="10" t="inlineStr">
        <is>
          <t>serviço de bombeamento</t>
        </is>
      </c>
      <c r="E491" s="11">
        <f t="array" ref="E491">_xlfn.XLOOKUP(D491,Insumos!B:B,Insumos!C:$C)</f>
        <v/>
      </c>
      <c r="F491" s="14" t="n">
        <v>1.05</v>
      </c>
      <c r="G491" s="92">
        <f t="array" ref="G491">IF(B491="insumo",_xlfn.XLOOKUP($D491,Insumos!$B$1:$B$996,Insumos!$D$1:$D$996),"")</f>
        <v/>
      </c>
      <c r="H491" s="92" t="n">
        <v>42</v>
      </c>
      <c r="I491" s="2162" t="n">
        <v>210</v>
      </c>
      <c r="J491" s="2162" t="n">
        <v>8820</v>
      </c>
      <c r="K491" s="2162" t="n"/>
    </row>
    <row r="492" outlineLevel="3" ht="15.75" customHeight="1">
      <c r="A492" s="10" t="n">
        <v>62</v>
      </c>
      <c r="B492" s="10" t="inlineStr">
        <is>
          <t>Insumo</t>
        </is>
      </c>
      <c r="C492" s="10" t="inlineStr">
        <is>
          <t>Concreto Usinado bombeável 50MPa com Penetron para infraestrutura- incluindo serviço de bombeamento</t>
        </is>
      </c>
      <c r="D492" s="10" t="inlineStr">
        <is>
          <t>Cimento Portland Composto CP II-32</t>
        </is>
      </c>
      <c r="E492" s="11">
        <f t="array" ref="E492">_xlfn.XLOOKUP(D492,Insumos!B:B,Insumos!C:$C)</f>
        <v/>
      </c>
      <c r="F492" s="14" t="n">
        <v>0</v>
      </c>
      <c r="G492" s="92">
        <f t="array" ref="G492">IF(B492="insumo",_xlfn.XLOOKUP($D492,Insumos!$B$1:$B$996,Insumos!$D$1:$D$996),"")</f>
        <v/>
      </c>
      <c r="H492" s="92" t="n">
        <v>0</v>
      </c>
      <c r="I492" s="2162" t="n">
        <v>210</v>
      </c>
      <c r="J492" s="2162" t="n">
        <v>0</v>
      </c>
      <c r="K492" s="2162" t="n"/>
    </row>
    <row r="493" outlineLevel="1" ht="15.75" customHeight="1">
      <c r="A493" s="1090" t="n">
        <v>6</v>
      </c>
      <c r="B493" s="1090" t="inlineStr">
        <is>
          <t>Subetapa</t>
        </is>
      </c>
      <c r="C493" s="1090" t="inlineStr">
        <is>
          <t>Concreto Usinado bombeável 50MPa com Penetron para infraestrutura- incluindo serviço de bombeamento</t>
        </is>
      </c>
      <c r="D493" s="1090" t="inlineStr">
        <is>
          <t>MÃO DE OBRA</t>
        </is>
      </c>
      <c r="E493" s="1091" t="n"/>
      <c r="F493" s="2160" t="n"/>
      <c r="G493" s="1091" t="n"/>
      <c r="H493" s="1091" t="n">
        <v>0</v>
      </c>
      <c r="I493" s="2160" t="n">
        <v>0</v>
      </c>
      <c r="J493" s="2160" t="n">
        <v>0</v>
      </c>
      <c r="K493" s="2160" t="n"/>
    </row>
    <row r="494" outlineLevel="2" ht="15.75" customHeight="1">
      <c r="A494" s="1067" t="n">
        <v>1</v>
      </c>
      <c r="B494" s="1067" t="inlineStr">
        <is>
          <t>Serviço</t>
        </is>
      </c>
      <c r="C494" s="1067" t="inlineStr">
        <is>
          <t>Mão de obra para execução de fundação</t>
        </is>
      </c>
      <c r="D494" s="1067" t="inlineStr">
        <is>
          <t>Mão de obra para execução de fundação</t>
        </is>
      </c>
      <c r="E494" s="1068" t="inlineStr">
        <is>
          <t>M2</t>
        </is>
      </c>
      <c r="F494" s="1067" t="n"/>
      <c r="G494" s="1069">
        <f t="array" ref="G494">IF(B494="insumo",_xlfn.XLOOKUP($D494,Insumos!$B$1:$B$996,Insumos!$D$1:$D$996),"")</f>
        <v/>
      </c>
      <c r="H494" s="1069" t="n">
        <v>435</v>
      </c>
      <c r="I494" s="2161" t="n">
        <v>0</v>
      </c>
      <c r="J494" s="2161" t="n">
        <v>0</v>
      </c>
      <c r="K494" s="2161" t="n"/>
    </row>
    <row r="495" outlineLevel="3" ht="15.75" customHeight="1">
      <c r="A495" s="10" t="n">
        <v>1</v>
      </c>
      <c r="B495" s="10" t="inlineStr">
        <is>
          <t>Insumo</t>
        </is>
      </c>
      <c r="C495" s="10" t="inlineStr">
        <is>
          <t>Mão de obra para execução de fundação</t>
        </is>
      </c>
      <c r="D495" s="10" t="inlineStr">
        <is>
          <t>Mão de obra para execução de fundação</t>
        </is>
      </c>
      <c r="E495" s="11">
        <f t="array" ref="E495">_xlfn.XLOOKUP(D495,Insumos!B:B,Insumos!C:$C)</f>
        <v/>
      </c>
      <c r="F495" s="14" t="n">
        <v>1</v>
      </c>
      <c r="G495" s="92">
        <f t="array" ref="G495">IF(B495="insumo",_xlfn.XLOOKUP($D495,Insumos!$B$1:$B$996,Insumos!$D$1:$D$996),"")</f>
        <v/>
      </c>
      <c r="H495" s="92" t="n">
        <v>435</v>
      </c>
      <c r="I495" s="2162" t="n">
        <v>0</v>
      </c>
      <c r="J495" s="2162" t="n">
        <v>0</v>
      </c>
      <c r="K495" s="2162" t="n"/>
    </row>
    <row r="496" ht="15.75" customHeight="1">
      <c r="A496" s="7" t="n">
        <v>1</v>
      </c>
      <c r="B496" s="7" t="inlineStr">
        <is>
          <t>Etapa</t>
        </is>
      </c>
      <c r="C496" s="7" t="inlineStr">
        <is>
          <t>Mão de obra para execução de fundação</t>
        </is>
      </c>
      <c r="D496" s="7" t="inlineStr">
        <is>
          <t>CONTENÇÕES</t>
        </is>
      </c>
      <c r="E496" s="8" t="n"/>
      <c r="F496" s="2159" t="n"/>
      <c r="G496" s="91">
        <f t="array" ref="G496">IF(B496="insumo",_xlfn.XLOOKUP($D496,Insumos!$B$1:$B$996,Insumos!$D$1:$D$996),"")</f>
        <v/>
      </c>
      <c r="H496" s="91" t="n">
        <v>0</v>
      </c>
      <c r="I496" s="2159" t="n">
        <v>0</v>
      </c>
      <c r="J496" s="2159" t="n">
        <v>0</v>
      </c>
      <c r="K496" s="2159" t="n"/>
    </row>
    <row r="497" outlineLevel="1" ht="15.75" customHeight="1">
      <c r="A497" s="1090" t="n">
        <v>2</v>
      </c>
      <c r="B497" s="1090" t="inlineStr">
        <is>
          <t>Subetapa</t>
        </is>
      </c>
      <c r="C497" s="1090" t="inlineStr">
        <is>
          <t>Mão de obra para execução de fundação</t>
        </is>
      </c>
      <c r="D497" s="1090" t="inlineStr">
        <is>
          <t>PERFURAÇÃO</t>
        </is>
      </c>
      <c r="E497" s="1091" t="n"/>
      <c r="F497" s="2160" t="n"/>
      <c r="G497" s="1091" t="n"/>
      <c r="H497" s="1091" t="n">
        <v>0</v>
      </c>
      <c r="I497" s="2160" t="n">
        <v>0</v>
      </c>
      <c r="J497" s="2160" t="n">
        <v>0</v>
      </c>
      <c r="K497" s="2160" t="n"/>
    </row>
    <row r="498" outlineLevel="2" ht="15.75" customHeight="1">
      <c r="A498" s="1067" t="n">
        <v>1</v>
      </c>
      <c r="B498" s="1067" t="inlineStr">
        <is>
          <t>Serviço</t>
        </is>
      </c>
      <c r="C498" s="1067" t="inlineStr">
        <is>
          <t xml:space="preserve">Perfuração de estaca Escavada para contenção Ø 30cm	</t>
        </is>
      </c>
      <c r="D498" s="1067" t="inlineStr">
        <is>
          <t xml:space="preserve">Perfuração de estaca Escavada para contenção Ø 30cm	</t>
        </is>
      </c>
      <c r="E498" s="1068" t="inlineStr">
        <is>
          <t>M</t>
        </is>
      </c>
      <c r="F498" s="1067" t="n"/>
      <c r="G498" s="1069">
        <f t="array" ref="G498">IF(B498="insumo",_xlfn.XLOOKUP($D498,Insumos!$B$1:$B$996,Insumos!$D$1:$D$996),"")</f>
        <v/>
      </c>
      <c r="H498" s="1069" t="n">
        <v>39</v>
      </c>
      <c r="I498" s="2161" t="n">
        <v>0</v>
      </c>
      <c r="J498" s="2161" t="n">
        <v>0</v>
      </c>
      <c r="K498" s="2161" t="n"/>
    </row>
    <row r="499" outlineLevel="3" ht="15.75" customHeight="1">
      <c r="A499" s="10" t="n">
        <v>2</v>
      </c>
      <c r="B499" s="10" t="inlineStr">
        <is>
          <t>Insumo</t>
        </is>
      </c>
      <c r="C499" s="10" t="inlineStr">
        <is>
          <t xml:space="preserve">Perfuração de estaca Escavada para contenção Ø 30cm	</t>
        </is>
      </c>
      <c r="D499" s="10" t="inlineStr">
        <is>
          <t>Execucao Estaca Escavada 030Cm</t>
        </is>
      </c>
      <c r="E499" s="11">
        <f t="array" ref="E499">_xlfn.XLOOKUP(D499,Insumos!B:B,Insumos!C:$C)</f>
        <v/>
      </c>
      <c r="F499" s="14" t="n">
        <v>1</v>
      </c>
      <c r="G499" s="92">
        <f t="array" ref="G499">IF(B499="insumo",_xlfn.XLOOKUP($D499,Insumos!$B$1:$B$996,Insumos!$D$1:$D$996),"")</f>
        <v/>
      </c>
      <c r="H499" s="92" t="n">
        <v>39</v>
      </c>
      <c r="I499" s="2162" t="n">
        <v>0</v>
      </c>
      <c r="J499" s="2162" t="n">
        <v>0</v>
      </c>
      <c r="K499" s="2162" t="n"/>
    </row>
    <row r="500" outlineLevel="2" ht="12.75" customHeight="1">
      <c r="A500" s="1071" t="n">
        <v>1</v>
      </c>
      <c r="B500" s="1071" t="inlineStr">
        <is>
          <t>Serviço</t>
        </is>
      </c>
      <c r="C500" s="1071" t="inlineStr">
        <is>
          <t xml:space="preserve">Perfuração de estaca Escavada para contenção Ø 40cm	</t>
        </is>
      </c>
      <c r="D500" s="1071" t="inlineStr">
        <is>
          <t xml:space="preserve">Perfuração de estaca Escavada para contenção Ø 40cm	</t>
        </is>
      </c>
      <c r="E500" s="1072" t="inlineStr">
        <is>
          <t>M</t>
        </is>
      </c>
      <c r="F500" s="1071" t="n"/>
      <c r="G500" s="1073">
        <f t="array" ref="G500">IF(B500="insumo",_xlfn.XLOOKUP($D500,Insumos!$B$1:$B$996,Insumos!$D$1:$D$996),"")</f>
        <v/>
      </c>
      <c r="H500" s="1073" t="n">
        <v>52.8</v>
      </c>
      <c r="I500" s="2163" t="n">
        <v>0</v>
      </c>
      <c r="J500" s="2163" t="n">
        <v>0</v>
      </c>
      <c r="K500" s="2163" t="n"/>
    </row>
    <row r="501" outlineLevel="3" ht="12.75" customHeight="1">
      <c r="A501" s="82" t="n">
        <v>2</v>
      </c>
      <c r="B501" s="82" t="inlineStr">
        <is>
          <t>Insumo</t>
        </is>
      </c>
      <c r="C501" s="82" t="inlineStr">
        <is>
          <t xml:space="preserve">Perfuração de estaca Escavada para contenção Ø 40cm	</t>
        </is>
      </c>
      <c r="D501" s="82" t="inlineStr">
        <is>
          <t>Execucao Estaca Escavada 040Cm</t>
        </is>
      </c>
      <c r="E501" s="11">
        <f t="array" ref="E501">_xlfn.XLOOKUP(D501,Insumos!B:B,Insumos!C:$C)</f>
        <v/>
      </c>
      <c r="F501" s="2164" t="n">
        <v>1</v>
      </c>
      <c r="G501" s="92">
        <f t="array" ref="G501">IF(B501="insumo",_xlfn.XLOOKUP($D501,Insumos!$B$1:$B$996,Insumos!$D$1:$D$996),"")</f>
        <v/>
      </c>
      <c r="H501" s="92" t="n">
        <v>52.8</v>
      </c>
      <c r="I501" s="2165" t="n">
        <v>0</v>
      </c>
      <c r="J501" s="2165" t="n">
        <v>0</v>
      </c>
      <c r="K501" s="2165" t="n"/>
    </row>
    <row r="502" outlineLevel="1" ht="15.75" customHeight="1">
      <c r="A502" s="1090" t="n">
        <v>3</v>
      </c>
      <c r="B502" s="1090" t="inlineStr">
        <is>
          <t>Subetapa</t>
        </is>
      </c>
      <c r="C502" s="1090" t="inlineStr">
        <is>
          <t xml:space="preserve">Perfuração de estaca Escavada para contenção Ø 40cm	</t>
        </is>
      </c>
      <c r="D502" s="1090" t="inlineStr">
        <is>
          <t>FORMA</t>
        </is>
      </c>
      <c r="E502" s="1091" t="n"/>
      <c r="F502" s="2160" t="n"/>
      <c r="G502" s="1091" t="n"/>
      <c r="H502" s="1091" t="n">
        <v>0</v>
      </c>
      <c r="I502" s="2160" t="n">
        <v>0</v>
      </c>
      <c r="J502" s="2160" t="n">
        <v>0</v>
      </c>
      <c r="K502" s="2160" t="n"/>
    </row>
    <row r="503" outlineLevel="2" ht="15.75" customHeight="1">
      <c r="A503" s="1067" t="n">
        <v>1</v>
      </c>
      <c r="B503" s="1067" t="inlineStr">
        <is>
          <t>Serviço</t>
        </is>
      </c>
      <c r="C503" s="1067" t="inlineStr">
        <is>
          <t>Forma para Contenções em Tábuas de Madeira Serrada 17mm 4x reaproveitamento</t>
        </is>
      </c>
      <c r="D503" s="1067" t="inlineStr">
        <is>
          <t>Forma para Contenções em Tábuas de Madeira Serrada 17mm 4x reaproveitamento</t>
        </is>
      </c>
      <c r="E503" s="1068" t="inlineStr">
        <is>
          <t>M2</t>
        </is>
      </c>
      <c r="F503" s="1067" t="n"/>
      <c r="G503" s="1069">
        <f t="array" ref="G503">IF(B503="insumo",_xlfn.XLOOKUP($D503,Insumos!$B$1:$B$996,Insumos!$D$1:$D$996),"")</f>
        <v/>
      </c>
      <c r="H503" s="1069" t="n">
        <v>59.9562285714286</v>
      </c>
      <c r="I503" s="2161" t="n">
        <v>0</v>
      </c>
      <c r="J503" s="2161" t="n">
        <v>0</v>
      </c>
      <c r="K503" s="2161" t="n"/>
    </row>
    <row r="504" outlineLevel="3" ht="15.75" customHeight="1">
      <c r="A504" s="10" t="n">
        <v>3</v>
      </c>
      <c r="B504" s="10" t="inlineStr">
        <is>
          <t>Insumo</t>
        </is>
      </c>
      <c r="C504" s="10" t="inlineStr">
        <is>
          <t>Forma para Contenções em Tábuas de Madeira Serrada 17mm 4x reaproveitamento</t>
        </is>
      </c>
      <c r="D504" s="10" t="inlineStr">
        <is>
          <t>PREGO DE ACO POLIDO COM CABECA 15 X 18 (1 1/2 X 13)</t>
        </is>
      </c>
      <c r="E504" s="11">
        <f t="array" ref="E504">_xlfn.XLOOKUP(D504,Insumos!B:B,Insumos!C:$C)</f>
        <v/>
      </c>
      <c r="F504" s="14" t="n">
        <v>0.011</v>
      </c>
      <c r="G504" s="92">
        <f t="array" ref="G504">IF(B504="insumo",_xlfn.XLOOKUP($D504,Insumos!$B$1:$B$996,Insumos!$D$1:$D$996),"")</f>
        <v/>
      </c>
      <c r="H504" s="92" t="n">
        <v>0.2068</v>
      </c>
      <c r="I504" s="2162" t="n">
        <v>0</v>
      </c>
      <c r="J504" s="2162" t="n">
        <v>0</v>
      </c>
      <c r="K504" s="2162" t="n"/>
    </row>
    <row r="505" outlineLevel="3" ht="15.75" customHeight="1">
      <c r="A505" s="10" t="n">
        <v>40</v>
      </c>
      <c r="B505" s="10" t="inlineStr">
        <is>
          <t>Insumo</t>
        </is>
      </c>
      <c r="C505" s="10" t="inlineStr">
        <is>
          <t>Forma para Contenções em Tábuas de Madeira Serrada 17mm 4x reaproveitamento</t>
        </is>
      </c>
      <c r="D505" s="10" t="inlineStr">
        <is>
          <t>PREGO DE ACO POLIDO COM CABECA 17 X 21 (2 X 11)</t>
        </is>
      </c>
      <c r="E505" s="11">
        <f t="array" ref="E505">_xlfn.XLOOKUP(D505,Insumos!B:B,Insumos!C:$C)</f>
        <v/>
      </c>
      <c r="F505" s="14" t="n">
        <v>0.095</v>
      </c>
      <c r="G505" s="92">
        <f t="array" ref="G505">IF(B505="insumo",_xlfn.XLOOKUP($D505,Insumos!$B$1:$B$996,Insumos!$D$1:$D$996),"")</f>
        <v/>
      </c>
      <c r="H505" s="92" t="n">
        <v>1.72235</v>
      </c>
      <c r="I505" s="2162" t="n">
        <v>0</v>
      </c>
      <c r="J505" s="2162" t="n">
        <v>0</v>
      </c>
      <c r="K505" s="2162" t="n"/>
    </row>
    <row r="506" outlineLevel="3" ht="15.75" customHeight="1">
      <c r="A506" s="10" t="n">
        <v>10</v>
      </c>
      <c r="B506" s="10" t="inlineStr">
        <is>
          <t>Insumo</t>
        </is>
      </c>
      <c r="C506" s="10" t="inlineStr">
        <is>
          <t>Forma para Contenções em Tábuas de Madeira Serrada 17mm 4x reaproveitamento</t>
        </is>
      </c>
      <c r="D506" s="10" t="inlineStr">
        <is>
          <t xml:space="preserve">DESMOLDANTE PROTETOR PARA FORMAS DE MADEIRA, DE BASE OLEOSA EMULSIONADA EM AGUA   </t>
        </is>
      </c>
      <c r="E506" s="11">
        <f t="array" ref="E506">_xlfn.XLOOKUP(D506,Insumos!B:B,Insumos!C:$C)</f>
        <v/>
      </c>
      <c r="F506" s="14" t="n">
        <v>0.017</v>
      </c>
      <c r="G506" s="92">
        <f t="array" ref="G506">IF(B506="insumo",_xlfn.XLOOKUP($D506,Insumos!$B$1:$B$996,Insumos!$D$1:$D$996),"")</f>
        <v/>
      </c>
      <c r="H506" s="92" t="n">
        <v>0.26435</v>
      </c>
      <c r="I506" s="2162" t="n">
        <v>0</v>
      </c>
      <c r="J506" s="2162" t="n">
        <v>0</v>
      </c>
      <c r="K506" s="2162" t="n"/>
    </row>
    <row r="507" outlineLevel="3" ht="15.75" customHeight="1">
      <c r="A507" s="10" t="n">
        <v>25</v>
      </c>
      <c r="B507" s="10" t="inlineStr">
        <is>
          <t>Insumo</t>
        </is>
      </c>
      <c r="C507" s="10" t="inlineStr">
        <is>
          <t>Forma para Contenções em Tábuas de Madeira Serrada 17mm 4x reaproveitamento</t>
        </is>
      </c>
      <c r="D507" s="10" t="inlineStr">
        <is>
          <t>MADEIRA PINUS/SIMILAR - PONTALETE 75X75MM NBR 11700/15696</t>
        </is>
      </c>
      <c r="E507" s="11">
        <f t="array" ref="E507">_xlfn.XLOOKUP(D507,Insumos!B:B,Insumos!C:$C)</f>
        <v/>
      </c>
      <c r="F507" s="14" t="n">
        <v>0.7371428571428572</v>
      </c>
      <c r="G507" s="92">
        <f t="array" ref="G507">IF(B507="insumo",_xlfn.XLOOKUP($D507,Insumos!$B$1:$B$996,Insumos!$D$1:$D$996),"")</f>
        <v/>
      </c>
      <c r="H507" s="92" t="n">
        <v>5.16</v>
      </c>
      <c r="I507" s="2162" t="n">
        <v>0</v>
      </c>
      <c r="J507" s="2162" t="n">
        <v>0</v>
      </c>
      <c r="K507" s="2162" t="n"/>
    </row>
    <row r="508" outlineLevel="3" ht="15.75" customHeight="1">
      <c r="A508" s="10" t="n">
        <v>19</v>
      </c>
      <c r="B508" s="10" t="inlineStr">
        <is>
          <t>Insumo</t>
        </is>
      </c>
      <c r="C508" s="10" t="inlineStr">
        <is>
          <t>Forma para Contenções em Tábuas de Madeira Serrada 17mm 4x reaproveitamento</t>
        </is>
      </c>
      <c r="D508" s="10" t="inlineStr">
        <is>
          <t>SARRAFO *2,5 X 7,5* CM EM PINUS, MISTA OU EQUIVALENTE DA REGIAO - BRUTA</t>
        </is>
      </c>
      <c r="E508" s="11">
        <f t="array" ref="E508">_xlfn.XLOOKUP(D508,Insumos!B:B,Insumos!C:$C)</f>
        <v/>
      </c>
      <c r="F508" s="14" t="n">
        <v>0.002638095238095238</v>
      </c>
      <c r="G508" s="92">
        <f t="array" ref="G508">IF(B508="insumo",_xlfn.XLOOKUP($D508,Insumos!$B$1:$B$996,Insumos!$D$1:$D$996),"")</f>
        <v/>
      </c>
      <c r="H508" s="92" t="n">
        <v>3.56142857142857</v>
      </c>
      <c r="I508" s="2162" t="n">
        <v>0</v>
      </c>
      <c r="J508" s="2162" t="n">
        <v>0</v>
      </c>
      <c r="K508" s="2162" t="n"/>
    </row>
    <row r="509" outlineLevel="3" ht="15.75" customHeight="1">
      <c r="A509" s="10" t="n">
        <v>6</v>
      </c>
      <c r="B509" s="10" t="inlineStr">
        <is>
          <t>Insumo</t>
        </is>
      </c>
      <c r="C509" s="10" t="inlineStr">
        <is>
          <t>Forma para Contenções em Tábuas de Madeira Serrada 17mm 4x reaproveitamento</t>
        </is>
      </c>
      <c r="D509" s="10" t="inlineStr">
        <is>
          <t>TABUA *2,5 X 30 CM EM PINUS, MISTA OU EQUIVALENTE DA REGIAO - BRUTA (M)</t>
        </is>
      </c>
      <c r="E509" s="11">
        <f t="array" ref="E509">_xlfn.XLOOKUP(D509,Insumos!B:B,Insumos!C:$C)</f>
        <v/>
      </c>
      <c r="F509" s="14" t="n">
        <v>1.155</v>
      </c>
      <c r="G509" s="92">
        <f t="array" ref="G509">IF(B509="insumo",_xlfn.XLOOKUP($D509,Insumos!$B$1:$B$996,Insumos!$D$1:$D$996),"")</f>
        <v/>
      </c>
      <c r="H509" s="92" t="n">
        <v>49.0413</v>
      </c>
      <c r="I509" s="2162" t="n">
        <v>0</v>
      </c>
      <c r="J509" s="2162" t="n">
        <v>0</v>
      </c>
      <c r="K509" s="2162" t="n"/>
    </row>
    <row r="510" outlineLevel="1" ht="15.75" customHeight="1">
      <c r="A510" s="1090" t="n">
        <v>4</v>
      </c>
      <c r="B510" s="1090" t="inlineStr">
        <is>
          <t>Subetapa</t>
        </is>
      </c>
      <c r="C510" s="1090" t="inlineStr">
        <is>
          <t>Forma para Contenções em Tábuas de Madeira Serrada 17mm 4x reaproveitamento</t>
        </is>
      </c>
      <c r="D510" s="1090" t="inlineStr">
        <is>
          <t>ARMADURA</t>
        </is>
      </c>
      <c r="E510" s="1091" t="n"/>
      <c r="F510" s="2160" t="n"/>
      <c r="G510" s="1091" t="n"/>
      <c r="H510" s="1091" t="n">
        <v>0</v>
      </c>
      <c r="I510" s="2160" t="n">
        <v>0</v>
      </c>
      <c r="J510" s="2160" t="n">
        <v>0</v>
      </c>
      <c r="K510" s="2160" t="n"/>
    </row>
    <row r="511" outlineLevel="2" ht="15.75" customHeight="1">
      <c r="A511" s="1067" t="n">
        <v>1</v>
      </c>
      <c r="B511" s="1067" t="inlineStr">
        <is>
          <t>Serviço</t>
        </is>
      </c>
      <c r="C511" s="1067" t="inlineStr">
        <is>
          <t>Locação e cravação de estacas prancha EP400 para contenção</t>
        </is>
      </c>
      <c r="D511" s="1067" t="inlineStr">
        <is>
          <t>Locação e cravação de estacas prancha EP400 para contenção</t>
        </is>
      </c>
      <c r="E511" s="1068" t="inlineStr">
        <is>
          <t>M2</t>
        </is>
      </c>
      <c r="F511" s="1067" t="n"/>
      <c r="G511" s="1069">
        <f t="array" ref="G511">IF(B511="insumo",_xlfn.XLOOKUP($D511,Insumos!$B$1:$B$996,Insumos!$D$1:$D$996),"")</f>
        <v/>
      </c>
      <c r="H511" s="1069" t="n">
        <v>470.284090909091</v>
      </c>
      <c r="I511" s="2161" t="n">
        <v>492.8</v>
      </c>
      <c r="J511" s="2161" t="n">
        <v>231756</v>
      </c>
      <c r="K511" s="2161" t="n"/>
    </row>
    <row r="512" outlineLevel="3" ht="15.75" customHeight="1">
      <c r="A512" s="10" t="n">
        <v>1</v>
      </c>
      <c r="B512" s="10" t="inlineStr">
        <is>
          <t>Insumo</t>
        </is>
      </c>
      <c r="C512" s="10" t="inlineStr">
        <is>
          <t>Locação e cravação de estacas prancha EP400 para contenção</t>
        </is>
      </c>
      <c r="D512" s="10" t="inlineStr">
        <is>
          <t>Estaca prancha EP400 para contenção, L=8,00m</t>
        </is>
      </c>
      <c r="E512" s="11" t="inlineStr">
        <is>
          <t>M2</t>
        </is>
      </c>
      <c r="F512" s="14" t="n">
        <v>1</v>
      </c>
      <c r="G512" s="92">
        <f t="array" ref="G512">IF(B512="insumo",_xlfn.XLOOKUP($D512,Insumos!$B$1:$B$996,Insumos!$D$1:$D$996),"")</f>
        <v/>
      </c>
      <c r="H512" s="92" t="n">
        <v>470.284090909091</v>
      </c>
      <c r="I512" s="2162" t="n">
        <v>492.8</v>
      </c>
      <c r="J512" s="2162" t="n">
        <v>231756</v>
      </c>
      <c r="K512" s="2162" t="n"/>
    </row>
    <row r="513" outlineLevel="2" ht="15.75" customHeight="1">
      <c r="A513" s="1067" t="n">
        <v>1</v>
      </c>
      <c r="B513" s="1067" t="inlineStr">
        <is>
          <t>Serviço</t>
        </is>
      </c>
      <c r="C513" s="1067" t="inlineStr">
        <is>
          <t>Mobilização e Desmobilização de equipamento e máquinas considerando serviço de carga e descarga</t>
        </is>
      </c>
      <c r="D513" s="1067" t="inlineStr">
        <is>
          <t>Mobilização e Desmobilização de equipamento e máquinas considerando serviço de carga e descarga</t>
        </is>
      </c>
      <c r="E513" s="1068" t="inlineStr">
        <is>
          <t>M2</t>
        </is>
      </c>
      <c r="F513" s="1067" t="n"/>
      <c r="G513" s="1069">
        <f t="array" ref="G513">IF(B513="insumo",_xlfn.XLOOKUP($D513,Insumos!$B$1:$B$996,Insumos!$D$1:$D$996),"")</f>
        <v/>
      </c>
      <c r="H513" s="1069" t="n">
        <v>12000</v>
      </c>
      <c r="I513" s="2161" t="n">
        <v>1</v>
      </c>
      <c r="J513" s="2161" t="n">
        <v>12000</v>
      </c>
      <c r="K513" s="2161" t="n"/>
    </row>
    <row r="514" outlineLevel="3" ht="15.75" customHeight="1">
      <c r="A514" s="10" t="n">
        <v>1</v>
      </c>
      <c r="B514" s="10" t="inlineStr">
        <is>
          <t>Insumo</t>
        </is>
      </c>
      <c r="C514" s="10" t="inlineStr">
        <is>
          <t>Mobilização e Desmobilização de equipamento e máquinas considerando serviço de carga e descarga</t>
        </is>
      </c>
      <c r="D514" s="10" t="inlineStr">
        <is>
          <t>Mobilização e Desmobilização de equipamento e máquinas considerando serviço de carga e descarga</t>
        </is>
      </c>
      <c r="E514" s="11" t="inlineStr">
        <is>
          <t>M2</t>
        </is>
      </c>
      <c r="F514" s="14" t="n">
        <v>1</v>
      </c>
      <c r="G514" s="92">
        <f>IF(B514="insumo",_xlfn.XLOOKUP($D514,Insumos!$B$1:$B$996,Insumos!$D$1:$D$996),"")</f>
        <v/>
      </c>
      <c r="H514" s="92" t="n">
        <v>12000</v>
      </c>
      <c r="I514" s="2162" t="n">
        <v>1</v>
      </c>
      <c r="J514" s="2162" t="n">
        <v>12000</v>
      </c>
      <c r="K514" s="2162" t="n"/>
    </row>
    <row r="515" outlineLevel="2" ht="15.75" customHeight="1">
      <c r="A515" s="1067" t="n">
        <v>1</v>
      </c>
      <c r="B515" s="1067" t="inlineStr">
        <is>
          <t>Serviço</t>
        </is>
      </c>
      <c r="C515" s="1067" t="inlineStr">
        <is>
          <t>Armação aço CA-50 ø 6,3mm para Contenções (corte e dobra em obra)</t>
        </is>
      </c>
      <c r="D515" s="1067" t="inlineStr">
        <is>
          <t>Armação aço CA-50 ø 6,3mm para Contenções (corte e dobra em obra)</t>
        </is>
      </c>
      <c r="E515" s="1068" t="inlineStr">
        <is>
          <t>KG</t>
        </is>
      </c>
      <c r="F515" s="1067" t="n"/>
      <c r="G515" s="1069">
        <f t="array" ref="G515">IF(B515="insumo",_xlfn.XLOOKUP($D515,Insumos!$B$1:$B$996,Insumos!$D$1:$D$996),"")</f>
        <v/>
      </c>
      <c r="H515" s="1069" t="n">
        <v>6.0795673937957</v>
      </c>
      <c r="I515" s="2161" t="n">
        <v>670.3200000000001</v>
      </c>
      <c r="J515" s="2161" t="n">
        <v>4075.25561540913</v>
      </c>
      <c r="K515" s="2161" t="n"/>
    </row>
    <row r="516" outlineLevel="3" ht="15.75" customHeight="1">
      <c r="A516" s="10" t="n">
        <v>4</v>
      </c>
      <c r="B516" s="10" t="inlineStr">
        <is>
          <t>Insumo</t>
        </is>
      </c>
      <c r="C516" s="10" t="inlineStr">
        <is>
          <t>Armação aço CA-50 ø 6,3mm para Contenções (corte e dobra em obra)</t>
        </is>
      </c>
      <c r="D516" s="10" t="inlineStr">
        <is>
          <t>Aço CA50 6,3 mm</t>
        </is>
      </c>
      <c r="E516" s="11">
        <f t="array" ref="E516">_xlfn.XLOOKUP(D516,Insumos!B:B,Insumos!C:$C)</f>
        <v/>
      </c>
      <c r="F516" s="14" t="n">
        <v>1.1</v>
      </c>
      <c r="G516" s="92">
        <f t="array" ref="G516">IF(B516="insumo",_xlfn.XLOOKUP($D516,Insumos!$B$1:$B$996,Insumos!$D$1:$D$996),"")</f>
        <v/>
      </c>
      <c r="H516" s="92" t="n">
        <v>5.7854223937957</v>
      </c>
      <c r="I516" s="2162" t="n">
        <v>670.3200000000001</v>
      </c>
      <c r="J516" s="2162" t="n">
        <v>3878.08433900913</v>
      </c>
      <c r="K516" s="2162" t="n"/>
    </row>
    <row r="517" outlineLevel="3" ht="15.75" customHeight="1">
      <c r="A517" s="10" t="n">
        <v>41</v>
      </c>
      <c r="B517" s="10" t="inlineStr">
        <is>
          <t>Insumo</t>
        </is>
      </c>
      <c r="C517" s="10" t="inlineStr">
        <is>
          <t>Armação aço CA-50 ø 6,3mm para Contenções (corte e dobra em obra)</t>
        </is>
      </c>
      <c r="D517" s="10" t="inlineStr">
        <is>
          <t xml:space="preserve">Arame Galvanizado </t>
        </is>
      </c>
      <c r="E517" s="11">
        <f t="array" ref="E517">_xlfn.XLOOKUP(D517,Insumos!B:B,Insumos!C:$C)</f>
        <v/>
      </c>
      <c r="F517" s="14" t="n">
        <v>0.0205</v>
      </c>
      <c r="G517" s="92">
        <f t="array" ref="G517">IF(B517="insumo",_xlfn.XLOOKUP($D517,Insumos!$B$1:$B$996,Insumos!$D$1:$D$996),"")</f>
        <v/>
      </c>
      <c r="H517" s="92" t="n">
        <v>0.280645</v>
      </c>
      <c r="I517" s="2162" t="n">
        <v>670.3200000000001</v>
      </c>
      <c r="J517" s="2162" t="n">
        <v>188.1219564</v>
      </c>
      <c r="K517" s="2162" t="n"/>
    </row>
    <row r="518" outlineLevel="3" ht="15.75" customHeight="1">
      <c r="A518" s="10" t="n">
        <v>62</v>
      </c>
      <c r="B518" s="10" t="inlineStr">
        <is>
          <t>Insumo</t>
        </is>
      </c>
      <c r="C518" s="10" t="inlineStr">
        <is>
          <t>Armação aço CA-50 ø 6,3mm para Contenções (corte e dobra em obra)</t>
        </is>
      </c>
      <c r="D518" s="10" t="inlineStr">
        <is>
          <t>Espaçador para armadura</t>
        </is>
      </c>
      <c r="E518" s="11">
        <f t="array" ref="E518">_xlfn.XLOOKUP(D518,Insumos!B:B,Insumos!C:$C)</f>
        <v/>
      </c>
      <c r="F518" s="14" t="n">
        <v>0.05</v>
      </c>
      <c r="G518" s="92">
        <f t="array" ref="G518">IF(B518="insumo",_xlfn.XLOOKUP($D518,Insumos!$B$1:$B$996,Insumos!$D$1:$D$996),"")</f>
        <v/>
      </c>
      <c r="H518" s="92" t="n">
        <v>0.0135</v>
      </c>
      <c r="I518" s="2162" t="n">
        <v>670.3200000000001</v>
      </c>
      <c r="J518" s="2162" t="n">
        <v>9.04932</v>
      </c>
      <c r="K518" s="2162" t="n"/>
    </row>
    <row r="519" outlineLevel="2" ht="15.75" customHeight="1">
      <c r="A519" s="1067" t="n">
        <v>1</v>
      </c>
      <c r="B519" s="1067" t="inlineStr">
        <is>
          <t>Serviço</t>
        </is>
      </c>
      <c r="C519" s="1067" t="inlineStr">
        <is>
          <t>Armação aço CA-50 ø 8,0mm para Contenções (corte e dobra em obra)</t>
        </is>
      </c>
      <c r="D519" s="1067" t="inlineStr">
        <is>
          <t>Armação aço CA-50 ø 8,0mm para Contenções (corte e dobra em obra)</t>
        </is>
      </c>
      <c r="E519" s="1068" t="inlineStr">
        <is>
          <t>KG</t>
        </is>
      </c>
      <c r="F519" s="1067" t="n"/>
      <c r="G519" s="1069">
        <f t="array" ref="G519">IF(B519="insumo",_xlfn.XLOOKUP($D519,Insumos!$B$1:$B$996,Insumos!$D$1:$D$996),"")</f>
        <v/>
      </c>
      <c r="H519" s="1069" t="n">
        <v>5.71148765890462</v>
      </c>
      <c r="I519" s="2161" t="n">
        <v>0</v>
      </c>
      <c r="J519" s="2161" t="n">
        <v>0</v>
      </c>
      <c r="K519" s="2161" t="n"/>
    </row>
    <row r="520" outlineLevel="3" ht="15.75" customHeight="1">
      <c r="A520" s="10" t="n">
        <v>5</v>
      </c>
      <c r="B520" s="10" t="inlineStr">
        <is>
          <t>Insumo</t>
        </is>
      </c>
      <c r="C520" s="10" t="inlineStr">
        <is>
          <t>Armação aço CA-50 ø 8,0mm para Contenções (corte e dobra em obra)</t>
        </is>
      </c>
      <c r="D520" s="10" t="inlineStr">
        <is>
          <t>Aço CA50 8,0 mm</t>
        </is>
      </c>
      <c r="E520" s="11">
        <f t="array" ref="E520">_xlfn.XLOOKUP(D520,Insumos!B:B,Insumos!C:$C)</f>
        <v/>
      </c>
      <c r="F520" s="14" t="n">
        <v>1.1</v>
      </c>
      <c r="G520" s="92">
        <f t="array" ref="G520">IF(B520="insumo",_xlfn.XLOOKUP($D520,Insumos!$B$1:$B$996,Insumos!$D$1:$D$996),"")</f>
        <v/>
      </c>
      <c r="H520" s="92" t="n">
        <v>5.41734265890462</v>
      </c>
      <c r="I520" s="2162" t="n">
        <v>0</v>
      </c>
      <c r="J520" s="2162" t="n">
        <v>0</v>
      </c>
      <c r="K520" s="2162" t="n"/>
    </row>
    <row r="521" outlineLevel="3" ht="15.75" customHeight="1">
      <c r="A521" s="10" t="n">
        <v>41</v>
      </c>
      <c r="B521" s="10" t="inlineStr">
        <is>
          <t>Insumo</t>
        </is>
      </c>
      <c r="C521" s="10" t="inlineStr">
        <is>
          <t>Armação aço CA-50 ø 8,0mm para Contenções (corte e dobra em obra)</t>
        </is>
      </c>
      <c r="D521" s="10" t="inlineStr">
        <is>
          <t xml:space="preserve">Arame Galvanizado </t>
        </is>
      </c>
      <c r="E521" s="11">
        <f t="array" ref="E521">_xlfn.XLOOKUP(D521,Insumos!B:B,Insumos!C:$C)</f>
        <v/>
      </c>
      <c r="F521" s="14" t="n">
        <v>0.0205</v>
      </c>
      <c r="G521" s="92">
        <f t="array" ref="G521">IF(B521="insumo",_xlfn.XLOOKUP($D521,Insumos!$B$1:$B$996,Insumos!$D$1:$D$996),"")</f>
        <v/>
      </c>
      <c r="H521" s="92" t="n">
        <v>0.280645</v>
      </c>
      <c r="I521" s="2162" t="n">
        <v>0</v>
      </c>
      <c r="J521" s="2162" t="n">
        <v>0</v>
      </c>
      <c r="K521" s="2162" t="n"/>
    </row>
    <row r="522" outlineLevel="3" ht="15.75" customHeight="1">
      <c r="A522" s="10" t="n">
        <v>62</v>
      </c>
      <c r="B522" s="10" t="inlineStr">
        <is>
          <t>Insumo</t>
        </is>
      </c>
      <c r="C522" s="10" t="inlineStr">
        <is>
          <t>Armação aço CA-50 ø 8,0mm para Contenções (corte e dobra em obra)</t>
        </is>
      </c>
      <c r="D522" s="10" t="inlineStr">
        <is>
          <t>Espaçador para armadura</t>
        </is>
      </c>
      <c r="E522" s="11">
        <f t="array" ref="E522">_xlfn.XLOOKUP(D522,Insumos!B:B,Insumos!C:$C)</f>
        <v/>
      </c>
      <c r="F522" s="14" t="n">
        <v>0.05</v>
      </c>
      <c r="G522" s="92">
        <f t="array" ref="G522">IF(B522="insumo",_xlfn.XLOOKUP($D522,Insumos!$B$1:$B$996,Insumos!$D$1:$D$996),"")</f>
        <v/>
      </c>
      <c r="H522" s="92" t="n">
        <v>0.0135</v>
      </c>
      <c r="I522" s="2162" t="n">
        <v>0</v>
      </c>
      <c r="J522" s="2162" t="n">
        <v>0</v>
      </c>
      <c r="K522" s="2162" t="n"/>
    </row>
    <row r="523" outlineLevel="2" ht="15.75" customHeight="1">
      <c r="A523" s="1067" t="n">
        <v>1</v>
      </c>
      <c r="B523" s="1067" t="inlineStr">
        <is>
          <t>Serviço</t>
        </is>
      </c>
      <c r="C523" s="1067" t="inlineStr">
        <is>
          <t>Armação aço CA-50 ø 10,0mm para Contenções (corte e dobra em obra)</t>
        </is>
      </c>
      <c r="D523" s="1067" t="inlineStr">
        <is>
          <t>Armação aço CA-50 ø 10,0mm para Contenções (corte e dobra em obra)</t>
        </is>
      </c>
      <c r="E523" s="1068" t="inlineStr">
        <is>
          <t>KG</t>
        </is>
      </c>
      <c r="F523" s="1067" t="n"/>
      <c r="G523" s="1069">
        <f t="array" ref="G523">IF(B523="insumo",_xlfn.XLOOKUP($D523,Insumos!$B$1:$B$996,Insumos!$D$1:$D$996),"")</f>
        <v/>
      </c>
      <c r="H523" s="1069" t="n">
        <v>5.57489771932025</v>
      </c>
      <c r="I523" s="2161" t="n">
        <v>0</v>
      </c>
      <c r="J523" s="2161" t="n">
        <v>0</v>
      </c>
      <c r="K523" s="2161" t="n"/>
    </row>
    <row r="524" outlineLevel="3" ht="15.75" customHeight="1">
      <c r="A524" s="10" t="n">
        <v>4</v>
      </c>
      <c r="B524" s="10" t="inlineStr">
        <is>
          <t>Insumo</t>
        </is>
      </c>
      <c r="C524" s="10" t="inlineStr">
        <is>
          <t>Armação aço CA-50 ø 10,0mm para Contenções (corte e dobra em obra)</t>
        </is>
      </c>
      <c r="D524" s="10" t="inlineStr">
        <is>
          <t>Aço CA50 10,0 mm</t>
        </is>
      </c>
      <c r="E524" s="11">
        <f t="array" ref="E524">_xlfn.XLOOKUP(D524,Insumos!B:B,Insumos!C:$C)</f>
        <v/>
      </c>
      <c r="F524" s="14" t="n">
        <v>1.1</v>
      </c>
      <c r="G524" s="92">
        <f t="array" ref="G524">IF(B524="insumo",_xlfn.XLOOKUP($D524,Insumos!$B$1:$B$996,Insumos!$D$1:$D$996),"")</f>
        <v/>
      </c>
      <c r="H524" s="92" t="n">
        <v>5.28075271932025</v>
      </c>
      <c r="I524" s="2162" t="n">
        <v>0</v>
      </c>
      <c r="J524" s="2162" t="n">
        <v>0</v>
      </c>
      <c r="K524" s="2162" t="n"/>
    </row>
    <row r="525" outlineLevel="3" ht="15.75" customHeight="1">
      <c r="A525" s="10" t="n">
        <v>41</v>
      </c>
      <c r="B525" s="10" t="inlineStr">
        <is>
          <t>Insumo</t>
        </is>
      </c>
      <c r="C525" s="10" t="inlineStr">
        <is>
          <t>Armação aço CA-50 ø 10,0mm para Contenções (corte e dobra em obra)</t>
        </is>
      </c>
      <c r="D525" s="10" t="inlineStr">
        <is>
          <t xml:space="preserve">Arame Galvanizado </t>
        </is>
      </c>
      <c r="E525" s="11">
        <f t="array" ref="E525">_xlfn.XLOOKUP(D525,Insumos!B:B,Insumos!C:$C)</f>
        <v/>
      </c>
      <c r="F525" s="14" t="n">
        <v>0.0205</v>
      </c>
      <c r="G525" s="92">
        <f t="array" ref="G525">IF(B525="insumo",_xlfn.XLOOKUP($D525,Insumos!$B$1:$B$996,Insumos!$D$1:$D$996),"")</f>
        <v/>
      </c>
      <c r="H525" s="92" t="n">
        <v>0.280645</v>
      </c>
      <c r="I525" s="2162" t="n">
        <v>0</v>
      </c>
      <c r="J525" s="2162" t="n">
        <v>0</v>
      </c>
      <c r="K525" s="2162" t="n"/>
    </row>
    <row r="526" outlineLevel="3" ht="15.75" customHeight="1">
      <c r="A526" s="10" t="n">
        <v>62</v>
      </c>
      <c r="B526" s="10" t="inlineStr">
        <is>
          <t>Insumo</t>
        </is>
      </c>
      <c r="C526" s="10" t="inlineStr">
        <is>
          <t>Armação aço CA-50 ø 10,0mm para Contenções (corte e dobra em obra)</t>
        </is>
      </c>
      <c r="D526" s="10" t="inlineStr">
        <is>
          <t>Espaçador para armadura</t>
        </is>
      </c>
      <c r="E526" s="11">
        <f t="array" ref="E526">_xlfn.XLOOKUP(D526,Insumos!B:B,Insumos!C:$C)</f>
        <v/>
      </c>
      <c r="F526" s="14" t="n">
        <v>0.05</v>
      </c>
      <c r="G526" s="92">
        <f t="array" ref="G526">IF(B526="insumo",_xlfn.XLOOKUP($D526,Insumos!$B$1:$B$996,Insumos!$D$1:$D$996),"")</f>
        <v/>
      </c>
      <c r="H526" s="92" t="n">
        <v>0.0135</v>
      </c>
      <c r="I526" s="2162" t="n">
        <v>0</v>
      </c>
      <c r="J526" s="2162" t="n">
        <v>0</v>
      </c>
      <c r="K526" s="2162" t="n"/>
    </row>
    <row r="527" outlineLevel="2" ht="15.75" customHeight="1">
      <c r="A527" s="1067" t="n">
        <v>1</v>
      </c>
      <c r="B527" s="1067" t="inlineStr">
        <is>
          <t>Serviço</t>
        </is>
      </c>
      <c r="C527" s="1067" t="inlineStr">
        <is>
          <t xml:space="preserve">Armação aço CA-50 ø 12,5mm para Contenções (corte e dobra em obra) </t>
        </is>
      </c>
      <c r="D527" s="1067" t="inlineStr">
        <is>
          <t xml:space="preserve">Armação aço CA-50 ø 12,5mm para Contenções (corte e dobra em obra) </t>
        </is>
      </c>
      <c r="E527" s="1068" t="inlineStr">
        <is>
          <t>KG</t>
        </is>
      </c>
      <c r="F527" s="1067" t="n"/>
      <c r="G527" s="1069">
        <f t="array" ref="G527">IF(B527="insumo",_xlfn.XLOOKUP($D527,Insumos!$B$1:$B$996,Insumos!$D$1:$D$996),"")</f>
        <v/>
      </c>
      <c r="H527" s="1069" t="n">
        <v>5.85253908446873</v>
      </c>
      <c r="I527" s="2161" t="n">
        <v>41.6016</v>
      </c>
      <c r="J527" s="2161" t="n">
        <v>243.474989976434</v>
      </c>
      <c r="K527" s="2161" t="n"/>
    </row>
    <row r="528" outlineLevel="3" ht="15.75" customHeight="1">
      <c r="A528" s="10" t="n">
        <v>3</v>
      </c>
      <c r="B528" s="10" t="inlineStr">
        <is>
          <t>Insumo</t>
        </is>
      </c>
      <c r="C528" s="10" t="inlineStr">
        <is>
          <t xml:space="preserve">Armação aço CA-50 ø 12,5mm para Contenções (corte e dobra em obra) </t>
        </is>
      </c>
      <c r="D528" s="10" t="inlineStr">
        <is>
          <t>Aço CA50 12,5 mm</t>
        </is>
      </c>
      <c r="E528" s="11">
        <f t="array" ref="E528">_xlfn.XLOOKUP(D528,Insumos!B:B,Insumos!C:$C)</f>
        <v/>
      </c>
      <c r="F528" s="14" t="n">
        <v>1.1</v>
      </c>
      <c r="G528" s="92">
        <f t="array" ref="G528">IF(B528="insumo",_xlfn.XLOOKUP($D528,Insumos!$B$1:$B$996,Insumos!$D$1:$D$996),"")</f>
        <v/>
      </c>
      <c r="H528" s="92" t="n">
        <v>5.55839408446873</v>
      </c>
      <c r="I528" s="2162" t="n">
        <v>41.6016</v>
      </c>
      <c r="J528" s="2162" t="n">
        <v>231.238087344434</v>
      </c>
      <c r="K528" s="2162" t="n"/>
    </row>
    <row r="529" outlineLevel="3" ht="15.75" customHeight="1">
      <c r="A529" s="10" t="n">
        <v>41</v>
      </c>
      <c r="B529" s="10" t="inlineStr">
        <is>
          <t>Insumo</t>
        </is>
      </c>
      <c r="C529" s="10" t="inlineStr">
        <is>
          <t xml:space="preserve">Armação aço CA-50 ø 12,5mm para Contenções (corte e dobra em obra) </t>
        </is>
      </c>
      <c r="D529" s="10" t="inlineStr">
        <is>
          <t xml:space="preserve">Arame Galvanizado </t>
        </is>
      </c>
      <c r="E529" s="11">
        <f t="array" ref="E529">_xlfn.XLOOKUP(D529,Insumos!B:B,Insumos!C:$C)</f>
        <v/>
      </c>
      <c r="F529" s="14" t="n">
        <v>0.0205</v>
      </c>
      <c r="G529" s="92">
        <f t="array" ref="G529">IF(B529="insumo",_xlfn.XLOOKUP($D529,Insumos!$B$1:$B$996,Insumos!$D$1:$D$996),"")</f>
        <v/>
      </c>
      <c r="H529" s="92" t="n">
        <v>0.280645</v>
      </c>
      <c r="I529" s="2162" t="n">
        <v>41.6016</v>
      </c>
      <c r="J529" s="2162" t="n">
        <v>11.675281032</v>
      </c>
      <c r="K529" s="2162" t="n"/>
    </row>
    <row r="530" outlineLevel="3" ht="15.75" customHeight="1">
      <c r="A530" s="10" t="n">
        <v>62</v>
      </c>
      <c r="B530" s="10" t="inlineStr">
        <is>
          <t>Insumo</t>
        </is>
      </c>
      <c r="C530" s="10" t="inlineStr">
        <is>
          <t xml:space="preserve">Armação aço CA-50 ø 12,5mm para Contenções (corte e dobra em obra) </t>
        </is>
      </c>
      <c r="D530" s="10" t="inlineStr">
        <is>
          <t>Espaçador para armadura</t>
        </is>
      </c>
      <c r="E530" s="11">
        <f t="array" ref="E530">_xlfn.XLOOKUP(D530,Insumos!B:B,Insumos!C:$C)</f>
        <v/>
      </c>
      <c r="F530" s="14" t="n">
        <v>0.05</v>
      </c>
      <c r="G530" s="92">
        <f t="array" ref="G530">IF(B530="insumo",_xlfn.XLOOKUP($D530,Insumos!$B$1:$B$996,Insumos!$D$1:$D$996),"")</f>
        <v/>
      </c>
      <c r="H530" s="92" t="n">
        <v>0.0135</v>
      </c>
      <c r="I530" s="2162" t="n">
        <v>41.6016</v>
      </c>
      <c r="J530" s="2162" t="n">
        <v>0.5616216000000001</v>
      </c>
      <c r="K530" s="2162" t="n"/>
    </row>
    <row r="531" outlineLevel="2" ht="15.75" customHeight="1">
      <c r="A531" s="1067" t="n">
        <v>1</v>
      </c>
      <c r="B531" s="1067" t="inlineStr">
        <is>
          <t>Serviço</t>
        </is>
      </c>
      <c r="C531" s="1067" t="inlineStr">
        <is>
          <t>Armação aço CA-50 ø 16,0mm para Contenções (corte e dobra em obra)</t>
        </is>
      </c>
      <c r="D531" s="1067" t="inlineStr">
        <is>
          <t>Armação aço CA-50 ø 16,0mm para Contenções (corte e dobra em obra)</t>
        </is>
      </c>
      <c r="E531" s="1068" t="inlineStr">
        <is>
          <t>KG</t>
        </is>
      </c>
      <c r="F531" s="1067" t="n"/>
      <c r="G531" s="1069">
        <f t="array" ref="G531">IF(B531="insumo",_xlfn.XLOOKUP($D531,Insumos!$B$1:$B$996,Insumos!$D$1:$D$996),"")</f>
        <v/>
      </c>
      <c r="H531" s="1069" t="n">
        <v>5.72876144939818</v>
      </c>
      <c r="I531" s="2161" t="n">
        <v>0</v>
      </c>
      <c r="J531" s="2161" t="n">
        <v>0</v>
      </c>
      <c r="K531" s="2161" t="n"/>
    </row>
    <row r="532" outlineLevel="3" ht="15.75" customHeight="1">
      <c r="A532" s="10" t="n">
        <v>4</v>
      </c>
      <c r="B532" s="10" t="inlineStr">
        <is>
          <t>Insumo</t>
        </is>
      </c>
      <c r="C532" s="10" t="inlineStr">
        <is>
          <t>Armação aço CA-50 ø 16,0mm para Contenções (corte e dobra em obra)</t>
        </is>
      </c>
      <c r="D532" s="10" t="inlineStr">
        <is>
          <t>Aço CA50 16,0mm</t>
        </is>
      </c>
      <c r="E532" s="11">
        <f t="array" ref="E532">_xlfn.XLOOKUP(D532,Insumos!B:B,Insumos!C:$C)</f>
        <v/>
      </c>
      <c r="F532" s="14" t="n">
        <v>1.1</v>
      </c>
      <c r="G532" s="92">
        <f t="array" ref="G532">IF(B532="insumo",_xlfn.XLOOKUP($D532,Insumos!$B$1:$B$996,Insumos!$D$1:$D$996),"")</f>
        <v/>
      </c>
      <c r="H532" s="92" t="n">
        <v>5.43461644939818</v>
      </c>
      <c r="I532" s="2162" t="n">
        <v>0</v>
      </c>
      <c r="J532" s="2162" t="n">
        <v>0</v>
      </c>
      <c r="K532" s="2162" t="n"/>
    </row>
    <row r="533" outlineLevel="3" ht="15.75" customHeight="1">
      <c r="A533" s="10" t="n">
        <v>41</v>
      </c>
      <c r="B533" s="10" t="inlineStr">
        <is>
          <t>Insumo</t>
        </is>
      </c>
      <c r="C533" s="10" t="inlineStr">
        <is>
          <t>Armação aço CA-50 ø 16,0mm para Contenções (corte e dobra em obra)</t>
        </is>
      </c>
      <c r="D533" s="10" t="inlineStr">
        <is>
          <t xml:space="preserve">Arame Galvanizado </t>
        </is>
      </c>
      <c r="E533" s="11">
        <f t="array" ref="E533">_xlfn.XLOOKUP(D533,Insumos!B:B,Insumos!C:$C)</f>
        <v/>
      </c>
      <c r="F533" s="14" t="n">
        <v>0.0205</v>
      </c>
      <c r="G533" s="92">
        <f t="array" ref="G533">IF(B533="insumo",_xlfn.XLOOKUP($D533,Insumos!$B$1:$B$996,Insumos!$D$1:$D$996),"")</f>
        <v/>
      </c>
      <c r="H533" s="92" t="n">
        <v>0.280645</v>
      </c>
      <c r="I533" s="2162" t="n">
        <v>0</v>
      </c>
      <c r="J533" s="2162" t="n">
        <v>0</v>
      </c>
      <c r="K533" s="2162" t="n"/>
    </row>
    <row r="534" outlineLevel="3" ht="15.75" customHeight="1">
      <c r="A534" s="10" t="n">
        <v>62</v>
      </c>
      <c r="B534" s="10" t="inlineStr">
        <is>
          <t>Insumo</t>
        </is>
      </c>
      <c r="C534" s="10" t="inlineStr">
        <is>
          <t>Armação aço CA-50 ø 16,0mm para Contenções (corte e dobra em obra)</t>
        </is>
      </c>
      <c r="D534" s="10" t="inlineStr">
        <is>
          <t>Espaçador para armadura</t>
        </is>
      </c>
      <c r="E534" s="11">
        <f t="array" ref="E534">_xlfn.XLOOKUP(D534,Insumos!B:B,Insumos!C:$C)</f>
        <v/>
      </c>
      <c r="F534" s="14" t="n">
        <v>0.05</v>
      </c>
      <c r="G534" s="92">
        <f t="array" ref="G534">IF(B534="insumo",_xlfn.XLOOKUP($D534,Insumos!$B$1:$B$996,Insumos!$D$1:$D$996),"")</f>
        <v/>
      </c>
      <c r="H534" s="92" t="n">
        <v>0.0135</v>
      </c>
      <c r="I534" s="2162" t="n">
        <v>0</v>
      </c>
      <c r="J534" s="2162" t="n">
        <v>0</v>
      </c>
      <c r="K534" s="2162" t="n"/>
    </row>
    <row r="535" outlineLevel="2" ht="15.75" customHeight="1">
      <c r="A535" s="1067" t="n">
        <v>1</v>
      </c>
      <c r="B535" s="1067" t="inlineStr">
        <is>
          <t>Serviço</t>
        </is>
      </c>
      <c r="C535" s="1067" t="inlineStr">
        <is>
          <t xml:space="preserve">Armação aço CA-50 ø 20,0mm para Contenções (corte e dobra em obra) </t>
        </is>
      </c>
      <c r="D535" s="1067" t="inlineStr">
        <is>
          <t xml:space="preserve">Armação aço CA-50 ø 20,0mm para Contenções (corte e dobra em obra) </t>
        </is>
      </c>
      <c r="E535" s="1068" t="inlineStr">
        <is>
          <t>KG</t>
        </is>
      </c>
      <c r="F535" s="1067" t="n"/>
      <c r="G535" s="1069">
        <f t="array" ref="G535">IF(B535="insumo",_xlfn.XLOOKUP($D535,Insumos!$B$1:$B$996,Insumos!$D$1:$D$996),"")</f>
        <v/>
      </c>
      <c r="H535" s="1069" t="n">
        <v>5.83202387420167</v>
      </c>
      <c r="I535" s="2161" t="n">
        <v>0</v>
      </c>
      <c r="J535" s="2161" t="n">
        <v>0</v>
      </c>
      <c r="K535" s="2161" t="n"/>
    </row>
    <row r="536" outlineLevel="3" ht="15.75" customHeight="1">
      <c r="A536" s="10" t="n">
        <v>4</v>
      </c>
      <c r="B536" s="10" t="inlineStr">
        <is>
          <t>Insumo</t>
        </is>
      </c>
      <c r="C536" s="10" t="inlineStr">
        <is>
          <t xml:space="preserve">Armação aço CA-50 ø 20,0mm para Contenções (corte e dobra em obra) </t>
        </is>
      </c>
      <c r="D536" s="10" t="inlineStr">
        <is>
          <t>Aço CA50 20,0mm</t>
        </is>
      </c>
      <c r="E536" s="11">
        <f t="array" ref="E536">_xlfn.XLOOKUP(D536,Insumos!B:B,Insumos!C:$C)</f>
        <v/>
      </c>
      <c r="F536" s="14" t="n">
        <v>1.1</v>
      </c>
      <c r="G536" s="92">
        <f t="array" ref="G536">IF(B536="insumo",_xlfn.XLOOKUP($D536,Insumos!$B$1:$B$996,Insumos!$D$1:$D$996),"")</f>
        <v/>
      </c>
      <c r="H536" s="92" t="n">
        <v>5.53787887420167</v>
      </c>
      <c r="I536" s="2162" t="n">
        <v>0</v>
      </c>
      <c r="J536" s="2162" t="n">
        <v>0</v>
      </c>
      <c r="K536" s="2162" t="n"/>
    </row>
    <row r="537" outlineLevel="3" ht="15.75" customHeight="1">
      <c r="A537" s="10" t="n">
        <v>41</v>
      </c>
      <c r="B537" s="10" t="inlineStr">
        <is>
          <t>Insumo</t>
        </is>
      </c>
      <c r="C537" s="10" t="inlineStr">
        <is>
          <t xml:space="preserve">Armação aço CA-50 ø 20,0mm para Contenções (corte e dobra em obra) </t>
        </is>
      </c>
      <c r="D537" s="10" t="inlineStr">
        <is>
          <t xml:space="preserve">Arame Galvanizado </t>
        </is>
      </c>
      <c r="E537" s="11">
        <f t="array" ref="E537">_xlfn.XLOOKUP(D537,Insumos!B:B,Insumos!C:$C)</f>
        <v/>
      </c>
      <c r="F537" s="14" t="n">
        <v>0.0205</v>
      </c>
      <c r="G537" s="92">
        <f t="array" ref="G537">IF(B537="insumo",_xlfn.XLOOKUP($D537,Insumos!$B$1:$B$996,Insumos!$D$1:$D$996),"")</f>
        <v/>
      </c>
      <c r="H537" s="92" t="n">
        <v>0.280645</v>
      </c>
      <c r="I537" s="2162" t="n">
        <v>0</v>
      </c>
      <c r="J537" s="2162" t="n">
        <v>0</v>
      </c>
      <c r="K537" s="2162" t="n"/>
    </row>
    <row r="538" outlineLevel="3" ht="15.75" customHeight="1">
      <c r="A538" s="10" t="n">
        <v>62</v>
      </c>
      <c r="B538" s="10" t="inlineStr">
        <is>
          <t>Insumo</t>
        </is>
      </c>
      <c r="C538" s="10" t="inlineStr">
        <is>
          <t xml:space="preserve">Armação aço CA-50 ø 20,0mm para Contenções (corte e dobra em obra) </t>
        </is>
      </c>
      <c r="D538" s="10" t="inlineStr">
        <is>
          <t>Espaçador para armadura</t>
        </is>
      </c>
      <c r="E538" s="11">
        <f t="array" ref="E538">_xlfn.XLOOKUP(D538,Insumos!B:B,Insumos!C:$C)</f>
        <v/>
      </c>
      <c r="F538" s="14" t="n">
        <v>0.05</v>
      </c>
      <c r="G538" s="92">
        <f t="array" ref="G538">IF(B538="insumo",_xlfn.XLOOKUP($D538,Insumos!$B$1:$B$996,Insumos!$D$1:$D$996),"")</f>
        <v/>
      </c>
      <c r="H538" s="92" t="n">
        <v>0.0135</v>
      </c>
      <c r="I538" s="2162" t="n">
        <v>0</v>
      </c>
      <c r="J538" s="2162" t="n">
        <v>0</v>
      </c>
      <c r="K538" s="2162" t="n"/>
    </row>
    <row r="539" outlineLevel="2" ht="15.75" customHeight="1">
      <c r="A539" s="1067" t="n">
        <v>1</v>
      </c>
      <c r="B539" s="1067" t="inlineStr">
        <is>
          <t>Serviço</t>
        </is>
      </c>
      <c r="C539" s="1067" t="inlineStr">
        <is>
          <t xml:space="preserve">Armação aço CA-50 ø 25,0mm para Contenções (corte e dobra em obra) </t>
        </is>
      </c>
      <c r="D539" s="1067" t="inlineStr">
        <is>
          <t xml:space="preserve">Armação aço CA-50 ø 25,0mm para Contenções (corte e dobra em obra) </t>
        </is>
      </c>
      <c r="E539" s="1068" t="inlineStr">
        <is>
          <t>KG</t>
        </is>
      </c>
      <c r="F539" s="1067" t="n"/>
      <c r="G539" s="1069">
        <f t="array" ref="G539">IF(B539="insumo",_xlfn.XLOOKUP($D539,Insumos!$B$1:$B$996,Insumos!$D$1:$D$996),"")</f>
        <v/>
      </c>
      <c r="H539" s="1069" t="n">
        <v>5.97109784758844</v>
      </c>
      <c r="I539" s="2161" t="n">
        <v>0</v>
      </c>
      <c r="J539" s="2161" t="n">
        <v>0</v>
      </c>
      <c r="K539" s="2161" t="n"/>
    </row>
    <row r="540" outlineLevel="3" ht="15.75" customHeight="1">
      <c r="A540" s="10" t="n">
        <v>3</v>
      </c>
      <c r="B540" s="10" t="inlineStr">
        <is>
          <t>Insumo</t>
        </is>
      </c>
      <c r="C540" s="10" t="inlineStr">
        <is>
          <t xml:space="preserve">Armação aço CA-50 ø 25,0mm para Contenções (corte e dobra em obra) </t>
        </is>
      </c>
      <c r="D540" s="10" t="inlineStr">
        <is>
          <t>Aço CA50 25,0mm</t>
        </is>
      </c>
      <c r="E540" s="11">
        <f t="array" ref="E540">_xlfn.XLOOKUP(D540,Insumos!B:B,Insumos!C:$C)</f>
        <v/>
      </c>
      <c r="F540" s="14" t="n">
        <v>1.1</v>
      </c>
      <c r="G540" s="92">
        <f t="array" ref="G540">IF(B540="insumo",_xlfn.XLOOKUP($D540,Insumos!$B$1:$B$996,Insumos!$D$1:$D$996),"")</f>
        <v/>
      </c>
      <c r="H540" s="92" t="n">
        <v>5.67695284758844</v>
      </c>
      <c r="I540" s="2162" t="n">
        <v>0</v>
      </c>
      <c r="J540" s="2162" t="n">
        <v>0</v>
      </c>
      <c r="K540" s="2162" t="n"/>
    </row>
    <row r="541" outlineLevel="3" ht="15.75" customHeight="1">
      <c r="A541" s="10" t="n">
        <v>41</v>
      </c>
      <c r="B541" s="10" t="inlineStr">
        <is>
          <t>Insumo</t>
        </is>
      </c>
      <c r="C541" s="10" t="inlineStr">
        <is>
          <t xml:space="preserve">Armação aço CA-50 ø 25,0mm para Contenções (corte e dobra em obra) </t>
        </is>
      </c>
      <c r="D541" s="10" t="inlineStr">
        <is>
          <t xml:space="preserve">Arame Galvanizado </t>
        </is>
      </c>
      <c r="E541" s="11">
        <f t="array" ref="E541">_xlfn.XLOOKUP(D541,Insumos!B:B,Insumos!C:$C)</f>
        <v/>
      </c>
      <c r="F541" s="14" t="n">
        <v>0.0205</v>
      </c>
      <c r="G541" s="92">
        <f t="array" ref="G541">IF(B541="insumo",_xlfn.XLOOKUP($D541,Insumos!$B$1:$B$996,Insumos!$D$1:$D$996),"")</f>
        <v/>
      </c>
      <c r="H541" s="92" t="n">
        <v>0.280645</v>
      </c>
      <c r="I541" s="2162" t="n">
        <v>0</v>
      </c>
      <c r="J541" s="2162" t="n">
        <v>0</v>
      </c>
      <c r="K541" s="2162" t="n"/>
    </row>
    <row r="542" outlineLevel="3" ht="15.75" customHeight="1">
      <c r="A542" s="10" t="n">
        <v>62</v>
      </c>
      <c r="B542" s="10" t="inlineStr">
        <is>
          <t>Insumo</t>
        </is>
      </c>
      <c r="C542" s="10" t="inlineStr">
        <is>
          <t xml:space="preserve">Armação aço CA-50 ø 25,0mm para Contenções (corte e dobra em obra) </t>
        </is>
      </c>
      <c r="D542" s="10" t="inlineStr">
        <is>
          <t>Espaçador para armadura</t>
        </is>
      </c>
      <c r="E542" s="11">
        <f t="array" ref="E542">_xlfn.XLOOKUP(D542,Insumos!B:B,Insumos!C:$C)</f>
        <v/>
      </c>
      <c r="F542" s="14" t="n">
        <v>0.05</v>
      </c>
      <c r="G542" s="92">
        <f t="array" ref="G542">IF(B542="insumo",_xlfn.XLOOKUP($D542,Insumos!$B$1:$B$996,Insumos!$D$1:$D$996),"")</f>
        <v/>
      </c>
      <c r="H542" s="92" t="n">
        <v>0.0135</v>
      </c>
      <c r="I542" s="2162" t="n">
        <v>0</v>
      </c>
      <c r="J542" s="2162" t="n">
        <v>0</v>
      </c>
      <c r="K542" s="2162" t="n"/>
    </row>
    <row r="543" outlineLevel="2" ht="15.75" customHeight="1">
      <c r="A543" s="1067" t="n">
        <v>1</v>
      </c>
      <c r="B543" s="1067" t="inlineStr">
        <is>
          <t>Serviço</t>
        </is>
      </c>
      <c r="C543" s="1067" t="inlineStr">
        <is>
          <t xml:space="preserve">Armação aço CA-60 ø 5,00mm para Contenções (corte e dobra em obra) </t>
        </is>
      </c>
      <c r="D543" s="1067" t="inlineStr">
        <is>
          <t xml:space="preserve">Armação aço CA-60 ø 5,00mm para Contenções (corte e dobra em obra) </t>
        </is>
      </c>
      <c r="E543" s="1068" t="inlineStr">
        <is>
          <t>KG</t>
        </is>
      </c>
      <c r="F543" s="1067" t="n"/>
      <c r="G543" s="1069">
        <f t="array" ref="G543">IF(B543="insumo",_xlfn.XLOOKUP($D543,Insumos!$B$1:$B$996,Insumos!$D$1:$D$996),"")</f>
        <v/>
      </c>
      <c r="H543" s="1069" t="n">
        <v>7.0532266249184</v>
      </c>
      <c r="I543" s="2161" t="n">
        <v>0</v>
      </c>
      <c r="J543" s="2161" t="n">
        <v>0</v>
      </c>
      <c r="K543" s="2161" t="n"/>
    </row>
    <row r="544" outlineLevel="3" ht="15.75" customHeight="1">
      <c r="A544" s="10" t="n">
        <v>5</v>
      </c>
      <c r="B544" s="10" t="inlineStr">
        <is>
          <t>Insumo</t>
        </is>
      </c>
      <c r="C544" s="10" t="inlineStr">
        <is>
          <t xml:space="preserve">Armação aço CA-60 ø 5,00mm para Contenções (corte e dobra em obra) </t>
        </is>
      </c>
      <c r="D544" s="10" t="inlineStr">
        <is>
          <t>Aço CA60 5,0mm</t>
        </is>
      </c>
      <c r="E544" s="11">
        <f t="array" ref="E544">_xlfn.XLOOKUP(D544,Insumos!B:B,Insumos!C:$C)</f>
        <v/>
      </c>
      <c r="F544" s="14" t="n">
        <v>1.1</v>
      </c>
      <c r="G544" s="92">
        <f t="array" ref="G544">IF(B544="insumo",_xlfn.XLOOKUP($D544,Insumos!$B$1:$B$996,Insumos!$D$1:$D$996),"")</f>
        <v/>
      </c>
      <c r="H544" s="92" t="n">
        <v>6.7590816249184</v>
      </c>
      <c r="I544" s="2162" t="n">
        <v>0</v>
      </c>
      <c r="J544" s="2162" t="n">
        <v>0</v>
      </c>
      <c r="K544" s="2162" t="n"/>
    </row>
    <row r="545" outlineLevel="3" ht="15.75" customHeight="1">
      <c r="A545" s="10" t="n">
        <v>41</v>
      </c>
      <c r="B545" s="10" t="inlineStr">
        <is>
          <t>Insumo</t>
        </is>
      </c>
      <c r="C545" s="10" t="inlineStr">
        <is>
          <t xml:space="preserve">Armação aço CA-60 ø 5,00mm para Contenções (corte e dobra em obra) </t>
        </is>
      </c>
      <c r="D545" s="10" t="inlineStr">
        <is>
          <t xml:space="preserve">Arame Galvanizado </t>
        </is>
      </c>
      <c r="E545" s="11">
        <f t="array" ref="E545">_xlfn.XLOOKUP(D545,Insumos!B:B,Insumos!C:$C)</f>
        <v/>
      </c>
      <c r="F545" s="14" t="n">
        <v>0.0205</v>
      </c>
      <c r="G545" s="92">
        <f t="array" ref="G545">IF(B545="insumo",_xlfn.XLOOKUP($D545,Insumos!$B$1:$B$996,Insumos!$D$1:$D$996),"")</f>
        <v/>
      </c>
      <c r="H545" s="92" t="n">
        <v>0.280645</v>
      </c>
      <c r="I545" s="2162" t="n">
        <v>0</v>
      </c>
      <c r="J545" s="2162" t="n">
        <v>0</v>
      </c>
      <c r="K545" s="2162" t="n"/>
    </row>
    <row r="546" outlineLevel="3" ht="15.75" customHeight="1">
      <c r="A546" s="10" t="n">
        <v>62</v>
      </c>
      <c r="B546" s="10" t="inlineStr">
        <is>
          <t>Insumo</t>
        </is>
      </c>
      <c r="C546" s="10" t="inlineStr">
        <is>
          <t xml:space="preserve">Armação aço CA-60 ø 5,00mm para Contenções (corte e dobra em obra) </t>
        </is>
      </c>
      <c r="D546" s="10" t="inlineStr">
        <is>
          <t>Espaçador para armadura</t>
        </is>
      </c>
      <c r="E546" s="11">
        <f t="array" ref="E546">_xlfn.XLOOKUP(D546,Insumos!B:B,Insumos!C:$C)</f>
        <v/>
      </c>
      <c r="F546" s="14" t="n">
        <v>0.05</v>
      </c>
      <c r="G546" s="92">
        <f t="array" ref="G546">IF(B546="insumo",_xlfn.XLOOKUP($D546,Insumos!$B$1:$B$996,Insumos!$D$1:$D$996),"")</f>
        <v/>
      </c>
      <c r="H546" s="92" t="n">
        <v>0.0135</v>
      </c>
      <c r="I546" s="2162" t="n">
        <v>0</v>
      </c>
      <c r="J546" s="2162" t="n">
        <v>0</v>
      </c>
      <c r="K546" s="2162" t="n"/>
    </row>
    <row r="547" outlineLevel="2" ht="15.75" customHeight="1">
      <c r="A547" s="1067" t="n">
        <v>1</v>
      </c>
      <c r="B547" s="1067" t="inlineStr">
        <is>
          <t>Serviço</t>
        </is>
      </c>
      <c r="C547" s="1067" t="inlineStr">
        <is>
          <t>Armação aço CA-50 ø 6,3mm para Contenções (corte e dobra em Indústria)</t>
        </is>
      </c>
      <c r="D547" s="1067" t="inlineStr">
        <is>
          <t>Armação aço CA-50 ø 6,3mm para Contenções (corte e dobra em Indústria)</t>
        </is>
      </c>
      <c r="E547" s="1068" t="inlineStr">
        <is>
          <t>KG</t>
        </is>
      </c>
      <c r="F547" s="1067" t="n"/>
      <c r="G547" s="1069">
        <f t="array" ref="G547">IF(B547="insumo",_xlfn.XLOOKUP($D547,Insumos!$B$1:$B$880,Insumos!$D$1:$D$880),"")</f>
        <v/>
      </c>
      <c r="H547" s="1069" t="n">
        <v>8.964145</v>
      </c>
      <c r="I547" s="2161" t="n">
        <v>2282</v>
      </c>
      <c r="J547" s="2161" t="n">
        <v>20456.17889</v>
      </c>
      <c r="K547" s="2161" t="n"/>
    </row>
    <row r="548" outlineLevel="3" ht="15.75" customHeight="1">
      <c r="A548" s="10" t="n">
        <v>4</v>
      </c>
      <c r="B548" s="10" t="inlineStr">
        <is>
          <t>Insumo</t>
        </is>
      </c>
      <c r="C548" s="10" t="inlineStr">
        <is>
          <t>Armação aço CA-50 ø 6,3mm para Contenções (corte e dobra em Indústria)</t>
        </is>
      </c>
      <c r="D548" s="10" t="inlineStr">
        <is>
          <t>Aço CA50 6,3 mm Corte e Dobra em Indústria</t>
        </is>
      </c>
      <c r="E548" s="11">
        <f t="array" ref="E548">_xlfn.XLOOKUP(D548,Insumos!B:B,Insumos!C:$C)</f>
        <v/>
      </c>
      <c r="F548" s="14" t="n">
        <v>1</v>
      </c>
      <c r="G548" s="92">
        <f t="array" ref="G548">IF(B548="insumo",_xlfn.XLOOKUP($D548,Insumos!$B$1:$B$880,Insumos!$D$1:$D$880),"")</f>
        <v/>
      </c>
      <c r="H548" s="92" t="n">
        <v>8.67</v>
      </c>
      <c r="I548" s="2162" t="n">
        <v>2282</v>
      </c>
      <c r="J548" s="2162" t="n">
        <v>19784.94</v>
      </c>
      <c r="K548" s="2162" t="n"/>
    </row>
    <row r="549" outlineLevel="3" ht="15.75" customHeight="1">
      <c r="A549" s="10" t="n">
        <v>41</v>
      </c>
      <c r="B549" s="10" t="inlineStr">
        <is>
          <t>Insumo</t>
        </is>
      </c>
      <c r="C549" s="10" t="inlineStr">
        <is>
          <t>Armação aço CA-50 ø 6,3mm para Contenções (corte e dobra em Indústria)</t>
        </is>
      </c>
      <c r="D549" s="10" t="inlineStr">
        <is>
          <t xml:space="preserve">Arame Galvanizado </t>
        </is>
      </c>
      <c r="E549" s="11">
        <f t="array" ref="E549">_xlfn.XLOOKUP(D549,Insumos!B:B,Insumos!C:$C)</f>
        <v/>
      </c>
      <c r="F549" s="14" t="n">
        <v>0.0205</v>
      </c>
      <c r="G549" s="92">
        <f t="array" ref="G549">IF(B549="insumo",_xlfn.XLOOKUP($D549,Insumos!$B$1:$B$880,Insumos!$D$1:$D$880),"")</f>
        <v/>
      </c>
      <c r="H549" s="92" t="n">
        <v>0.280645</v>
      </c>
      <c r="I549" s="2162" t="n">
        <v>2282</v>
      </c>
      <c r="J549" s="2162" t="n">
        <v>640.43189</v>
      </c>
      <c r="K549" s="2162" t="n"/>
    </row>
    <row r="550" outlineLevel="3" ht="15.75" customHeight="1">
      <c r="A550" s="10" t="n">
        <v>62</v>
      </c>
      <c r="B550" s="10" t="inlineStr">
        <is>
          <t>Insumo</t>
        </is>
      </c>
      <c r="C550" s="10" t="inlineStr">
        <is>
          <t>Armação aço CA-50 ø 6,3mm para Contenções (corte e dobra em Indústria)</t>
        </is>
      </c>
      <c r="D550" s="10" t="inlineStr">
        <is>
          <t>Espaçador para armadura</t>
        </is>
      </c>
      <c r="E550" s="11">
        <f t="array" ref="E550">_xlfn.XLOOKUP(D550,Insumos!B:B,Insumos!C:$C)</f>
        <v/>
      </c>
      <c r="F550" s="14" t="n">
        <v>0.05</v>
      </c>
      <c r="G550" s="92">
        <f t="array" ref="G550">IF(B550="insumo",_xlfn.XLOOKUP($D550,Insumos!$B$1:$B$880,Insumos!$D$1:$D$880),"")</f>
        <v/>
      </c>
      <c r="H550" s="92" t="n">
        <v>0.0135</v>
      </c>
      <c r="I550" s="2162" t="n">
        <v>2282</v>
      </c>
      <c r="J550" s="2162" t="n">
        <v>30.807</v>
      </c>
      <c r="K550" s="2162" t="n"/>
    </row>
    <row r="551" outlineLevel="2" ht="15.75" customHeight="1">
      <c r="A551" s="1067" t="n">
        <v>1</v>
      </c>
      <c r="B551" s="1067" t="inlineStr">
        <is>
          <t>Serviço</t>
        </is>
      </c>
      <c r="C551" s="1067" t="inlineStr">
        <is>
          <t>Armação aço CA-50 ø 8,0mm para Contenções (corte e dobra em Indústria)</t>
        </is>
      </c>
      <c r="D551" s="1067" t="inlineStr">
        <is>
          <t>Armação aço CA-50 ø 8,0mm para Contenções (corte e dobra em Indústria)</t>
        </is>
      </c>
      <c r="E551" s="1068" t="inlineStr">
        <is>
          <t>KG</t>
        </is>
      </c>
      <c r="F551" s="1067" t="n"/>
      <c r="G551" s="1069">
        <f t="array" ref="G551">IF(B551="insumo",_xlfn.XLOOKUP($D551,Insumos!$B$1:$B$880,Insumos!$D$1:$D$880),"")</f>
        <v/>
      </c>
      <c r="H551" s="1069" t="n">
        <v>8.964145</v>
      </c>
      <c r="I551" s="2161" t="n">
        <v>990.363636363636</v>
      </c>
      <c r="J551" s="2161" t="n">
        <v>8877.763239090909</v>
      </c>
      <c r="K551" s="2161" t="n"/>
    </row>
    <row r="552" outlineLevel="3" ht="15.75" customHeight="1">
      <c r="A552" s="10" t="n">
        <v>3</v>
      </c>
      <c r="B552" s="10" t="inlineStr">
        <is>
          <t>Insumo</t>
        </is>
      </c>
      <c r="C552" s="10" t="inlineStr">
        <is>
          <t>Armação aço CA-50 ø 8,0mm para Contenções (corte e dobra em Indústria)</t>
        </is>
      </c>
      <c r="D552" s="10" t="inlineStr">
        <is>
          <t>Aço CA50 8,0 mm Corte e Dobra em Indústria</t>
        </is>
      </c>
      <c r="E552" s="11">
        <f t="array" ref="E552">_xlfn.XLOOKUP(D552,Insumos!B:B,Insumos!C:$C)</f>
        <v/>
      </c>
      <c r="F552" s="14" t="n">
        <v>1</v>
      </c>
      <c r="G552" s="92">
        <f t="array" ref="G552">IF(B552="insumo",_xlfn.XLOOKUP($D552,Insumos!$B$1:$B$880,Insumos!$D$1:$D$880),"")</f>
        <v/>
      </c>
      <c r="H552" s="92" t="n">
        <v>8.67</v>
      </c>
      <c r="I552" s="2162" t="n">
        <v>990.363636363636</v>
      </c>
      <c r="J552" s="2162" t="n">
        <v>8586.452727272719</v>
      </c>
      <c r="K552" s="2162" t="n"/>
    </row>
    <row r="553" outlineLevel="3" ht="15.75" customHeight="1">
      <c r="A553" s="10" t="n">
        <v>41</v>
      </c>
      <c r="B553" s="10" t="inlineStr">
        <is>
          <t>Insumo</t>
        </is>
      </c>
      <c r="C553" s="10" t="inlineStr">
        <is>
          <t>Armação aço CA-50 ø 8,0mm para Contenções (corte e dobra em Indústria)</t>
        </is>
      </c>
      <c r="D553" s="10" t="inlineStr">
        <is>
          <t xml:space="preserve">Arame Galvanizado </t>
        </is>
      </c>
      <c r="E553" s="11">
        <f t="array" ref="E553">_xlfn.XLOOKUP(D553,Insumos!B:B,Insumos!C:$C)</f>
        <v/>
      </c>
      <c r="F553" s="14" t="n">
        <v>0.0205</v>
      </c>
      <c r="G553" s="92">
        <f t="array" ref="G553">IF(B553="insumo",_xlfn.XLOOKUP($D553,Insumos!$B$1:$B$880,Insumos!$D$1:$D$880),"")</f>
        <v/>
      </c>
      <c r="H553" s="92" t="n">
        <v>0.280645</v>
      </c>
      <c r="I553" s="2162" t="n">
        <v>990.363636363636</v>
      </c>
      <c r="J553" s="2162" t="n">
        <v>277.940602727273</v>
      </c>
      <c r="K553" s="2162" t="n"/>
    </row>
    <row r="554" outlineLevel="3" ht="15.75" customHeight="1">
      <c r="A554" s="10" t="n">
        <v>62</v>
      </c>
      <c r="B554" s="10" t="inlineStr">
        <is>
          <t>Insumo</t>
        </is>
      </c>
      <c r="C554" s="10" t="inlineStr">
        <is>
          <t>Armação aço CA-50 ø 8,0mm para Contenções (corte e dobra em Indústria)</t>
        </is>
      </c>
      <c r="D554" s="10" t="inlineStr">
        <is>
          <t>Espaçador para armadura</t>
        </is>
      </c>
      <c r="E554" s="11">
        <f t="array" ref="E554">_xlfn.XLOOKUP(D554,Insumos!B:B,Insumos!C:$C)</f>
        <v/>
      </c>
      <c r="F554" s="14" t="n">
        <v>0.05</v>
      </c>
      <c r="G554" s="92">
        <f t="array" ref="G554">IF(B554="insumo",_xlfn.XLOOKUP($D554,Insumos!$B$1:$B$880,Insumos!$D$1:$D$880),"")</f>
        <v/>
      </c>
      <c r="H554" s="92" t="n">
        <v>0.0135</v>
      </c>
      <c r="I554" s="2162" t="n">
        <v>990.363636363636</v>
      </c>
      <c r="J554" s="2162" t="n">
        <v>13.3699090909091</v>
      </c>
      <c r="K554" s="2162" t="n"/>
    </row>
    <row r="555" outlineLevel="2" ht="15.75" customHeight="1">
      <c r="A555" s="1067" t="n">
        <v>1</v>
      </c>
      <c r="B555" s="1067" t="inlineStr">
        <is>
          <t>Serviço</t>
        </is>
      </c>
      <c r="C555" s="1067" t="inlineStr">
        <is>
          <t>Armação aço CA-50 ø 12,5mm para Contenções (corte e dobra em Indústria)</t>
        </is>
      </c>
      <c r="D555" s="1067" t="inlineStr">
        <is>
          <t>Armação aço CA-50 ø 12,5mm para Contenções (corte e dobra em Indústria)</t>
        </is>
      </c>
      <c r="E555" s="1068" t="inlineStr">
        <is>
          <t>KG</t>
        </is>
      </c>
      <c r="F555" s="1067" t="n"/>
      <c r="G555" s="1069">
        <f t="array" ref="G555">IF(B555="insumo",_xlfn.XLOOKUP($D555,Insumos!$B$1:$B$880,Insumos!$D$1:$D$880),"")</f>
        <v/>
      </c>
      <c r="H555" s="1069" t="n">
        <v>8.484145</v>
      </c>
      <c r="I555" s="2161" t="n">
        <v>3929.36363636364</v>
      </c>
      <c r="J555" s="2161" t="n">
        <v>33337.2908486364</v>
      </c>
      <c r="K555" s="2161" t="n"/>
    </row>
    <row r="556" outlineLevel="3" ht="15.75" customHeight="1">
      <c r="A556" s="10" t="n">
        <v>3</v>
      </c>
      <c r="B556" s="10" t="inlineStr">
        <is>
          <t>Insumo</t>
        </is>
      </c>
      <c r="C556" s="10" t="inlineStr">
        <is>
          <t>Armação aço CA-50 ø 12,5mm para Contenções (corte e dobra em Indústria)</t>
        </is>
      </c>
      <c r="D556" s="10" t="inlineStr">
        <is>
          <t>Aço CA50 12,5 mm Corte e Dobra em Indústria</t>
        </is>
      </c>
      <c r="E556" s="11">
        <f t="array" ref="E556">_xlfn.XLOOKUP(D556,Insumos!B:B,Insumos!C:$C)</f>
        <v/>
      </c>
      <c r="F556" s="14" t="n">
        <v>1</v>
      </c>
      <c r="G556" s="92">
        <f t="array" ref="G556">IF(B556="insumo",_xlfn.XLOOKUP($D556,Insumos!$B$1:$B$880,Insumos!$D$1:$D$880),"")</f>
        <v/>
      </c>
      <c r="H556" s="92" t="n">
        <v>8.19</v>
      </c>
      <c r="I556" s="2162" t="n">
        <v>3929.36363636364</v>
      </c>
      <c r="J556" s="2162" t="n">
        <v>32181.4881818182</v>
      </c>
      <c r="K556" s="2162" t="n"/>
    </row>
    <row r="557" outlineLevel="3" ht="15.75" customHeight="1">
      <c r="A557" s="10" t="n">
        <v>41</v>
      </c>
      <c r="B557" s="10" t="inlineStr">
        <is>
          <t>Insumo</t>
        </is>
      </c>
      <c r="C557" s="10" t="inlineStr">
        <is>
          <t>Armação aço CA-50 ø 12,5mm para Contenções (corte e dobra em Indústria)</t>
        </is>
      </c>
      <c r="D557" s="10" t="inlineStr">
        <is>
          <t xml:space="preserve">Arame Galvanizado </t>
        </is>
      </c>
      <c r="E557" s="11">
        <f t="array" ref="E557">_xlfn.XLOOKUP(D557,Insumos!B:B,Insumos!C:$C)</f>
        <v/>
      </c>
      <c r="F557" s="14" t="n">
        <v>0.0205</v>
      </c>
      <c r="G557" s="92">
        <f t="array" ref="G557">IF(B557="insumo",_xlfn.XLOOKUP($D557,Insumos!$B$1:$B$880,Insumos!$D$1:$D$880),"")</f>
        <v/>
      </c>
      <c r="H557" s="92" t="n">
        <v>0.280645</v>
      </c>
      <c r="I557" s="2162" t="n">
        <v>3929.36363636364</v>
      </c>
      <c r="J557" s="2162" t="n">
        <v>1102.75625772727</v>
      </c>
      <c r="K557" s="2162" t="n"/>
    </row>
    <row r="558" outlineLevel="3" ht="15.75" customHeight="1">
      <c r="A558" s="10" t="n">
        <v>62</v>
      </c>
      <c r="B558" s="10" t="inlineStr">
        <is>
          <t>Insumo</t>
        </is>
      </c>
      <c r="C558" s="10" t="inlineStr">
        <is>
          <t>Armação aço CA-50 ø 12,5mm para Contenções (corte e dobra em Indústria)</t>
        </is>
      </c>
      <c r="D558" s="10" t="inlineStr">
        <is>
          <t>Espaçador para armadura</t>
        </is>
      </c>
      <c r="E558" s="11">
        <f t="array" ref="E558">_xlfn.XLOOKUP(D558,Insumos!B:B,Insumos!C:$C)</f>
        <v/>
      </c>
      <c r="F558" s="14" t="n">
        <v>0.05</v>
      </c>
      <c r="G558" s="92">
        <f t="array" ref="G558">IF(B558="insumo",_xlfn.XLOOKUP($D558,Insumos!$B$1:$B$880,Insumos!$D$1:$D$880),"")</f>
        <v/>
      </c>
      <c r="H558" s="92" t="n">
        <v>0.0135</v>
      </c>
      <c r="I558" s="2162" t="n">
        <v>3929.36363636364</v>
      </c>
      <c r="J558" s="2162" t="n">
        <v>53.0464090909091</v>
      </c>
      <c r="K558" s="2162" t="n"/>
    </row>
    <row r="559" outlineLevel="2" ht="15.75" customHeight="1">
      <c r="A559" s="1067" t="n">
        <v>1</v>
      </c>
      <c r="B559" s="1067" t="inlineStr">
        <is>
          <t>Serviço</t>
        </is>
      </c>
      <c r="C559" s="1067" t="inlineStr">
        <is>
          <t>Armação aço CA-50 ø 16,0mm para Contenções (corte e dobra em Indústria)</t>
        </is>
      </c>
      <c r="D559" s="1067" t="inlineStr">
        <is>
          <t>Armação aço CA-50 ø 16,0mm para Contenções (corte e dobra em Indústria)</t>
        </is>
      </c>
      <c r="E559" s="1068" t="inlineStr">
        <is>
          <t>KG</t>
        </is>
      </c>
      <c r="F559" s="1067" t="n"/>
      <c r="G559" s="1069">
        <f t="array" ref="G559">IF(B559="insumo",_xlfn.XLOOKUP($D559,Insumos!$B$1:$B$880,Insumos!$D$1:$D$880),"")</f>
        <v/>
      </c>
      <c r="H559" s="1069" t="n">
        <v>8.484145</v>
      </c>
      <c r="I559" s="2161" t="n">
        <v>1277.27272727273</v>
      </c>
      <c r="J559" s="2161" t="n">
        <v>10836.5670227273</v>
      </c>
      <c r="K559" s="2161" t="n"/>
    </row>
    <row r="560" outlineLevel="3" ht="15.75" customHeight="1">
      <c r="A560" s="10" t="n">
        <v>3</v>
      </c>
      <c r="B560" s="10" t="inlineStr">
        <is>
          <t>Insumo</t>
        </is>
      </c>
      <c r="C560" s="10" t="inlineStr">
        <is>
          <t>Armação aço CA-50 ø 16,0mm para Contenções (corte e dobra em Indústria)</t>
        </is>
      </c>
      <c r="D560" s="10" t="inlineStr">
        <is>
          <t>Aço CA50 16,0 mm Corte e Dobra em Indústria</t>
        </is>
      </c>
      <c r="E560" s="11">
        <f t="array" ref="E560">_xlfn.XLOOKUP(D560,Insumos!B:B,Insumos!C:$C)</f>
        <v/>
      </c>
      <c r="F560" s="14" t="n">
        <v>1</v>
      </c>
      <c r="G560" s="92">
        <f t="array" ref="G560">IF(B560="insumo",_xlfn.XLOOKUP($D560,Insumos!$B$1:$B$880,Insumos!$D$1:$D$880),"")</f>
        <v/>
      </c>
      <c r="H560" s="92" t="n">
        <v>8.19</v>
      </c>
      <c r="I560" s="2162" t="n">
        <v>1277.27272727273</v>
      </c>
      <c r="J560" s="2162" t="n">
        <v>10460.8636363637</v>
      </c>
      <c r="K560" s="2162" t="n"/>
    </row>
    <row r="561" outlineLevel="3" ht="15.75" customHeight="1">
      <c r="A561" s="10" t="n">
        <v>41</v>
      </c>
      <c r="B561" s="10" t="inlineStr">
        <is>
          <t>Insumo</t>
        </is>
      </c>
      <c r="C561" s="10" t="inlineStr">
        <is>
          <t>Armação aço CA-50 ø 16,0mm para Contenções (corte e dobra em Indústria)</t>
        </is>
      </c>
      <c r="D561" s="10" t="inlineStr">
        <is>
          <t xml:space="preserve">Arame Galvanizado </t>
        </is>
      </c>
      <c r="E561" s="11">
        <f t="array" ref="E561">_xlfn.XLOOKUP(D561,Insumos!B:B,Insumos!C:$C)</f>
        <v/>
      </c>
      <c r="F561" s="14" t="n">
        <v>0.0205</v>
      </c>
      <c r="G561" s="92">
        <f t="array" ref="G561">IF(B561="insumo",_xlfn.XLOOKUP($D561,Insumos!$B$1:$B$880,Insumos!$D$1:$D$880),"")</f>
        <v/>
      </c>
      <c r="H561" s="92" t="n">
        <v>0.280645</v>
      </c>
      <c r="I561" s="2162" t="n">
        <v>1277.27272727273</v>
      </c>
      <c r="J561" s="2162" t="n">
        <v>358.460204545455</v>
      </c>
      <c r="K561" s="2162" t="n"/>
    </row>
    <row r="562" outlineLevel="3" ht="15.75" customHeight="1">
      <c r="A562" s="10" t="n">
        <v>62</v>
      </c>
      <c r="B562" s="10" t="inlineStr">
        <is>
          <t>Insumo</t>
        </is>
      </c>
      <c r="C562" s="10" t="inlineStr">
        <is>
          <t>Armação aço CA-50 ø 16,0mm para Contenções (corte e dobra em Indústria)</t>
        </is>
      </c>
      <c r="D562" s="10" t="inlineStr">
        <is>
          <t>Espaçador para armadura</t>
        </is>
      </c>
      <c r="E562" s="11">
        <f t="array" ref="E562">_xlfn.XLOOKUP(D562,Insumos!B:B,Insumos!C:$C)</f>
        <v/>
      </c>
      <c r="F562" s="14" t="n">
        <v>0.05</v>
      </c>
      <c r="G562" s="92">
        <f t="array" ref="G562">IF(B562="insumo",_xlfn.XLOOKUP($D562,Insumos!$B$1:$B$880,Insumos!$D$1:$D$880),"")</f>
        <v/>
      </c>
      <c r="H562" s="92" t="n">
        <v>0.0135</v>
      </c>
      <c r="I562" s="2162" t="n">
        <v>1277.27272727273</v>
      </c>
      <c r="J562" s="2162" t="n">
        <v>17.2431818181819</v>
      </c>
      <c r="K562" s="2162" t="n"/>
    </row>
    <row r="563" outlineLevel="2" ht="15.75" customHeight="1">
      <c r="A563" s="1067" t="n">
        <v>1</v>
      </c>
      <c r="B563" s="1067" t="inlineStr">
        <is>
          <t>Serviço</t>
        </is>
      </c>
      <c r="C563" s="1067" t="inlineStr">
        <is>
          <t>Armação aço CA-50 ø 20,0mm para Contenções (corte e dobra em Indústria)</t>
        </is>
      </c>
      <c r="D563" s="1067" t="inlineStr">
        <is>
          <t>Armação aço CA-50 ø 20,0mm para Contenções (corte e dobra em Indústria)</t>
        </is>
      </c>
      <c r="E563" s="1068" t="inlineStr">
        <is>
          <t>KG</t>
        </is>
      </c>
      <c r="F563" s="1067" t="n"/>
      <c r="G563" s="1069">
        <f t="array" ref="G563">IF(B563="insumo",_xlfn.XLOOKUP($D563,Insumos!$B$1:$B$880,Insumos!$D$1:$D$880),"")</f>
        <v/>
      </c>
      <c r="H563" s="1069" t="n">
        <v>8.484145</v>
      </c>
      <c r="I563" s="2161" t="n">
        <v>430.090909090909</v>
      </c>
      <c r="J563" s="2161" t="n">
        <v>3648.95363590909</v>
      </c>
      <c r="K563" s="2161" t="n"/>
    </row>
    <row r="564" outlineLevel="3" ht="15.75" customHeight="1">
      <c r="A564" s="10" t="n">
        <v>4</v>
      </c>
      <c r="B564" s="10" t="inlineStr">
        <is>
          <t>Insumo</t>
        </is>
      </c>
      <c r="C564" s="10" t="inlineStr">
        <is>
          <t>Armação aço CA-50 ø 20,0mm para Contenções (corte e dobra em Indústria)</t>
        </is>
      </c>
      <c r="D564" s="10" t="inlineStr">
        <is>
          <t>Aço CA50 20,0 mm Corte e Dobra em Indústria</t>
        </is>
      </c>
      <c r="E564" s="11">
        <f t="array" ref="E564">_xlfn.XLOOKUP(D564,Insumos!B:B,Insumos!C:$C)</f>
        <v/>
      </c>
      <c r="F564" s="14" t="n">
        <v>1</v>
      </c>
      <c r="G564" s="92">
        <f t="array" ref="G564">IF(B564="insumo",_xlfn.XLOOKUP($D564,Insumos!$B$1:$B$880,Insumos!$D$1:$D$880),"")</f>
        <v/>
      </c>
      <c r="H564" s="92" t="n">
        <v>8.19</v>
      </c>
      <c r="I564" s="2162" t="n">
        <v>430.090909090909</v>
      </c>
      <c r="J564" s="2162" t="n">
        <v>3522.44454545454</v>
      </c>
      <c r="K564" s="2162" t="n"/>
    </row>
    <row r="565" outlineLevel="3" ht="15.75" customHeight="1">
      <c r="A565" s="10" t="n">
        <v>41</v>
      </c>
      <c r="B565" s="10" t="inlineStr">
        <is>
          <t>Insumo</t>
        </is>
      </c>
      <c r="C565" s="10" t="inlineStr">
        <is>
          <t>Armação aço CA-50 ø 20,0mm para Contenções (corte e dobra em Indústria)</t>
        </is>
      </c>
      <c r="D565" s="10" t="inlineStr">
        <is>
          <t xml:space="preserve">Arame Galvanizado </t>
        </is>
      </c>
      <c r="E565" s="11">
        <f t="array" ref="E565">_xlfn.XLOOKUP(D565,Insumos!B:B,Insumos!C:$C)</f>
        <v/>
      </c>
      <c r="F565" s="14" t="n">
        <v>0.0205</v>
      </c>
      <c r="G565" s="92">
        <f t="array" ref="G565">IF(B565="insumo",_xlfn.XLOOKUP($D565,Insumos!$B$1:$B$880,Insumos!$D$1:$D$880),"")</f>
        <v/>
      </c>
      <c r="H565" s="92" t="n">
        <v>0.280645</v>
      </c>
      <c r="I565" s="2162" t="n">
        <v>430.090909090909</v>
      </c>
      <c r="J565" s="2162" t="n">
        <v>120.702863181818</v>
      </c>
      <c r="K565" s="2162" t="n"/>
    </row>
    <row r="566" outlineLevel="3" ht="15.75" customHeight="1">
      <c r="A566" s="10" t="n">
        <v>62</v>
      </c>
      <c r="B566" s="10" t="inlineStr">
        <is>
          <t>Insumo</t>
        </is>
      </c>
      <c r="C566" s="10" t="inlineStr">
        <is>
          <t>Armação aço CA-50 ø 20,0mm para Contenções (corte e dobra em Indústria)</t>
        </is>
      </c>
      <c r="D566" s="10" t="inlineStr">
        <is>
          <t>Espaçador para armadura</t>
        </is>
      </c>
      <c r="E566" s="11">
        <f t="array" ref="E566">_xlfn.XLOOKUP(D566,Insumos!B:B,Insumos!C:$C)</f>
        <v/>
      </c>
      <c r="F566" s="14" t="n">
        <v>0.05</v>
      </c>
      <c r="G566" s="92">
        <f t="array" ref="G566">IF(B566="insumo",_xlfn.XLOOKUP($D566,Insumos!$B$1:$B$880,Insumos!$D$1:$D$880),"")</f>
        <v/>
      </c>
      <c r="H566" s="92" t="n">
        <v>0.0135</v>
      </c>
      <c r="I566" s="2162" t="n">
        <v>430.090909090909</v>
      </c>
      <c r="J566" s="2162" t="n">
        <v>5.80622727272727</v>
      </c>
      <c r="K566" s="2162" t="n"/>
    </row>
    <row r="567" outlineLevel="2" ht="15.75" customHeight="1">
      <c r="A567" s="1067" t="n">
        <v>1</v>
      </c>
      <c r="B567" s="1067" t="inlineStr">
        <is>
          <t>Serviço</t>
        </is>
      </c>
      <c r="C567" s="1067" t="inlineStr">
        <is>
          <t>Armação aço CA-50 ø 25,0mm para Contenções (corte e dobra em Indústria)</t>
        </is>
      </c>
      <c r="D567" s="1067" t="inlineStr">
        <is>
          <t>Armação aço CA-50 ø 25,0mm para Contenções (corte e dobra em Indústria)</t>
        </is>
      </c>
      <c r="E567" s="1068" t="inlineStr">
        <is>
          <t>KG</t>
        </is>
      </c>
      <c r="F567" s="1067" t="n"/>
      <c r="G567" s="1069">
        <f t="array" ref="G567">IF(B567="insumo",_xlfn.XLOOKUP($D567,Insumos!$B$1:$B$880,Insumos!$D$1:$D$880),"")</f>
        <v/>
      </c>
      <c r="H567" s="1069" t="n">
        <v>8.484145</v>
      </c>
      <c r="I567" s="2161" t="n">
        <v>12007</v>
      </c>
      <c r="J567" s="2161" t="n">
        <v>101869.129015</v>
      </c>
      <c r="K567" s="2161" t="n"/>
    </row>
    <row r="568" outlineLevel="3" ht="15.75" customHeight="1">
      <c r="A568" s="10" t="n">
        <v>3</v>
      </c>
      <c r="B568" s="10" t="inlineStr">
        <is>
          <t>Insumo</t>
        </is>
      </c>
      <c r="C568" s="10" t="inlineStr">
        <is>
          <t>Armação aço CA-50 ø 25,0mm para Contenções (corte e dobra em Indústria)</t>
        </is>
      </c>
      <c r="D568" s="10" t="inlineStr">
        <is>
          <t>Aço CA50 25,0mm Corte e Dobra em Indústria</t>
        </is>
      </c>
      <c r="E568" s="11">
        <f t="array" ref="E568">_xlfn.XLOOKUP(D568,Insumos!B:B,Insumos!C:$C)</f>
        <v/>
      </c>
      <c r="F568" s="14" t="n">
        <v>1</v>
      </c>
      <c r="G568" s="92">
        <f t="array" ref="G568">IF(B568="insumo",_xlfn.XLOOKUP($D568,Insumos!$B$1:$B$880,Insumos!$D$1:$D$880),"")</f>
        <v/>
      </c>
      <c r="H568" s="92" t="n">
        <v>8.19</v>
      </c>
      <c r="I568" s="2162" t="n">
        <v>12007</v>
      </c>
      <c r="J568" s="2162" t="n">
        <v>98337.33</v>
      </c>
      <c r="K568" s="2162" t="n"/>
    </row>
    <row r="569" outlineLevel="3" ht="15.75" customHeight="1">
      <c r="A569" s="10" t="n">
        <v>41</v>
      </c>
      <c r="B569" s="10" t="inlineStr">
        <is>
          <t>Insumo</t>
        </is>
      </c>
      <c r="C569" s="10" t="inlineStr">
        <is>
          <t>Armação aço CA-50 ø 25,0mm para Contenções (corte e dobra em Indústria)</t>
        </is>
      </c>
      <c r="D569" s="10" t="inlineStr">
        <is>
          <t xml:space="preserve">Arame Galvanizado </t>
        </is>
      </c>
      <c r="E569" s="11">
        <f t="array" ref="E569">_xlfn.XLOOKUP(D569,Insumos!B:B,Insumos!C:$C)</f>
        <v/>
      </c>
      <c r="F569" s="14" t="n">
        <v>0.0205</v>
      </c>
      <c r="G569" s="92">
        <f t="array" ref="G569">IF(B569="insumo",_xlfn.XLOOKUP($D569,Insumos!$B$1:$B$880,Insumos!$D$1:$D$880),"")</f>
        <v/>
      </c>
      <c r="H569" s="92" t="n">
        <v>0.280645</v>
      </c>
      <c r="I569" s="2162" t="n">
        <v>12007</v>
      </c>
      <c r="J569" s="2162" t="n">
        <v>3369.704515</v>
      </c>
      <c r="K569" s="2162" t="n"/>
    </row>
    <row r="570" outlineLevel="3" ht="15.75" customHeight="1">
      <c r="A570" s="10" t="n">
        <v>62</v>
      </c>
      <c r="B570" s="10" t="inlineStr">
        <is>
          <t>Insumo</t>
        </is>
      </c>
      <c r="C570" s="10" t="inlineStr">
        <is>
          <t>Armação aço CA-50 ø 25,0mm para Contenções (corte e dobra em Indústria)</t>
        </is>
      </c>
      <c r="D570" s="10" t="inlineStr">
        <is>
          <t>Espaçador para armadura</t>
        </is>
      </c>
      <c r="E570" s="11">
        <f t="array" ref="E570">_xlfn.XLOOKUP(D570,Insumos!B:B,Insumos!C:$C)</f>
        <v/>
      </c>
      <c r="F570" s="14" t="n">
        <v>0.05</v>
      </c>
      <c r="G570" s="92">
        <f t="array" ref="G570">IF(B570="insumo",_xlfn.XLOOKUP($D570,Insumos!$B$1:$B$880,Insumos!$D$1:$D$880),"")</f>
        <v/>
      </c>
      <c r="H570" s="92" t="n">
        <v>0.0135</v>
      </c>
      <c r="I570" s="2162" t="n">
        <v>12007</v>
      </c>
      <c r="J570" s="2162" t="n">
        <v>162.0945</v>
      </c>
      <c r="K570" s="2162" t="n"/>
    </row>
    <row r="571" outlineLevel="1" ht="15.75" customHeight="1">
      <c r="A571" s="1090" t="n">
        <v>5</v>
      </c>
      <c r="B571" s="1090" t="inlineStr">
        <is>
          <t>Subetapa</t>
        </is>
      </c>
      <c r="C571" s="1090" t="inlineStr">
        <is>
          <t>Armação aço CA-50 ø 25,0mm para Contenções (corte e dobra em Indústria)</t>
        </is>
      </c>
      <c r="D571" s="1090" t="inlineStr">
        <is>
          <t>CONCRETO</t>
        </is>
      </c>
      <c r="E571" s="1091" t="n"/>
      <c r="F571" s="2160" t="n"/>
      <c r="G571" s="1091" t="n"/>
      <c r="H571" s="1091" t="n">
        <v>0</v>
      </c>
      <c r="I571" s="2160" t="n">
        <v>0</v>
      </c>
      <c r="J571" s="2160" t="n">
        <v>0</v>
      </c>
      <c r="K571" s="2160" t="n"/>
    </row>
    <row r="572" outlineLevel="2" ht="15.75" customHeight="1">
      <c r="A572" s="1067" t="n">
        <v>1</v>
      </c>
      <c r="B572" s="1067" t="inlineStr">
        <is>
          <t>Serviço</t>
        </is>
      </c>
      <c r="C572" s="1067" t="inlineStr">
        <is>
          <t>Concreto Usinado bombeável para estaca das Contenções 25MPa  - incluindo serviço de bombeamento</t>
        </is>
      </c>
      <c r="D572" s="1067" t="inlineStr">
        <is>
          <t>Concreto Usinado bombeável para estaca das Contenções 25MPa  - incluindo serviço de bombeamento</t>
        </is>
      </c>
      <c r="E572" s="1068" t="inlineStr">
        <is>
          <t>M3</t>
        </is>
      </c>
      <c r="F572" s="1067" t="n"/>
      <c r="G572" s="1069">
        <f t="array" ref="G572">IF(B572="insumo",_xlfn.XLOOKUP($D572,Insumos!$B$1:$B$996,Insumos!$D$1:$D$996),"")</f>
        <v/>
      </c>
      <c r="H572" s="1069" t="n">
        <v>693.66</v>
      </c>
      <c r="I572" s="2161" t="n">
        <v>0</v>
      </c>
      <c r="J572" s="2161" t="n">
        <v>0</v>
      </c>
      <c r="K572" s="2161" t="n"/>
    </row>
    <row r="573" outlineLevel="3" ht="15.75" customHeight="1">
      <c r="A573" s="10" t="n">
        <v>3</v>
      </c>
      <c r="B573" s="10" t="inlineStr">
        <is>
          <t>Insumo</t>
        </is>
      </c>
      <c r="C573" s="10" t="inlineStr">
        <is>
          <t>Concreto Usinado bombeável para estaca das Contenções 25MPa  - incluindo serviço de bombeamento</t>
        </is>
      </c>
      <c r="D573" s="10" t="inlineStr">
        <is>
          <t>Concreto Usinado bombeável 25MPa</t>
        </is>
      </c>
      <c r="E573" s="11">
        <f t="array" ref="E573">_xlfn.XLOOKUP(D573,Insumos!B:B,Insumos!C:$C)</f>
        <v/>
      </c>
      <c r="F573" s="14" t="n">
        <v>1.3</v>
      </c>
      <c r="G573" s="92">
        <f t="array" ref="G573">IF(B573="insumo",_xlfn.XLOOKUP($D573,Insumos!$B$1:$B$996,Insumos!$D$1:$D$996),"")</f>
        <v/>
      </c>
      <c r="H573" s="92" t="n">
        <v>640.9</v>
      </c>
      <c r="I573" s="2162" t="n">
        <v>0</v>
      </c>
      <c r="J573" s="2162" t="n">
        <v>0</v>
      </c>
      <c r="K573" s="2162" t="n"/>
    </row>
    <row r="574" outlineLevel="3" ht="15.75" customHeight="1">
      <c r="A574" s="10" t="n">
        <v>25</v>
      </c>
      <c r="B574" s="10" t="inlineStr">
        <is>
          <t>Insumo</t>
        </is>
      </c>
      <c r="C574" s="10" t="inlineStr">
        <is>
          <t>Concreto Usinado bombeável para estaca das Contenções 25MPa  - incluindo serviço de bombeamento</t>
        </is>
      </c>
      <c r="D574" s="10" t="inlineStr">
        <is>
          <t>serviço de bombeamento</t>
        </is>
      </c>
      <c r="E574" s="11">
        <f t="array" ref="E574">_xlfn.XLOOKUP(D574,Insumos!B:B,Insumos!C:$C)</f>
        <v/>
      </c>
      <c r="F574" s="14" t="n">
        <v>1.3</v>
      </c>
      <c r="G574" s="92">
        <f t="array" ref="G574">IF(B574="insumo",_xlfn.XLOOKUP($D574,Insumos!$B$1:$B$996,Insumos!$D$1:$D$996),"")</f>
        <v/>
      </c>
      <c r="H574" s="92" t="n">
        <v>52</v>
      </c>
      <c r="I574" s="2162" t="n">
        <v>0</v>
      </c>
      <c r="J574" s="2162" t="n">
        <v>0</v>
      </c>
      <c r="K574" s="2162" t="n"/>
    </row>
    <row r="575" outlineLevel="3" ht="15.75" customHeight="1">
      <c r="A575" s="10" t="n">
        <v>62</v>
      </c>
      <c r="B575" s="10" t="inlineStr">
        <is>
          <t>Insumo</t>
        </is>
      </c>
      <c r="C575" s="10" t="inlineStr">
        <is>
          <t>Concreto Usinado bombeável para estaca das Contenções 25MPa  - incluindo serviço de bombeamento</t>
        </is>
      </c>
      <c r="D575" s="10" t="inlineStr">
        <is>
          <t>Cimento Portland Composto CP II-32</t>
        </is>
      </c>
      <c r="E575" s="11">
        <f t="array" ref="E575">_xlfn.XLOOKUP(D575,Insumos!B:B,Insumos!C:$C)</f>
        <v/>
      </c>
      <c r="F575" s="14" t="n">
        <v>1</v>
      </c>
      <c r="G575" s="92">
        <f t="array" ref="G575">IF(B575="insumo",_xlfn.XLOOKUP($D575,Insumos!$B$1:$B$996,Insumos!$D$1:$D$996),"")</f>
        <v/>
      </c>
      <c r="H575" s="92" t="n">
        <v>0.76</v>
      </c>
      <c r="I575" s="2162" t="n">
        <v>0</v>
      </c>
      <c r="J575" s="2162" t="n">
        <v>0</v>
      </c>
      <c r="K575" s="2162" t="n"/>
    </row>
    <row r="576" outlineLevel="2" ht="15.75" customHeight="1">
      <c r="A576" s="1067" t="n">
        <v>1</v>
      </c>
      <c r="B576" s="1067" t="inlineStr">
        <is>
          <t>Serviço</t>
        </is>
      </c>
      <c r="C576" s="1067" t="inlineStr">
        <is>
          <t>Concreto Usinado bombeável para Contenções 25MPa  - incluindo serviço de bombeamento</t>
        </is>
      </c>
      <c r="D576" s="1067" t="inlineStr">
        <is>
          <t>Concreto Usinado bombeável para Contenções 25MPa  - incluindo serviço de bombeamento</t>
        </is>
      </c>
      <c r="E576" s="1068" t="inlineStr">
        <is>
          <t>M3</t>
        </is>
      </c>
      <c r="F576" s="1067" t="n"/>
      <c r="G576" s="1069">
        <f t="array" ref="G576">IF(B576="insumo",_xlfn.XLOOKUP($D576,Insumos!$B$1:$B$996,Insumos!$D$1:$D$996),"")</f>
        <v/>
      </c>
      <c r="H576" s="1069" t="n">
        <v>634.36</v>
      </c>
      <c r="I576" s="2161" t="n">
        <v>0</v>
      </c>
      <c r="J576" s="2161" t="n">
        <v>0</v>
      </c>
      <c r="K576" s="2161" t="n"/>
    </row>
    <row r="577" outlineLevel="3" ht="15.75" customHeight="1">
      <c r="A577" s="10" t="n">
        <v>3</v>
      </c>
      <c r="B577" s="10" t="inlineStr">
        <is>
          <t>Insumo</t>
        </is>
      </c>
      <c r="C577" s="10" t="inlineStr">
        <is>
          <t>Concreto Usinado bombeável para Contenções 25MPa  - incluindo serviço de bombeamento</t>
        </is>
      </c>
      <c r="D577" s="10" t="inlineStr">
        <is>
          <t>Concreto Usinado bombeável 25MPa</t>
        </is>
      </c>
      <c r="E577" s="11">
        <f t="array" ref="E577">_xlfn.XLOOKUP(D577,Insumos!B:B,Insumos!C:$C)</f>
        <v/>
      </c>
      <c r="F577" s="14" t="n">
        <v>1.2</v>
      </c>
      <c r="G577" s="92">
        <f t="array" ref="G577">IF(B577="insumo",_xlfn.XLOOKUP($D577,Insumos!$B$1:$B$996,Insumos!$D$1:$D$996),"")</f>
        <v/>
      </c>
      <c r="H577" s="92" t="n">
        <v>591.6</v>
      </c>
      <c r="I577" s="2162" t="n">
        <v>0</v>
      </c>
      <c r="J577" s="2162" t="n">
        <v>0</v>
      </c>
      <c r="K577" s="2162" t="n"/>
    </row>
    <row r="578" outlineLevel="3" ht="15.75" customHeight="1">
      <c r="A578" s="10" t="n">
        <v>25</v>
      </c>
      <c r="B578" s="10" t="inlineStr">
        <is>
          <t>Insumo</t>
        </is>
      </c>
      <c r="C578" s="10" t="inlineStr">
        <is>
          <t>Concreto Usinado bombeável para Contenções 25MPa  - incluindo serviço de bombeamento</t>
        </is>
      </c>
      <c r="D578" s="10" t="inlineStr">
        <is>
          <t>serviço de bombeamento</t>
        </is>
      </c>
      <c r="E578" s="11">
        <f t="array" ref="E578">_xlfn.XLOOKUP(D578,Insumos!B:B,Insumos!C:$C)</f>
        <v/>
      </c>
      <c r="F578" s="14" t="n">
        <v>1.05</v>
      </c>
      <c r="G578" s="92">
        <f t="array" ref="G578">IF(B578="insumo",_xlfn.XLOOKUP($D578,Insumos!$B$1:$B$996,Insumos!$D$1:$D$996),"")</f>
        <v/>
      </c>
      <c r="H578" s="92" t="n">
        <v>42</v>
      </c>
      <c r="I578" s="2162" t="n">
        <v>0</v>
      </c>
      <c r="J578" s="2162" t="n">
        <v>0</v>
      </c>
      <c r="K578" s="2162" t="n"/>
    </row>
    <row r="579" outlineLevel="3" ht="15.75" customHeight="1">
      <c r="A579" s="10" t="n">
        <v>62</v>
      </c>
      <c r="B579" s="10" t="inlineStr">
        <is>
          <t>Insumo</t>
        </is>
      </c>
      <c r="C579" s="10" t="inlineStr">
        <is>
          <t>Concreto Usinado bombeável para Contenções 25MPa  - incluindo serviço de bombeamento</t>
        </is>
      </c>
      <c r="D579" s="10" t="inlineStr">
        <is>
          <t>Cimento Portland Composto CP II-32</t>
        </is>
      </c>
      <c r="E579" s="11">
        <f t="array" ref="E579">_xlfn.XLOOKUP(D579,Insumos!B:B,Insumos!C:$C)</f>
        <v/>
      </c>
      <c r="F579" s="14" t="n">
        <v>1</v>
      </c>
      <c r="G579" s="92">
        <f t="array" ref="G579">IF(B579="insumo",_xlfn.XLOOKUP($D579,Insumos!$B$1:$B$996,Insumos!$D$1:$D$996),"")</f>
        <v/>
      </c>
      <c r="H579" s="92" t="n">
        <v>0.76</v>
      </c>
      <c r="I579" s="2162" t="n">
        <v>0</v>
      </c>
      <c r="J579" s="2162" t="n">
        <v>0</v>
      </c>
      <c r="K579" s="2162" t="n"/>
    </row>
    <row r="580" outlineLevel="2" ht="15.75" customHeight="1">
      <c r="A580" s="1067" t="n">
        <v>1</v>
      </c>
      <c r="B580" s="1067" t="inlineStr">
        <is>
          <t>Serviço</t>
        </is>
      </c>
      <c r="C580" s="1067" t="inlineStr">
        <is>
          <t>Concreto Usinado bombeável para Contenções 30MPa  - incluindo serviço de bombeamento</t>
        </is>
      </c>
      <c r="D580" s="1067" t="inlineStr">
        <is>
          <t>Concreto Usinado bombeável para Contenções 30MPa  - incluindo serviço de bombeamento</t>
        </is>
      </c>
      <c r="E580" s="1068" t="inlineStr">
        <is>
          <t>M3</t>
        </is>
      </c>
      <c r="F580" s="1067" t="n"/>
      <c r="G580" s="1069">
        <f t="array" ref="G580">IF(B580="insumo",_xlfn.XLOOKUP($D580,Insumos!$B$1:$B$996,Insumos!$D$1:$D$996),"")</f>
        <v/>
      </c>
      <c r="H580" s="1069" t="n">
        <v>654.76</v>
      </c>
      <c r="I580" s="2161" t="n">
        <v>0</v>
      </c>
      <c r="J580" s="2161" t="n">
        <v>0</v>
      </c>
      <c r="K580" s="2161" t="n"/>
    </row>
    <row r="581" outlineLevel="3" ht="15.75" customHeight="1">
      <c r="A581" s="10" t="n">
        <v>4</v>
      </c>
      <c r="B581" s="10" t="inlineStr">
        <is>
          <t>Insumo</t>
        </is>
      </c>
      <c r="C581" s="10" t="inlineStr">
        <is>
          <t>Concreto Usinado bombeável para Contenções 30MPa  - incluindo serviço de bombeamento</t>
        </is>
      </c>
      <c r="D581" s="10" t="inlineStr">
        <is>
          <t>Concreto Usinado bombeável 30MPa Convencional</t>
        </is>
      </c>
      <c r="E581" s="11">
        <f t="array" ref="E581">_xlfn.XLOOKUP(D581,Insumos!B:B,Insumos!C:$C)</f>
        <v/>
      </c>
      <c r="F581" s="14" t="n">
        <v>1.2</v>
      </c>
      <c r="G581" s="92">
        <f t="array" ref="G581">IF(B581="insumo",_xlfn.XLOOKUP($D581,Insumos!$B$1:$B$996,Insumos!$D$1:$D$996),"")</f>
        <v/>
      </c>
      <c r="H581" s="92" t="n">
        <v>612</v>
      </c>
      <c r="I581" s="2162" t="n">
        <v>0</v>
      </c>
      <c r="J581" s="2162" t="n">
        <v>0</v>
      </c>
      <c r="K581" s="2162" t="n"/>
    </row>
    <row r="582" outlineLevel="3" ht="15.75" customHeight="1">
      <c r="A582" s="10" t="n">
        <v>25</v>
      </c>
      <c r="B582" s="10" t="inlineStr">
        <is>
          <t>Insumo</t>
        </is>
      </c>
      <c r="C582" s="10" t="inlineStr">
        <is>
          <t>Concreto Usinado bombeável para Contenções 30MPa  - incluindo serviço de bombeamento</t>
        </is>
      </c>
      <c r="D582" s="10" t="inlineStr">
        <is>
          <t>serviço de bombeamento</t>
        </is>
      </c>
      <c r="E582" s="11">
        <f t="array" ref="E582">_xlfn.XLOOKUP(D582,Insumos!B:B,Insumos!C:$C)</f>
        <v/>
      </c>
      <c r="F582" s="14" t="n">
        <v>1.05</v>
      </c>
      <c r="G582" s="92">
        <f t="array" ref="G582">IF(B582="insumo",_xlfn.XLOOKUP($D582,Insumos!$B$1:$B$996,Insumos!$D$1:$D$996),"")</f>
        <v/>
      </c>
      <c r="H582" s="92" t="n">
        <v>42</v>
      </c>
      <c r="I582" s="2162" t="n">
        <v>0</v>
      </c>
      <c r="J582" s="2162" t="n">
        <v>0</v>
      </c>
      <c r="K582" s="2162" t="n"/>
    </row>
    <row r="583" outlineLevel="3" ht="15.75" customHeight="1">
      <c r="A583" s="10" t="n">
        <v>62</v>
      </c>
      <c r="B583" s="10" t="inlineStr">
        <is>
          <t>Insumo</t>
        </is>
      </c>
      <c r="C583" s="10" t="inlineStr">
        <is>
          <t>Concreto Usinado bombeável para Contenções 30MPa  - incluindo serviço de bombeamento</t>
        </is>
      </c>
      <c r="D583" s="10" t="inlineStr">
        <is>
          <t>Cimento Portland Composto CP II-32</t>
        </is>
      </c>
      <c r="E583" s="11">
        <f t="array" ref="E583">_xlfn.XLOOKUP(D583,Insumos!B:B,Insumos!C:$C)</f>
        <v/>
      </c>
      <c r="F583" s="14" t="n">
        <v>1</v>
      </c>
      <c r="G583" s="92">
        <f t="array" ref="G583">IF(B583="insumo",_xlfn.XLOOKUP($D583,Insumos!$B$1:$B$996,Insumos!$D$1:$D$996),"")</f>
        <v/>
      </c>
      <c r="H583" s="92" t="n">
        <v>0.76</v>
      </c>
      <c r="I583" s="2162" t="n">
        <v>0</v>
      </c>
      <c r="J583" s="2162" t="n">
        <v>0</v>
      </c>
      <c r="K583" s="2162" t="n"/>
    </row>
    <row r="584" outlineLevel="1" ht="15.75" customHeight="1">
      <c r="A584" s="1090" t="n">
        <v>6</v>
      </c>
      <c r="B584" s="1090" t="inlineStr">
        <is>
          <t>Subetapa</t>
        </is>
      </c>
      <c r="C584" s="1090" t="inlineStr">
        <is>
          <t>Concreto Usinado bombeável para Contenções 30MPa  - incluindo serviço de bombeamento</t>
        </is>
      </c>
      <c r="D584" s="1090" t="inlineStr">
        <is>
          <t>MÃO DE OBRA</t>
        </is>
      </c>
      <c r="E584" s="1091" t="n"/>
      <c r="F584" s="2160" t="n"/>
      <c r="G584" s="1091" t="n"/>
      <c r="H584" s="1091" t="n">
        <v>0</v>
      </c>
      <c r="I584" s="2160" t="n">
        <v>0</v>
      </c>
      <c r="J584" s="2160" t="n">
        <v>0</v>
      </c>
      <c r="K584" s="2160" t="n"/>
    </row>
    <row r="585" outlineLevel="2" ht="15.75" customHeight="1">
      <c r="A585" s="1067" t="n">
        <v>1</v>
      </c>
      <c r="B585" s="1067" t="inlineStr">
        <is>
          <t>Serviço</t>
        </is>
      </c>
      <c r="C585" s="1067" t="inlineStr">
        <is>
          <t>Mão de obra de obra execução de contenção em cortina de concreto</t>
        </is>
      </c>
      <c r="D585" s="1067" t="inlineStr">
        <is>
          <t>Mão de obra de obra execução de contenção em cortina de concreto</t>
        </is>
      </c>
      <c r="E585" s="1068">
        <f t="array" ref="E585">_xlfn.XLOOKUP(D585,Insumos!B:B,Insumos!C:$C)</f>
        <v/>
      </c>
      <c r="F585" s="1067" t="n"/>
      <c r="G585" s="1069">
        <f t="array" ref="G585">IF(B585="insumo",_xlfn.XLOOKUP($D585,Insumos!$B$1:$B$996,Insumos!$D$1:$D$996),"")</f>
        <v/>
      </c>
      <c r="H585" s="1069" t="n">
        <v>166.344205097087</v>
      </c>
      <c r="I585" s="2161" t="n">
        <v>0</v>
      </c>
      <c r="J585" s="2161" t="n">
        <v>0</v>
      </c>
      <c r="K585" s="2161" t="n"/>
    </row>
    <row r="586" outlineLevel="3" ht="15.75" customHeight="1">
      <c r="A586" s="10" t="n">
        <v>1</v>
      </c>
      <c r="B586" s="10" t="inlineStr">
        <is>
          <t>Insumo</t>
        </is>
      </c>
      <c r="C586" s="10" t="inlineStr">
        <is>
          <t>Mão de obra de obra execução de contenção em cortina de concreto</t>
        </is>
      </c>
      <c r="D586" s="10" t="inlineStr">
        <is>
          <t>Mão de obra de obra execução de contenção em cortina de concreto</t>
        </is>
      </c>
      <c r="E586" s="11">
        <f t="array" ref="E586">_xlfn.XLOOKUP(D586,Insumos!B:B,Insumos!C:$C)</f>
        <v/>
      </c>
      <c r="F586" s="14" t="n">
        <v>1</v>
      </c>
      <c r="G586" s="92">
        <f t="array" ref="G586">IF(B586="insumo",_xlfn.XLOOKUP($D586,Insumos!$B$1:$B$996,Insumos!$D$1:$D$996),"")</f>
        <v/>
      </c>
      <c r="H586" s="92" t="n">
        <v>166.344205097087</v>
      </c>
      <c r="I586" s="2162" t="n">
        <v>0</v>
      </c>
      <c r="J586" s="2162" t="n">
        <v>0</v>
      </c>
      <c r="K586" s="2162" t="n"/>
    </row>
    <row r="587" ht="15.75" customHeight="1">
      <c r="A587" s="7" t="n">
        <v>1</v>
      </c>
      <c r="B587" s="7" t="inlineStr">
        <is>
          <t>Etapa</t>
        </is>
      </c>
      <c r="C587" s="7" t="inlineStr">
        <is>
          <t>Mão de obra de obra execução de contenção em cortina de concreto</t>
        </is>
      </c>
      <c r="D587" s="7" t="inlineStr">
        <is>
          <t>SUPRAESTRUTURA</t>
        </is>
      </c>
      <c r="E587" s="8" t="n"/>
      <c r="F587" s="2159" t="n"/>
      <c r="G587" s="91">
        <f t="array" ref="G587">IF(B587="insumo",_xlfn.XLOOKUP($D587,Insumos!$B$1:$B$996,Insumos!$D$1:$D$996),"")</f>
        <v/>
      </c>
      <c r="H587" s="91" t="n">
        <v>0</v>
      </c>
      <c r="I587" s="2159" t="n">
        <v>0</v>
      </c>
      <c r="J587" s="2159" t="n">
        <v>0</v>
      </c>
      <c r="K587" s="2159" t="n"/>
    </row>
    <row r="588" outlineLevel="1" ht="15.75" customHeight="1">
      <c r="A588" s="1090" t="n">
        <v>3</v>
      </c>
      <c r="B588" s="1090" t="inlineStr">
        <is>
          <t>Subetapa</t>
        </is>
      </c>
      <c r="C588" s="1090" t="inlineStr">
        <is>
          <t>Mão de obra de obra execução de contenção em cortina de concreto</t>
        </is>
      </c>
      <c r="D588" s="1090" t="inlineStr">
        <is>
          <t>FORMA</t>
        </is>
      </c>
      <c r="E588" s="1091" t="n"/>
      <c r="F588" s="2160" t="n"/>
      <c r="G588" s="1091" t="n"/>
      <c r="H588" s="1091" t="n">
        <v>0</v>
      </c>
      <c r="I588" s="2160" t="n">
        <v>0</v>
      </c>
      <c r="J588" s="2160" t="n">
        <v>0</v>
      </c>
      <c r="K588" s="2160" t="n"/>
    </row>
    <row r="589" outlineLevel="2" ht="15.75" customHeight="1">
      <c r="A589" s="1067" t="n">
        <v>1</v>
      </c>
      <c r="B589" s="1067" t="inlineStr">
        <is>
          <t>Serviço</t>
        </is>
      </c>
      <c r="C589" s="1067" t="inlineStr">
        <is>
          <t>Forma para Laje Contrapiso Térreo em Tábuas de Madeira Serrada 18mm 4x reaproveitamento</t>
        </is>
      </c>
      <c r="D589" s="1067" t="inlineStr">
        <is>
          <t>Forma para Laje Contrapiso Térreo em Tábuas de Madeira Serrada 18mm 4x reaproveitamento</t>
        </is>
      </c>
      <c r="E589" s="1068" t="inlineStr">
        <is>
          <t>M2</t>
        </is>
      </c>
      <c r="F589" s="1067" t="n"/>
      <c r="G589" s="1069">
        <f t="array" ref="G589">IF(B589="insumo",_xlfn.XLOOKUP($D589,Insumos!$B$1:$B$996,Insumos!$D$1:$D$996),"")</f>
        <v/>
      </c>
      <c r="H589" s="1069" t="n">
        <v>65.41845000000001</v>
      </c>
      <c r="I589" s="2161" t="n">
        <v>0</v>
      </c>
      <c r="J589" s="2161" t="n">
        <v>0</v>
      </c>
      <c r="K589" s="2161" t="n"/>
    </row>
    <row r="590" outlineLevel="3" ht="15.75" customHeight="1">
      <c r="A590" s="10" t="n">
        <v>40</v>
      </c>
      <c r="B590" s="10" t="inlineStr">
        <is>
          <t>Insumo</t>
        </is>
      </c>
      <c r="C590" s="10" t="inlineStr">
        <is>
          <t>Forma para Laje Contrapiso Térreo em Tábuas de Madeira Serrada 18mm 4x reaproveitamento</t>
        </is>
      </c>
      <c r="D590" s="10" t="inlineStr">
        <is>
          <t>PREGO DE ACO POLIDO COM CABECA 17 X 21 (2 X 11)</t>
        </is>
      </c>
      <c r="E590" s="11">
        <f t="array" ref="E590">_xlfn.XLOOKUP(D590,Insumos!B:B,Insumos!C:$C)</f>
        <v/>
      </c>
      <c r="F590" s="14" t="n">
        <v>0.095</v>
      </c>
      <c r="G590" s="92">
        <f t="array" ref="G590">IF(B590="insumo",_xlfn.XLOOKUP($D590,Insumos!$B$1:$B$996,Insumos!$D$1:$D$996),"")</f>
        <v/>
      </c>
      <c r="H590" s="92" t="n">
        <v>1.72235</v>
      </c>
      <c r="I590" s="2162" t="n">
        <v>0</v>
      </c>
      <c r="J590" s="2162" t="n">
        <v>0</v>
      </c>
      <c r="K590" s="2162" t="n"/>
    </row>
    <row r="591" outlineLevel="3" ht="15.75" customHeight="1">
      <c r="A591" s="10" t="n">
        <v>10</v>
      </c>
      <c r="B591" s="10" t="inlineStr">
        <is>
          <t>Insumo</t>
        </is>
      </c>
      <c r="C591" s="10" t="inlineStr">
        <is>
          <t>Forma para Laje Contrapiso Térreo em Tábuas de Madeira Serrada 18mm 4x reaproveitamento</t>
        </is>
      </c>
      <c r="D591" s="10" t="inlineStr">
        <is>
          <t xml:space="preserve">DESMOLDANTE PROTETOR PARA FORMAS DE MADEIRA, DE BASE OLEOSA EMULSIONADA EM AGUA   </t>
        </is>
      </c>
      <c r="E591" s="11">
        <f t="array" ref="E591">_xlfn.XLOOKUP(D591,Insumos!B:B,Insumos!C:$C)</f>
        <v/>
      </c>
      <c r="F591" s="14" t="n">
        <v>0.017</v>
      </c>
      <c r="G591" s="92">
        <f t="array" ref="G591">IF(B591="insumo",_xlfn.XLOOKUP($D591,Insumos!$B$1:$B$996,Insumos!$D$1:$D$996),"")</f>
        <v/>
      </c>
      <c r="H591" s="92" t="n">
        <v>0.26435</v>
      </c>
      <c r="I591" s="2162" t="n">
        <v>0</v>
      </c>
      <c r="J591" s="2162" t="n">
        <v>0</v>
      </c>
      <c r="K591" s="2162" t="n"/>
    </row>
    <row r="592" outlineLevel="3" ht="15.75" customHeight="1">
      <c r="A592" s="10" t="n">
        <v>25</v>
      </c>
      <c r="B592" s="10" t="inlineStr">
        <is>
          <t>Insumo</t>
        </is>
      </c>
      <c r="C592" s="10" t="inlineStr">
        <is>
          <t>Forma para Laje Contrapiso Térreo em Tábuas de Madeira Serrada 18mm 4x reaproveitamento</t>
        </is>
      </c>
      <c r="D592" s="10" t="inlineStr">
        <is>
          <t>MADEIRA PINUS/SIMILAR - PONTALETE 75X75MM NBR 11700/15696</t>
        </is>
      </c>
      <c r="E592" s="11">
        <f t="array" ref="E592">_xlfn.XLOOKUP(D592,Insumos!B:B,Insumos!C:$C)</f>
        <v/>
      </c>
      <c r="F592" s="14" t="n">
        <v>0.4485714285714286</v>
      </c>
      <c r="G592" s="92">
        <f t="array" ref="G592">IF(B592="insumo",_xlfn.XLOOKUP($D592,Insumos!$B$1:$B$996,Insumos!$D$1:$D$996),"")</f>
        <v/>
      </c>
      <c r="H592" s="92" t="n">
        <v>3.14</v>
      </c>
      <c r="I592" s="2162" t="n">
        <v>0</v>
      </c>
      <c r="J592" s="2162" t="n">
        <v>0</v>
      </c>
      <c r="K592" s="2162" t="n"/>
    </row>
    <row r="593" outlineLevel="3" ht="15.75" customHeight="1">
      <c r="A593" s="10" t="n">
        <v>19</v>
      </c>
      <c r="B593" s="10" t="inlineStr">
        <is>
          <t>Insumo</t>
        </is>
      </c>
      <c r="C593" s="10" t="inlineStr">
        <is>
          <t>Forma para Laje Contrapiso Térreo em Tábuas de Madeira Serrada 18mm 4x reaproveitamento</t>
        </is>
      </c>
      <c r="D593" s="10" t="inlineStr">
        <is>
          <t>SARRAFO *2,5 X 7,5* CM EM PINUS, MISTA OU EQUIVALENTE DA REGIAO - BRUTA</t>
        </is>
      </c>
      <c r="E593" s="11">
        <f t="array" ref="E593">_xlfn.XLOOKUP(D593,Insumos!B:B,Insumos!C:$C)</f>
        <v/>
      </c>
      <c r="F593" s="14" t="n">
        <v>0.001257</v>
      </c>
      <c r="G593" s="92">
        <f t="array" ref="G593">IF(B593="insumo",_xlfn.XLOOKUP($D593,Insumos!$B$1:$B$996,Insumos!$D$1:$D$996),"")</f>
        <v/>
      </c>
      <c r="H593" s="92" t="n">
        <v>1.69695</v>
      </c>
      <c r="I593" s="2162" t="n">
        <v>0</v>
      </c>
      <c r="J593" s="2162" t="n">
        <v>0</v>
      </c>
      <c r="K593" s="2162" t="n"/>
    </row>
    <row r="594" outlineLevel="3" ht="15.75" customHeight="1">
      <c r="A594" s="10" t="n">
        <v>3</v>
      </c>
      <c r="B594" s="10" t="inlineStr">
        <is>
          <t>Insumo</t>
        </is>
      </c>
      <c r="C594" s="10" t="inlineStr">
        <is>
          <t>Forma para Laje Contrapiso Térreo em Tábuas de Madeira Serrada 18mm 4x reaproveitamento</t>
        </is>
      </c>
      <c r="D594" s="10" t="inlineStr">
        <is>
          <t>TABUA NAO APARELHADA *2,5 X 20* CM, EM MACARANDUBA/MASSARANDUBA, ANGELIM OU EQUIVALENTE DA REGIAO - BRUTA</t>
        </is>
      </c>
      <c r="E594" s="11">
        <f t="array" ref="E594">_xlfn.XLOOKUP(D594,Insumos!B:B,Insumos!C:$C)</f>
        <v/>
      </c>
      <c r="F594" s="14" t="n">
        <v>1.38</v>
      </c>
      <c r="G594" s="92">
        <f t="array" ref="G594">IF(B594="insumo",_xlfn.XLOOKUP($D594,Insumos!$B$1:$B$996,Insumos!$D$1:$D$996),"")</f>
        <v/>
      </c>
      <c r="H594" s="92" t="n">
        <v>58.5948</v>
      </c>
      <c r="I594" s="2162" t="n">
        <v>0</v>
      </c>
      <c r="J594" s="2162" t="n">
        <v>0</v>
      </c>
      <c r="K594" s="2162" t="n"/>
    </row>
    <row r="595" outlineLevel="2" ht="15.75" customHeight="1">
      <c r="A595" s="1067" t="n">
        <v>1</v>
      </c>
      <c r="B595" s="1067" t="inlineStr">
        <is>
          <t>Serviço</t>
        </is>
      </c>
      <c r="C595" s="1067" t="inlineStr">
        <is>
          <t>Fabricação de Fôrma para Pilares, em Chapa de Madeira Compensada Plastificada, E=18mm</t>
        </is>
      </c>
      <c r="D595" s="1067" t="inlineStr">
        <is>
          <t>Fabricação de Fôrma para Pilares, em Chapa de Madeira Compensada Plastificada, E=18mm</t>
        </is>
      </c>
      <c r="E595" s="1068" t="inlineStr">
        <is>
          <t>M2</t>
        </is>
      </c>
      <c r="F595" s="1067" t="n"/>
      <c r="G595" s="1069">
        <f t="array" ref="G595">IF(B595="insumo",_xlfn.XLOOKUP($D595,Insumos!$B$1:$B$996,Insumos!$D$1:$D$996),"")</f>
        <v/>
      </c>
      <c r="H595" s="1069" t="n">
        <v>117.154027603306</v>
      </c>
      <c r="I595" s="2161" t="n">
        <v>0</v>
      </c>
      <c r="J595" s="2161" t="n">
        <v>0</v>
      </c>
      <c r="K595" s="2161" t="n"/>
    </row>
    <row r="596" outlineLevel="3" ht="15.75" customHeight="1">
      <c r="A596" s="10" t="n">
        <v>40</v>
      </c>
      <c r="B596" s="10" t="inlineStr">
        <is>
          <t>Insumo</t>
        </is>
      </c>
      <c r="C596" s="10" t="inlineStr">
        <is>
          <t>Fabricação de Fôrma para Pilares, em Chapa de Madeira Compensada Plastificada, E=18mm</t>
        </is>
      </c>
      <c r="D596" s="10" t="inlineStr">
        <is>
          <t>PREGO DE ACO POLIDO COM CABECA 17 X 21 (2 X 11)</t>
        </is>
      </c>
      <c r="E596" s="11">
        <f t="array" ref="E596">_xlfn.XLOOKUP(D596,Insumos!B:B,Insumos!C:$C)</f>
        <v/>
      </c>
      <c r="F596" s="14" t="n">
        <v>0.208</v>
      </c>
      <c r="G596" s="92">
        <f t="array" ref="G596">IF(B596="insumo",_xlfn.XLOOKUP($D596,Insumos!$B$1:$B$996,Insumos!$D$1:$D$996),"")</f>
        <v/>
      </c>
      <c r="H596" s="92" t="n">
        <v>3.77104</v>
      </c>
      <c r="I596" s="2162" t="n">
        <v>0</v>
      </c>
      <c r="J596" s="2162" t="n">
        <v>0</v>
      </c>
      <c r="K596" s="2162" t="n"/>
    </row>
    <row r="597" outlineLevel="3" ht="15.75" customHeight="1">
      <c r="A597" s="10" t="n">
        <v>1</v>
      </c>
      <c r="B597" s="10" t="inlineStr">
        <is>
          <t>Insumo</t>
        </is>
      </c>
      <c r="C597" s="10" t="inlineStr">
        <is>
          <t>Fabricação de Fôrma para Pilares, em Chapa de Madeira Compensada Plastificada, E=18mm</t>
        </is>
      </c>
      <c r="D597" s="10" t="inlineStr">
        <is>
          <t>CHAPA/PAINEL DE MADEIRA COMPENSADA PLASTIFICADA, DE 2200 X 1100 MM, E = 18 MM</t>
        </is>
      </c>
      <c r="E597" s="11">
        <f t="array" ref="E597">_xlfn.XLOOKUP(D597,Insumos!B:B,Insumos!C:$C)</f>
        <v/>
      </c>
      <c r="F597" s="14" t="n">
        <v>1.336</v>
      </c>
      <c r="G597" s="92">
        <f t="array" ref="G597">IF(B597="insumo",_xlfn.XLOOKUP($D597,Insumos!$B$1:$B$996,Insumos!$D$1:$D$996),"")</f>
        <v/>
      </c>
      <c r="H597" s="92" t="n">
        <v>79.2214876033058</v>
      </c>
      <c r="I597" s="2162" t="n">
        <v>0</v>
      </c>
      <c r="J597" s="2162" t="n">
        <v>0</v>
      </c>
      <c r="K597" s="2162" t="n"/>
    </row>
    <row r="598" outlineLevel="3" ht="15.75" customHeight="1">
      <c r="A598" s="10" t="n">
        <v>25</v>
      </c>
      <c r="B598" s="10" t="inlineStr">
        <is>
          <t>Insumo</t>
        </is>
      </c>
      <c r="C598" s="10" t="inlineStr">
        <is>
          <t>Fabricação de Fôrma para Pilares, em Chapa de Madeira Compensada Plastificada, E=18mm</t>
        </is>
      </c>
      <c r="D598" s="10" t="inlineStr">
        <is>
          <t>MADEIRA PINUS/SIMILAR - PONTALETE 75X75MM NBR 11700/15696</t>
        </is>
      </c>
      <c r="E598" s="11">
        <f t="array" ref="E598">_xlfn.XLOOKUP(D598,Insumos!B:B,Insumos!C:$C)</f>
        <v/>
      </c>
      <c r="F598" s="14" t="n">
        <v>0.4271428571428572</v>
      </c>
      <c r="G598" s="92">
        <f t="array" ref="G598">IF(B598="insumo",_xlfn.XLOOKUP($D598,Insumos!$B$1:$B$996,Insumos!$D$1:$D$996),"")</f>
        <v/>
      </c>
      <c r="H598" s="92" t="n">
        <v>2.99</v>
      </c>
      <c r="I598" s="2162" t="n">
        <v>0</v>
      </c>
      <c r="J598" s="2162" t="n">
        <v>0</v>
      </c>
      <c r="K598" s="2162" t="n"/>
    </row>
    <row r="599" outlineLevel="3" ht="15.75" customHeight="1">
      <c r="A599" s="10" t="n">
        <v>19</v>
      </c>
      <c r="B599" s="10" t="inlineStr">
        <is>
          <t>Insumo</t>
        </is>
      </c>
      <c r="C599" s="10" t="inlineStr">
        <is>
          <t>Fabricação de Fôrma para Pilares, em Chapa de Madeira Compensada Plastificada, E=18mm</t>
        </is>
      </c>
      <c r="D599" s="10" t="inlineStr">
        <is>
          <t>SARRAFO *2,5 X 7,5* CM EM PINUS, MISTA OU EQUIVALENTE DA REGIAO - BRUTA</t>
        </is>
      </c>
      <c r="E599" s="11">
        <f t="array" ref="E599">_xlfn.XLOOKUP(D599,Insumos!B:B,Insumos!C:$C)</f>
        <v/>
      </c>
      <c r="F599" s="14" t="n">
        <v>0.02309</v>
      </c>
      <c r="G599" s="92">
        <f t="array" ref="G599">IF(B599="insumo",_xlfn.XLOOKUP($D599,Insumos!$B$1:$B$996,Insumos!$D$1:$D$996),"")</f>
        <v/>
      </c>
      <c r="H599" s="92" t="n">
        <v>31.1715</v>
      </c>
      <c r="I599" s="2162" t="n">
        <v>0</v>
      </c>
      <c r="J599" s="2162" t="n">
        <v>0</v>
      </c>
      <c r="K599" s="2162" t="n"/>
    </row>
    <row r="600" outlineLevel="2" ht="15.75" customHeight="1">
      <c r="A600" s="1067" t="n">
        <v>1</v>
      </c>
      <c r="B600" s="1067" t="inlineStr">
        <is>
          <t>Serviço</t>
        </is>
      </c>
      <c r="C600" s="1067" t="inlineStr">
        <is>
          <t>Fabricação de Fôrma para Vigas, em Chapa de Madeira Compensada Plastificada, E=18mm</t>
        </is>
      </c>
      <c r="D600" s="1067" t="inlineStr">
        <is>
          <t>Fabricação de Fôrma para Vigas, em Chapa de Madeira Compensada Plastificada, E=18mm</t>
        </is>
      </c>
      <c r="E600" s="1068" t="inlineStr">
        <is>
          <t>M2</t>
        </is>
      </c>
      <c r="F600" s="1067" t="n"/>
      <c r="G600" s="1069">
        <f t="array" ref="G600">IF(B600="insumo",_xlfn.XLOOKUP($D600,Insumos!$B$1:$B$996,Insumos!$D$1:$D$996),"")</f>
        <v/>
      </c>
      <c r="H600" s="1069" t="n">
        <v>81.4119442857143</v>
      </c>
      <c r="I600" s="2161" t="n">
        <v>0</v>
      </c>
      <c r="J600" s="2161" t="n">
        <v>0</v>
      </c>
      <c r="K600" s="2161" t="n"/>
    </row>
    <row r="601" outlineLevel="3" ht="15.75" customHeight="1">
      <c r="A601" s="10" t="n">
        <v>40</v>
      </c>
      <c r="B601" s="10" t="inlineStr">
        <is>
          <t>Insumo</t>
        </is>
      </c>
      <c r="C601" s="10" t="inlineStr">
        <is>
          <t>Fabricação de Fôrma para Vigas, em Chapa de Madeira Compensada Plastificada, E=18mm</t>
        </is>
      </c>
      <c r="D601" s="10" t="inlineStr">
        <is>
          <t>PREGO DE ACO POLIDO COM CABECA 17 X 21 (2 X 11)</t>
        </is>
      </c>
      <c r="E601" s="11">
        <f t="array" ref="E601">_xlfn.XLOOKUP(D601,Insumos!B:B,Insumos!C:$C)</f>
        <v/>
      </c>
      <c r="F601" s="14" t="n">
        <v>0.159</v>
      </c>
      <c r="G601" s="92">
        <f t="array" ref="G601">IF(B601="insumo",_xlfn.XLOOKUP($D601,Insumos!$B$1:$B$996,Insumos!$D$1:$D$996),"")</f>
        <v/>
      </c>
      <c r="H601" s="92" t="n">
        <v>2.88267</v>
      </c>
      <c r="I601" s="2162" t="n">
        <v>0</v>
      </c>
      <c r="J601" s="2162" t="n">
        <v>0</v>
      </c>
      <c r="K601" s="2162" t="n"/>
    </row>
    <row r="602" outlineLevel="3" ht="15.75" customHeight="1">
      <c r="A602" s="10" t="n">
        <v>5</v>
      </c>
      <c r="B602" s="10" t="inlineStr">
        <is>
          <t>Insumo</t>
        </is>
      </c>
      <c r="C602" s="10" t="inlineStr">
        <is>
          <t>Fabricação de Fôrma para Vigas, em Chapa de Madeira Compensada Plastificada, E=18mm</t>
        </is>
      </c>
      <c r="D602" s="10" t="inlineStr">
        <is>
          <t>CHAPA/PAINEL DE MADEIRA COMPENSADA RESINADA, DE 2200 X 1100 MM, E = 18 MM</t>
        </is>
      </c>
      <c r="E602" s="11">
        <f t="array" ref="E602">_xlfn.XLOOKUP(D602,Insumos!B:B,Insumos!C:$C)</f>
        <v/>
      </c>
      <c r="F602" s="14" t="n">
        <v>1.146</v>
      </c>
      <c r="G602" s="92">
        <f t="array" ref="G602">IF(B602="insumo",_xlfn.XLOOKUP($D602,Insumos!$B$1:$B$996,Insumos!$D$1:$D$996),"")</f>
        <v/>
      </c>
      <c r="H602" s="92" t="n">
        <v>52.7192742857143</v>
      </c>
      <c r="I602" s="2162" t="n">
        <v>0</v>
      </c>
      <c r="J602" s="2162" t="n">
        <v>0</v>
      </c>
      <c r="K602" s="2162" t="n"/>
    </row>
    <row r="603" outlineLevel="3" ht="15.75" customHeight="1">
      <c r="A603" s="10" t="n">
        <v>25</v>
      </c>
      <c r="B603" s="10" t="inlineStr">
        <is>
          <t>Insumo</t>
        </is>
      </c>
      <c r="C603" s="10" t="inlineStr">
        <is>
          <t>Fabricação de Fôrma para Vigas, em Chapa de Madeira Compensada Plastificada, E=18mm</t>
        </is>
      </c>
      <c r="D603" s="10" t="inlineStr">
        <is>
          <t>MADEIRA PINUS/SIMILAR - PONTALETE 75X75MM NBR 11700/15696</t>
        </is>
      </c>
      <c r="E603" s="11">
        <f t="array" ref="E603">_xlfn.XLOOKUP(D603,Insumos!B:B,Insumos!C:$C)</f>
        <v/>
      </c>
      <c r="F603" s="14" t="n">
        <v>0.3357142857142857</v>
      </c>
      <c r="G603" s="92">
        <f t="array" ref="G603">IF(B603="insumo",_xlfn.XLOOKUP($D603,Insumos!$B$1:$B$996,Insumos!$D$1:$D$996),"")</f>
        <v/>
      </c>
      <c r="H603" s="92" t="n">
        <v>2.35</v>
      </c>
      <c r="I603" s="2162" t="n">
        <v>0</v>
      </c>
      <c r="J603" s="2162" t="n">
        <v>0</v>
      </c>
      <c r="K603" s="2162" t="n"/>
    </row>
    <row r="604" outlineLevel="3" ht="15.75" customHeight="1">
      <c r="A604" s="10" t="n">
        <v>19</v>
      </c>
      <c r="B604" s="10" t="inlineStr">
        <is>
          <t>Insumo</t>
        </is>
      </c>
      <c r="C604" s="10" t="inlineStr">
        <is>
          <t>Fabricação de Fôrma para Vigas, em Chapa de Madeira Compensada Plastificada, E=18mm</t>
        </is>
      </c>
      <c r="D604" s="10" t="inlineStr">
        <is>
          <t>SARRAFO *2,5 X 7,5* CM EM PINUS, MISTA OU EQUIVALENTE DA REGIAO - BRUTA</t>
        </is>
      </c>
      <c r="E604" s="11">
        <f t="array" ref="E604">_xlfn.XLOOKUP(D604,Insumos!B:B,Insumos!C:$C)</f>
        <v/>
      </c>
      <c r="F604" s="14" t="n">
        <v>0.01737777777777778</v>
      </c>
      <c r="G604" s="92">
        <f t="array" ref="G604">IF(B604="insumo",_xlfn.XLOOKUP($D604,Insumos!$B$1:$B$996,Insumos!$D$1:$D$996),"")</f>
        <v/>
      </c>
      <c r="H604" s="92" t="n">
        <v>23.46</v>
      </c>
      <c r="I604" s="2162" t="n">
        <v>0</v>
      </c>
      <c r="J604" s="2162" t="n">
        <v>0</v>
      </c>
      <c r="K604" s="2162" t="n"/>
    </row>
    <row r="605" outlineLevel="2" ht="15.75" customHeight="1">
      <c r="A605" s="1067" t="n">
        <v>1</v>
      </c>
      <c r="B605" s="1067" t="inlineStr">
        <is>
          <t>Serviço</t>
        </is>
      </c>
      <c r="C605" s="1067" t="inlineStr">
        <is>
          <t>Fabricação de Fôrma para Lajes, em Chapa de Madeira Compensada Plastificada, E=18mm</t>
        </is>
      </c>
      <c r="D605" s="1067" t="inlineStr">
        <is>
          <t>Fabricação de Fôrma para Lajes, em Chapa de Madeira Compensada Plastificada, E=18mm</t>
        </is>
      </c>
      <c r="E605" s="1068" t="inlineStr">
        <is>
          <t>M2</t>
        </is>
      </c>
      <c r="F605" s="1067" t="n"/>
      <c r="G605" s="1069">
        <f t="array" ref="G605">IF(B605="insumo",_xlfn.XLOOKUP($D605,Insumos!$B$1:$B$996,Insumos!$D$1:$D$996),"")</f>
        <v/>
      </c>
      <c r="H605" s="1069" t="n">
        <v>55.6019442857143</v>
      </c>
      <c r="I605" s="2161" t="n">
        <v>0</v>
      </c>
      <c r="J605" s="2161" t="n">
        <v>0</v>
      </c>
      <c r="K605" s="2161" t="n"/>
    </row>
    <row r="606" outlineLevel="3" ht="15.75" customHeight="1">
      <c r="A606" s="10" t="n">
        <v>40</v>
      </c>
      <c r="B606" s="10" t="inlineStr">
        <is>
          <t>Insumo</t>
        </is>
      </c>
      <c r="C606" s="10" t="inlineStr">
        <is>
          <t>Fabricação de Fôrma para Lajes, em Chapa de Madeira Compensada Plastificada, E=18mm</t>
        </is>
      </c>
      <c r="D606" s="10" t="inlineStr">
        <is>
          <t>PREGO DE ACO POLIDO COM CABECA 17 X 21 (2 X 11)</t>
        </is>
      </c>
      <c r="E606" s="11">
        <f t="array" ref="E606">_xlfn.XLOOKUP(D606,Insumos!B:B,Insumos!C:$C)</f>
        <v/>
      </c>
      <c r="F606" s="14" t="n">
        <v>0.159</v>
      </c>
      <c r="G606" s="92">
        <f t="array" ref="G606">IF(B606="insumo",_xlfn.XLOOKUP($D606,Insumos!$B$1:$B$996,Insumos!$D$1:$D$996),"")</f>
        <v/>
      </c>
      <c r="H606" s="92" t="n">
        <v>2.88267</v>
      </c>
      <c r="I606" s="2162" t="n">
        <v>0</v>
      </c>
      <c r="J606" s="2162" t="n">
        <v>0</v>
      </c>
      <c r="K606" s="2162" t="n"/>
    </row>
    <row r="607" outlineLevel="3" ht="15.75" customHeight="1">
      <c r="A607" s="10" t="n">
        <v>5</v>
      </c>
      <c r="B607" s="10" t="inlineStr">
        <is>
          <t>Insumo</t>
        </is>
      </c>
      <c r="C607" s="10" t="inlineStr">
        <is>
          <t>Fabricação de Fôrma para Lajes, em Chapa de Madeira Compensada Plastificada, E=18mm</t>
        </is>
      </c>
      <c r="D607" s="10" t="inlineStr">
        <is>
          <t>CHAPA/PAINEL DE MADEIRA COMPENSADA RESINADA, DE 2200 X 1100 MM, E = 18 MM</t>
        </is>
      </c>
      <c r="E607" s="11">
        <f t="array" ref="E607">_xlfn.XLOOKUP(D607,Insumos!B:B,Insumos!C:$C)</f>
        <v/>
      </c>
      <c r="F607" s="14" t="n">
        <v>1.146</v>
      </c>
      <c r="G607" s="92">
        <f t="array" ref="G607">IF(B607="insumo",_xlfn.XLOOKUP($D607,Insumos!$B$1:$B$996,Insumos!$D$1:$D$996),"")</f>
        <v/>
      </c>
      <c r="H607" s="92" t="n">
        <v>52.7192742857143</v>
      </c>
      <c r="I607" s="2162" t="n">
        <v>0</v>
      </c>
      <c r="J607" s="2162" t="n">
        <v>0</v>
      </c>
      <c r="K607" s="2162" t="n"/>
    </row>
    <row r="608" outlineLevel="2" ht="15.75" customHeight="1">
      <c r="A608" s="1067" t="n">
        <v>1</v>
      </c>
      <c r="B608" s="1067" t="inlineStr">
        <is>
          <t>Serviço</t>
        </is>
      </c>
      <c r="C608" s="1067" t="inlineStr">
        <is>
          <t>Fabricação de Fôrma para Pilares, em Chapa de Madeira Compensada Resinada, E=18mm</t>
        </is>
      </c>
      <c r="D608" s="1067" t="inlineStr">
        <is>
          <t>Fabricação de Fôrma para Pilares, em Chapa de Madeira Compensada Resinada, E=18mm</t>
        </is>
      </c>
      <c r="E608" s="1068" t="inlineStr">
        <is>
          <t>M2</t>
        </is>
      </c>
      <c r="F608" s="1067" t="n"/>
      <c r="G608" s="1069">
        <f t="array" ref="G608">IF(B608="insumo",_xlfn.XLOOKUP($D608,Insumos!$B$1:$B$996,Insumos!$D$1:$D$996),"")</f>
        <v/>
      </c>
      <c r="H608" s="1069" t="n">
        <v>99.39235714285709</v>
      </c>
      <c r="I608" s="2161" t="n">
        <v>0</v>
      </c>
      <c r="J608" s="2161" t="n">
        <v>0</v>
      </c>
      <c r="K608" s="2161" t="n"/>
    </row>
    <row r="609" outlineLevel="3" ht="15.75" customHeight="1">
      <c r="A609" s="10" t="n">
        <v>40</v>
      </c>
      <c r="B609" s="10" t="inlineStr">
        <is>
          <t>Insumo</t>
        </is>
      </c>
      <c r="C609" s="10" t="inlineStr">
        <is>
          <t>Fabricação de Fôrma para Pilares, em Chapa de Madeira Compensada Resinada, E=18mm</t>
        </is>
      </c>
      <c r="D609" s="10" t="inlineStr">
        <is>
          <t>PREGO DE ACO POLIDO COM CABECA 17 X 21 (2 X 11)</t>
        </is>
      </c>
      <c r="E609" s="11">
        <f t="array" ref="E609">_xlfn.XLOOKUP(D609,Insumos!B:B,Insumos!C:$C)</f>
        <v/>
      </c>
      <c r="F609" s="14" t="n">
        <v>0.208</v>
      </c>
      <c r="G609" s="92">
        <f t="array" ref="G609">IF(B609="insumo",_xlfn.XLOOKUP($D609,Insumos!$B$1:$B$996,Insumos!$D$1:$D$996),"")</f>
        <v/>
      </c>
      <c r="H609" s="92" t="n">
        <v>3.77104</v>
      </c>
      <c r="I609" s="2162" t="n">
        <v>0</v>
      </c>
      <c r="J609" s="2162" t="n">
        <v>0</v>
      </c>
      <c r="K609" s="2162" t="n"/>
    </row>
    <row r="610" outlineLevel="3" ht="15.75" customHeight="1">
      <c r="A610" s="10" t="n">
        <v>5</v>
      </c>
      <c r="B610" s="10" t="inlineStr">
        <is>
          <t>Insumo</t>
        </is>
      </c>
      <c r="C610" s="10" t="inlineStr">
        <is>
          <t>Fabricação de Fôrma para Pilares, em Chapa de Madeira Compensada Resinada, E=18mm</t>
        </is>
      </c>
      <c r="D610" s="10" t="inlineStr">
        <is>
          <t>CHAPA/PAINEL DE MADEIRA COMPENSADA RESINADA, DE 2200 X 1100 MM, E = 18 MM</t>
        </is>
      </c>
      <c r="E610" s="11">
        <f t="array" ref="E610">_xlfn.XLOOKUP(D610,Insumos!B:B,Insumos!C:$C)</f>
        <v/>
      </c>
      <c r="F610" s="14" t="n">
        <v>1.336</v>
      </c>
      <c r="G610" s="92">
        <f t="array" ref="G610">IF(B610="insumo",_xlfn.XLOOKUP($D610,Insumos!$B$1:$B$996,Insumos!$D$1:$D$996),"")</f>
        <v/>
      </c>
      <c r="H610" s="92" t="n">
        <v>61.4598171428571</v>
      </c>
      <c r="I610" s="2162" t="n">
        <v>0</v>
      </c>
      <c r="J610" s="2162" t="n">
        <v>0</v>
      </c>
      <c r="K610" s="2162" t="n"/>
    </row>
    <row r="611" outlineLevel="3" ht="15.75" customHeight="1">
      <c r="A611" s="10" t="n">
        <v>25</v>
      </c>
      <c r="B611" s="10" t="inlineStr">
        <is>
          <t>Insumo</t>
        </is>
      </c>
      <c r="C611" s="10" t="inlineStr">
        <is>
          <t>Fabricação de Fôrma para Pilares, em Chapa de Madeira Compensada Resinada, E=18mm</t>
        </is>
      </c>
      <c r="D611" s="10" t="inlineStr">
        <is>
          <t>MADEIRA PINUS/SIMILAR - PONTALETE 75X75MM NBR 11700/15696</t>
        </is>
      </c>
      <c r="E611" s="11">
        <f t="array" ref="E611">_xlfn.XLOOKUP(D611,Insumos!B:B,Insumos!C:$C)</f>
        <v/>
      </c>
      <c r="F611" s="14" t="n">
        <v>0.4271428571428572</v>
      </c>
      <c r="G611" s="92">
        <f t="array" ref="G611">IF(B611="insumo",_xlfn.XLOOKUP($D611,Insumos!$B$1:$B$996,Insumos!$D$1:$D$996),"")</f>
        <v/>
      </c>
      <c r="H611" s="92" t="n">
        <v>2.99</v>
      </c>
      <c r="I611" s="2162" t="n">
        <v>0</v>
      </c>
      <c r="J611" s="2162" t="n">
        <v>0</v>
      </c>
      <c r="K611" s="2162" t="n"/>
    </row>
    <row r="612" outlineLevel="3" ht="15.75" customHeight="1">
      <c r="A612" s="10" t="n">
        <v>19</v>
      </c>
      <c r="B612" s="10" t="inlineStr">
        <is>
          <t>Insumo</t>
        </is>
      </c>
      <c r="C612" s="10" t="inlineStr">
        <is>
          <t>Fabricação de Fôrma para Pilares, em Chapa de Madeira Compensada Resinada, E=18mm</t>
        </is>
      </c>
      <c r="D612" s="10" t="inlineStr">
        <is>
          <t>SARRAFO *2,5 X 7,5* CM EM PINUS, MISTA OU EQUIVALENTE DA REGIAO - BRUTA</t>
        </is>
      </c>
      <c r="E612" s="11">
        <f t="array" ref="E612">_xlfn.XLOOKUP(D612,Insumos!B:B,Insumos!C:$C)</f>
        <v/>
      </c>
      <c r="F612" s="14" t="n">
        <v>0.02309</v>
      </c>
      <c r="G612" s="92">
        <f t="array" ref="G612">IF(B612="insumo",_xlfn.XLOOKUP($D612,Insumos!$B$1:$B$996,Insumos!$D$1:$D$996),"")</f>
        <v/>
      </c>
      <c r="H612" s="92" t="n">
        <v>31.1715</v>
      </c>
      <c r="I612" s="2162" t="n">
        <v>0</v>
      </c>
      <c r="J612" s="2162" t="n">
        <v>0</v>
      </c>
      <c r="K612" s="2162" t="n"/>
    </row>
    <row r="613" outlineLevel="2" ht="15.75" customHeight="1">
      <c r="A613" s="1067" t="n">
        <v>1</v>
      </c>
      <c r="B613" s="1067" t="inlineStr">
        <is>
          <t>Serviço</t>
        </is>
      </c>
      <c r="C613" s="1067" t="inlineStr">
        <is>
          <t>Fabricação de Fôrma para Vigas, em Chapa de Madeira Compensada Resinada, E=18mm</t>
        </is>
      </c>
      <c r="D613" s="1067" t="inlineStr">
        <is>
          <t>Fabricação de Fôrma para Vigas, em Chapa de Madeira Compensada Resinada, E=18mm</t>
        </is>
      </c>
      <c r="E613" s="1068" t="inlineStr">
        <is>
          <t>M2</t>
        </is>
      </c>
      <c r="F613" s="1067" t="n"/>
      <c r="G613" s="1069">
        <f t="array" ref="G613">IF(B613="insumo",_xlfn.XLOOKUP($D613,Insumos!$B$1:$B$996,Insumos!$D$1:$D$996),"")</f>
        <v/>
      </c>
      <c r="H613" s="1069" t="n">
        <v>81.4119442857143</v>
      </c>
      <c r="I613" s="2161" t="n">
        <v>0</v>
      </c>
      <c r="J613" s="2161" t="n">
        <v>0</v>
      </c>
      <c r="K613" s="2161" t="n"/>
    </row>
    <row r="614" outlineLevel="3" ht="15.75" customHeight="1">
      <c r="A614" s="10" t="n">
        <v>40</v>
      </c>
      <c r="B614" s="10" t="inlineStr">
        <is>
          <t>Insumo</t>
        </is>
      </c>
      <c r="C614" s="10" t="inlineStr">
        <is>
          <t>Fabricação de Fôrma para Vigas, em Chapa de Madeira Compensada Resinada, E=18mm</t>
        </is>
      </c>
      <c r="D614" s="10" t="inlineStr">
        <is>
          <t>PREGO DE ACO POLIDO COM CABECA 17 X 21 (2 X 11)</t>
        </is>
      </c>
      <c r="E614" s="11">
        <f t="array" ref="E614">_xlfn.XLOOKUP(D614,Insumos!B:B,Insumos!C:$C)</f>
        <v/>
      </c>
      <c r="F614" s="14" t="n">
        <v>0.159</v>
      </c>
      <c r="G614" s="92">
        <f t="array" ref="G614">IF(B614="insumo",_xlfn.XLOOKUP($D614,Insumos!$B$1:$B$996,Insumos!$D$1:$D$996),"")</f>
        <v/>
      </c>
      <c r="H614" s="92" t="n">
        <v>2.88267</v>
      </c>
      <c r="I614" s="2162" t="n">
        <v>0</v>
      </c>
      <c r="J614" s="2162" t="n">
        <v>0</v>
      </c>
      <c r="K614" s="2162" t="n"/>
    </row>
    <row r="615" outlineLevel="3" ht="15.75" customHeight="1">
      <c r="A615" s="10" t="n">
        <v>5</v>
      </c>
      <c r="B615" s="10" t="inlineStr">
        <is>
          <t>Insumo</t>
        </is>
      </c>
      <c r="C615" s="10" t="inlineStr">
        <is>
          <t>Fabricação de Fôrma para Vigas, em Chapa de Madeira Compensada Resinada, E=18mm</t>
        </is>
      </c>
      <c r="D615" s="10" t="inlineStr">
        <is>
          <t>CHAPA/PAINEL DE MADEIRA COMPENSADA RESINADA, DE 2200 X 1100 MM, E = 18 MM</t>
        </is>
      </c>
      <c r="E615" s="11">
        <f t="array" ref="E615">_xlfn.XLOOKUP(D615,Insumos!B:B,Insumos!C:$C)</f>
        <v/>
      </c>
      <c r="F615" s="14" t="n">
        <v>1.146</v>
      </c>
      <c r="G615" s="92">
        <f t="array" ref="G615">IF(B615="insumo",_xlfn.XLOOKUP($D615,Insumos!$B$1:$B$996,Insumos!$D$1:$D$996),"")</f>
        <v/>
      </c>
      <c r="H615" s="92" t="n">
        <v>52.7192742857143</v>
      </c>
      <c r="I615" s="2162" t="n">
        <v>0</v>
      </c>
      <c r="J615" s="2162" t="n">
        <v>0</v>
      </c>
      <c r="K615" s="2162" t="n"/>
    </row>
    <row r="616" outlineLevel="3" ht="15.75" customHeight="1">
      <c r="A616" s="10" t="n">
        <v>25</v>
      </c>
      <c r="B616" s="10" t="inlineStr">
        <is>
          <t>Insumo</t>
        </is>
      </c>
      <c r="C616" s="10" t="inlineStr">
        <is>
          <t>Fabricação de Fôrma para Vigas, em Chapa de Madeira Compensada Resinada, E=18mm</t>
        </is>
      </c>
      <c r="D616" s="10" t="inlineStr">
        <is>
          <t>MADEIRA PINUS/SIMILAR - PONTALETE 75X75MM NBR 11700/15696</t>
        </is>
      </c>
      <c r="E616" s="11">
        <f t="array" ref="E616">_xlfn.XLOOKUP(D616,Insumos!B:B,Insumos!C:$C)</f>
        <v/>
      </c>
      <c r="F616" s="14" t="n">
        <v>0.3357142857142857</v>
      </c>
      <c r="G616" s="92">
        <f t="array" ref="G616">IF(B616="insumo",_xlfn.XLOOKUP($D616,Insumos!$B$1:$B$996,Insumos!$D$1:$D$996),"")</f>
        <v/>
      </c>
      <c r="H616" s="92" t="n">
        <v>2.35</v>
      </c>
      <c r="I616" s="2162" t="n">
        <v>0</v>
      </c>
      <c r="J616" s="2162" t="n">
        <v>0</v>
      </c>
      <c r="K616" s="2162" t="n"/>
    </row>
    <row r="617" outlineLevel="3" ht="15.75" customHeight="1">
      <c r="A617" s="10" t="n">
        <v>19</v>
      </c>
      <c r="B617" s="10" t="inlineStr">
        <is>
          <t>Insumo</t>
        </is>
      </c>
      <c r="C617" s="10" t="inlineStr">
        <is>
          <t>Fabricação de Fôrma para Vigas, em Chapa de Madeira Compensada Resinada, E=18mm</t>
        </is>
      </c>
      <c r="D617" s="10" t="inlineStr">
        <is>
          <t>SARRAFO *2,5 X 7,5* CM EM PINUS, MISTA OU EQUIVALENTE DA REGIAO - BRUTA</t>
        </is>
      </c>
      <c r="E617" s="11">
        <f t="array" ref="E617">_xlfn.XLOOKUP(D617,Insumos!B:B,Insumos!C:$C)</f>
        <v/>
      </c>
      <c r="F617" s="14" t="n">
        <v>0.01737777777777778</v>
      </c>
      <c r="G617" s="92">
        <f t="array" ref="G617">IF(B617="insumo",_xlfn.XLOOKUP($D617,Insumos!$B$1:$B$996,Insumos!$D$1:$D$996),"")</f>
        <v/>
      </c>
      <c r="H617" s="92" t="n">
        <v>23.46</v>
      </c>
      <c r="I617" s="2162" t="n">
        <v>0</v>
      </c>
      <c r="J617" s="2162" t="n">
        <v>0</v>
      </c>
      <c r="K617" s="2162" t="n"/>
    </row>
    <row r="618" outlineLevel="2" ht="15.75" customHeight="1">
      <c r="A618" s="1067" t="n">
        <v>1</v>
      </c>
      <c r="B618" s="1067" t="inlineStr">
        <is>
          <t>Serviço</t>
        </is>
      </c>
      <c r="C618" s="1067" t="inlineStr">
        <is>
          <t>Fabricação de Fôrma para Lajes, em Chapa de Madeira Compensada Resinada, E=18mm</t>
        </is>
      </c>
      <c r="D618" s="1067" t="inlineStr">
        <is>
          <t>Fabricação de Fôrma para Lajes, em Chapa de Madeira Compensada Resinada, E=18mm</t>
        </is>
      </c>
      <c r="E618" s="1068" t="inlineStr">
        <is>
          <t>M2</t>
        </is>
      </c>
      <c r="F618" s="1067" t="n"/>
      <c r="G618" s="1069">
        <f t="array" ref="G618">IF(B618="insumo",_xlfn.XLOOKUP($D618,Insumos!$B$1:$B$996,Insumos!$D$1:$D$996),"")</f>
        <v/>
      </c>
      <c r="H618" s="1069" t="n">
        <v>55.6019442857143</v>
      </c>
      <c r="I618" s="2161" t="n">
        <v>0</v>
      </c>
      <c r="J618" s="2161" t="n">
        <v>0</v>
      </c>
      <c r="K618" s="2161" t="n"/>
    </row>
    <row r="619" outlineLevel="3" ht="15.75" customHeight="1">
      <c r="A619" s="10" t="n">
        <v>40</v>
      </c>
      <c r="B619" s="10" t="inlineStr">
        <is>
          <t>Insumo</t>
        </is>
      </c>
      <c r="C619" s="10" t="inlineStr">
        <is>
          <t>Fabricação de Fôrma para Lajes, em Chapa de Madeira Compensada Resinada, E=18mm</t>
        </is>
      </c>
      <c r="D619" s="10" t="inlineStr">
        <is>
          <t>PREGO DE ACO POLIDO COM CABECA 17 X 21 (2 X 11)</t>
        </is>
      </c>
      <c r="E619" s="11">
        <f t="array" ref="E619">_xlfn.XLOOKUP(D619,Insumos!B:B,Insumos!C:$C)</f>
        <v/>
      </c>
      <c r="F619" s="14" t="n">
        <v>0.159</v>
      </c>
      <c r="G619" s="92">
        <f t="array" ref="G619">IF(B619="insumo",_xlfn.XLOOKUP($D619,Insumos!$B$1:$B$996,Insumos!$D$1:$D$996),"")</f>
        <v/>
      </c>
      <c r="H619" s="92" t="n">
        <v>2.88267</v>
      </c>
      <c r="I619" s="2162" t="n">
        <v>0</v>
      </c>
      <c r="J619" s="2162" t="n">
        <v>0</v>
      </c>
      <c r="K619" s="2162" t="n"/>
    </row>
    <row r="620" outlineLevel="3" ht="15.75" customHeight="1">
      <c r="A620" s="10" t="n">
        <v>5</v>
      </c>
      <c r="B620" s="10" t="inlineStr">
        <is>
          <t>Insumo</t>
        </is>
      </c>
      <c r="C620" s="10" t="inlineStr">
        <is>
          <t>Fabricação de Fôrma para Lajes, em Chapa de Madeira Compensada Resinada, E=18mm</t>
        </is>
      </c>
      <c r="D620" s="10" t="inlineStr">
        <is>
          <t>CHAPA/PAINEL DE MADEIRA COMPENSADA RESINADA, DE 2200 X 1100 MM, E = 18 MM</t>
        </is>
      </c>
      <c r="E620" s="11">
        <f t="array" ref="E620">_xlfn.XLOOKUP(D620,Insumos!B:B,Insumos!C:$C)</f>
        <v/>
      </c>
      <c r="F620" s="14" t="n">
        <v>1.146</v>
      </c>
      <c r="G620" s="92">
        <f t="array" ref="G620">IF(B620="insumo",_xlfn.XLOOKUP($D620,Insumos!$B$1:$B$996,Insumos!$D$1:$D$996),"")</f>
        <v/>
      </c>
      <c r="H620" s="92" t="n">
        <v>52.7192742857143</v>
      </c>
      <c r="I620" s="2162" t="n">
        <v>0</v>
      </c>
      <c r="J620" s="2162" t="n">
        <v>0</v>
      </c>
      <c r="K620" s="2162" t="n"/>
    </row>
    <row r="621" outlineLevel="2" ht="12.75" customHeight="1">
      <c r="A621" s="1071" t="n">
        <v>1</v>
      </c>
      <c r="B621" s="1071" t="inlineStr">
        <is>
          <t>Serviço</t>
        </is>
      </c>
      <c r="C621" s="1071" t="inlineStr">
        <is>
          <t>Fabricação de Fôrma para Escadas, em Chapa de Madeira Compensada Resinada, E=17mm</t>
        </is>
      </c>
      <c r="D621" s="1071" t="inlineStr">
        <is>
          <t>Fabricação de Fôrma para Escadas, em Chapa de Madeira Compensada Resinada, E=17mm</t>
        </is>
      </c>
      <c r="E621" s="1072" t="inlineStr">
        <is>
          <t>M2</t>
        </is>
      </c>
      <c r="F621" s="1071" t="n"/>
      <c r="G621" s="1073">
        <f t="array" ref="G621">IF(B621="insumo",_xlfn.XLOOKUP($D621,Insumos!$B$1:$B$996,Insumos!$D$1:$D$996),"")</f>
        <v/>
      </c>
      <c r="H621" s="1073" t="n">
        <v>104.30944</v>
      </c>
      <c r="I621" s="2163" t="n">
        <v>0</v>
      </c>
      <c r="J621" s="2163" t="n">
        <v>0</v>
      </c>
      <c r="K621" s="2163" t="n"/>
    </row>
    <row r="622" outlineLevel="3" ht="12.75" customHeight="1">
      <c r="A622" s="82" t="n">
        <v>2</v>
      </c>
      <c r="B622" s="82" t="inlineStr">
        <is>
          <t>Insumo</t>
        </is>
      </c>
      <c r="C622" s="82" t="inlineStr">
        <is>
          <t>Fabricação de Fôrma para Escadas, em Chapa de Madeira Compensada Resinada, E=17mm</t>
        </is>
      </c>
      <c r="D622" s="82" t="inlineStr">
        <is>
          <t>PREGO DE ACO POLIDO COM CABECA 17 X 24 (2 1/4 X11)</t>
        </is>
      </c>
      <c r="E622" s="11">
        <f t="array" ref="E622">_xlfn.XLOOKUP(D622,Insumos!B:B,Insumos!C:$C)</f>
        <v/>
      </c>
      <c r="F622" s="2164" t="n">
        <v>0.07099999999999999</v>
      </c>
      <c r="G622" s="92">
        <f t="array" ref="G622">IF(B622="insumo",_xlfn.XLOOKUP($D622,Insumos!$B$1:$B$996,Insumos!$D$1:$D$996),"")</f>
        <v/>
      </c>
      <c r="H622" s="92" t="n">
        <v>1.12535</v>
      </c>
      <c r="I622" s="2165" t="n">
        <v>0</v>
      </c>
      <c r="J622" s="2165" t="n">
        <v>0</v>
      </c>
      <c r="K622" s="2165" t="n"/>
    </row>
    <row r="623" outlineLevel="3" ht="12.75" customHeight="1">
      <c r="A623" s="82" t="n">
        <v>3</v>
      </c>
      <c r="B623" s="82" t="inlineStr">
        <is>
          <t>Insumo</t>
        </is>
      </c>
      <c r="C623" s="82" t="inlineStr">
        <is>
          <t>Fabricação de Fôrma para Escadas, em Chapa de Madeira Compensada Resinada, E=17mm</t>
        </is>
      </c>
      <c r="D623" s="82" t="inlineStr">
        <is>
          <t>PREGO DE ACO POLIDO COM CABECA 15 X 15 (1 1/4 X 13)</t>
        </is>
      </c>
      <c r="E623" s="11">
        <f t="array" ref="E623">_xlfn.XLOOKUP(D623,Insumos!B:B,Insumos!C:$C)</f>
        <v/>
      </c>
      <c r="F623" s="2164" t="n">
        <v>0.031</v>
      </c>
      <c r="G623" s="92">
        <f t="array" ref="G623">IF(B623="insumo",_xlfn.XLOOKUP($D623,Insumos!$B$1:$B$996,Insumos!$D$1:$D$996),"")</f>
        <v/>
      </c>
      <c r="H623" s="92" t="n">
        <v>0.54653</v>
      </c>
      <c r="I623" s="2165" t="n">
        <v>0</v>
      </c>
      <c r="J623" s="2165" t="n">
        <v>0</v>
      </c>
      <c r="K623" s="2165" t="n"/>
    </row>
    <row r="624" outlineLevel="3" ht="12.75" customHeight="1">
      <c r="A624" s="82" t="n">
        <v>4</v>
      </c>
      <c r="B624" s="82" t="inlineStr">
        <is>
          <t>Insumo</t>
        </is>
      </c>
      <c r="C624" s="82" t="inlineStr">
        <is>
          <t>Fabricação de Fôrma para Escadas, em Chapa de Madeira Compensada Resinada, E=17mm</t>
        </is>
      </c>
      <c r="D624" s="82" t="inlineStr">
        <is>
          <t>CHAPA/PAINEL DE MADEIRA COMPENSADA RESINADA, DE 2200 X 1100 MM, E = 17 MM</t>
        </is>
      </c>
      <c r="E624" s="11">
        <f t="array" ref="E624">_xlfn.XLOOKUP(D624,Insumos!B:B,Insumos!C:$C)</f>
        <v/>
      </c>
      <c r="F624" s="2164" t="n">
        <v>1.336</v>
      </c>
      <c r="G624" s="92">
        <f t="array" ref="G624">IF(B624="insumo",_xlfn.XLOOKUP($D624,Insumos!$B$1:$B$996,Insumos!$D$1:$D$996),"")</f>
        <v/>
      </c>
      <c r="H624" s="92" t="n">
        <v>50.71456</v>
      </c>
      <c r="I624" s="2165" t="n">
        <v>0</v>
      </c>
      <c r="J624" s="2165" t="n">
        <v>0</v>
      </c>
      <c r="K624" s="2165" t="n"/>
    </row>
    <row r="625" outlineLevel="3" ht="12.75" customHeight="1">
      <c r="A625" s="82" t="n">
        <v>25</v>
      </c>
      <c r="B625" s="82" t="inlineStr">
        <is>
          <t>Insumo</t>
        </is>
      </c>
      <c r="C625" s="82" t="inlineStr">
        <is>
          <t>Fabricação de Fôrma para Escadas, em Chapa de Madeira Compensada Resinada, E=17mm</t>
        </is>
      </c>
      <c r="D625" s="82" t="inlineStr">
        <is>
          <t>MADEIRA PINUS/SIMILAR - PONTALETE 75X75MM NBR 11700/15696</t>
        </is>
      </c>
      <c r="E625" s="11">
        <f t="array" ref="E625">_xlfn.XLOOKUP(D625,Insumos!B:B,Insumos!C:$C)</f>
        <v/>
      </c>
      <c r="F625" s="2164" t="n">
        <v>6.704</v>
      </c>
      <c r="G625" s="92">
        <f t="array" ref="G625">IF(B625="insumo",_xlfn.XLOOKUP($D625,Insumos!$B$1:$B$996,Insumos!$D$1:$D$996),"")</f>
        <v/>
      </c>
      <c r="H625" s="92" t="n">
        <v>46.928</v>
      </c>
      <c r="I625" s="2165" t="n">
        <v>0</v>
      </c>
      <c r="J625" s="2165" t="n">
        <v>0</v>
      </c>
      <c r="K625" s="2165" t="n"/>
    </row>
    <row r="626" outlineLevel="3" ht="12.75" customHeight="1">
      <c r="A626" s="82" t="n">
        <v>19</v>
      </c>
      <c r="B626" s="82" t="inlineStr">
        <is>
          <t>Insumo</t>
        </is>
      </c>
      <c r="C626" s="82" t="inlineStr">
        <is>
          <t>Fabricação de Fôrma para Escadas, em Chapa de Madeira Compensada Resinada, E=17mm</t>
        </is>
      </c>
      <c r="D626" s="82" t="inlineStr">
        <is>
          <t>SARRAFO *2,5 X 7,5* CM EM PINUS, MISTA OU EQUIVALENTE DA REGIAO - BRUTA</t>
        </is>
      </c>
      <c r="E626" s="11">
        <f t="array" ref="E626">_xlfn.XLOOKUP(D626,Insumos!B:B,Insumos!C:$C)</f>
        <v/>
      </c>
      <c r="F626" s="2164" t="n">
        <v>0.0037</v>
      </c>
      <c r="G626" s="92">
        <f t="array" ref="G626">IF(B626="insumo",_xlfn.XLOOKUP($D626,Insumos!$B$1:$B$996,Insumos!$D$1:$D$996),"")</f>
        <v/>
      </c>
      <c r="H626" s="92" t="n">
        <v>4.995</v>
      </c>
      <c r="I626" s="2165" t="n">
        <v>0</v>
      </c>
      <c r="J626" s="2165" t="n">
        <v>0</v>
      </c>
      <c r="K626" s="2165" t="n"/>
    </row>
    <row r="627" outlineLevel="2" ht="12.75" customHeight="1">
      <c r="A627" s="1071" t="n">
        <v>1</v>
      </c>
      <c r="B627" s="1071" t="inlineStr">
        <is>
          <t>Serviço</t>
        </is>
      </c>
      <c r="C627" s="1071" t="inlineStr">
        <is>
          <t>Fabricação de Fôrma para Pilares, em Chapa de Madeira Compensada Resinada, E=17mm</t>
        </is>
      </c>
      <c r="D627" s="1071" t="inlineStr">
        <is>
          <t>Fabricação de Fôrma para Pilares, em Chapa de Madeira Compensada Resinada, E=17mm</t>
        </is>
      </c>
      <c r="E627" s="1072" t="inlineStr">
        <is>
          <t>M2</t>
        </is>
      </c>
      <c r="F627" s="1071" t="n"/>
      <c r="G627" s="1073">
        <f t="array" ref="G627">IF(B627="insumo",_xlfn.XLOOKUP($D627,Insumos!$B$1:$B$996,Insumos!$D$1:$D$996),"")</f>
        <v/>
      </c>
      <c r="H627" s="1073" t="n">
        <v>88.64709999999999</v>
      </c>
      <c r="I627" s="2163" t="n">
        <v>0</v>
      </c>
      <c r="J627" s="2163" t="n">
        <v>0</v>
      </c>
      <c r="K627" s="2163" t="n"/>
    </row>
    <row r="628" outlineLevel="3" ht="12.75" customHeight="1">
      <c r="A628" s="82" t="n">
        <v>40</v>
      </c>
      <c r="B628" s="82" t="inlineStr">
        <is>
          <t>Insumo</t>
        </is>
      </c>
      <c r="C628" s="82" t="inlineStr">
        <is>
          <t>Fabricação de Fôrma para Pilares, em Chapa de Madeira Compensada Resinada, E=17mm</t>
        </is>
      </c>
      <c r="D628" s="82" t="inlineStr">
        <is>
          <t>PREGO DE ACO POLIDO COM CABECA 17 X 21 (2 X 11)</t>
        </is>
      </c>
      <c r="E628" s="11">
        <f t="array" ref="E628">_xlfn.XLOOKUP(D628,Insumos!B:B,Insumos!C:$C)</f>
        <v/>
      </c>
      <c r="F628" s="2164" t="n">
        <v>0.208</v>
      </c>
      <c r="G628" s="92">
        <f t="array" ref="G628">IF(B628="insumo",_xlfn.XLOOKUP($D628,Insumos!$B$1:$B$996,Insumos!$D$1:$D$996),"")</f>
        <v/>
      </c>
      <c r="H628" s="92" t="n">
        <v>3.77104</v>
      </c>
      <c r="I628" s="2165" t="n">
        <v>0</v>
      </c>
      <c r="J628" s="2165" t="n">
        <v>0</v>
      </c>
      <c r="K628" s="2165" t="n"/>
    </row>
    <row r="629" outlineLevel="3" ht="12.75" customHeight="1">
      <c r="A629" s="82" t="n">
        <v>4</v>
      </c>
      <c r="B629" s="82" t="inlineStr">
        <is>
          <t>Insumo</t>
        </is>
      </c>
      <c r="C629" s="82" t="inlineStr">
        <is>
          <t>Fabricação de Fôrma para Pilares, em Chapa de Madeira Compensada Resinada, E=17mm</t>
        </is>
      </c>
      <c r="D629" s="82" t="inlineStr">
        <is>
          <t>CHAPA/PAINEL DE MADEIRA COMPENSADA RESINADA, DE 2200 X 1100 MM, E = 17 MM</t>
        </is>
      </c>
      <c r="E629" s="11">
        <f t="array" ref="E629">_xlfn.XLOOKUP(D629,Insumos!B:B,Insumos!C:$C)</f>
        <v/>
      </c>
      <c r="F629" s="2164" t="n">
        <v>1.336</v>
      </c>
      <c r="G629" s="92">
        <f t="array" ref="G629">IF(B629="insumo",_xlfn.XLOOKUP($D629,Insumos!$B$1:$B$996,Insumos!$D$1:$D$996),"")</f>
        <v/>
      </c>
      <c r="H629" s="92" t="n">
        <v>50.71456</v>
      </c>
      <c r="I629" s="2165" t="n">
        <v>0</v>
      </c>
      <c r="J629" s="2165" t="n">
        <v>0</v>
      </c>
      <c r="K629" s="2165" t="n"/>
    </row>
    <row r="630" outlineLevel="3" ht="12.75" customHeight="1">
      <c r="A630" s="82" t="n">
        <v>25</v>
      </c>
      <c r="B630" s="82" t="inlineStr">
        <is>
          <t>Insumo</t>
        </is>
      </c>
      <c r="C630" s="82" t="inlineStr">
        <is>
          <t>Fabricação de Fôrma para Pilares, em Chapa de Madeira Compensada Resinada, E=17mm</t>
        </is>
      </c>
      <c r="D630" s="82" t="inlineStr">
        <is>
          <t>MADEIRA PINUS/SIMILAR - PONTALETE 75X75MM NBR 11700/15696</t>
        </is>
      </c>
      <c r="E630" s="11">
        <f t="array" ref="E630">_xlfn.XLOOKUP(D630,Insumos!B:B,Insumos!C:$C)</f>
        <v/>
      </c>
      <c r="F630" s="2164" t="n">
        <v>0.4271428571428572</v>
      </c>
      <c r="G630" s="92">
        <f t="array" ref="G630">IF(B630="insumo",_xlfn.XLOOKUP($D630,Insumos!$B$1:$B$996,Insumos!$D$1:$D$996),"")</f>
        <v/>
      </c>
      <c r="H630" s="92" t="n">
        <v>2.99</v>
      </c>
      <c r="I630" s="2165" t="n">
        <v>0</v>
      </c>
      <c r="J630" s="2165" t="n">
        <v>0</v>
      </c>
      <c r="K630" s="2165" t="n"/>
    </row>
    <row r="631" outlineLevel="3" ht="12.75" customHeight="1">
      <c r="A631" s="82" t="n">
        <v>19</v>
      </c>
      <c r="B631" s="82" t="inlineStr">
        <is>
          <t>Insumo</t>
        </is>
      </c>
      <c r="C631" s="82" t="inlineStr">
        <is>
          <t>Fabricação de Fôrma para Pilares, em Chapa de Madeira Compensada Resinada, E=17mm</t>
        </is>
      </c>
      <c r="D631" s="82" t="inlineStr">
        <is>
          <t>SARRAFO *2,5 X 7,5* CM EM PINUS, MISTA OU EQUIVALENTE DA REGIAO - BRUTA</t>
        </is>
      </c>
      <c r="E631" s="11">
        <f t="array" ref="E631">_xlfn.XLOOKUP(D631,Insumos!B:B,Insumos!C:$C)</f>
        <v/>
      </c>
      <c r="F631" s="2164" t="n">
        <v>0.02309</v>
      </c>
      <c r="G631" s="92">
        <f t="array" ref="G631">IF(B631="insumo",_xlfn.XLOOKUP($D631,Insumos!$B$1:$B$996,Insumos!$D$1:$D$996),"")</f>
        <v/>
      </c>
      <c r="H631" s="92" t="n">
        <v>31.1715</v>
      </c>
      <c r="I631" s="2165" t="n">
        <v>0</v>
      </c>
      <c r="J631" s="2165" t="n">
        <v>0</v>
      </c>
      <c r="K631" s="2165" t="n"/>
    </row>
    <row r="632" outlineLevel="2" ht="12.75" customHeight="1">
      <c r="A632" s="1071" t="n">
        <v>1</v>
      </c>
      <c r="B632" s="1071" t="inlineStr">
        <is>
          <t>Serviço</t>
        </is>
      </c>
      <c r="C632" s="1071" t="inlineStr">
        <is>
          <t>Fabricação de Fôrma para Vigas, em Chapa de Madeira Compensada Resinada, E=17mm</t>
        </is>
      </c>
      <c r="D632" s="1071" t="inlineStr">
        <is>
          <t>Fabricação de Fôrma para Vigas, em Chapa de Madeira Compensada Resinada, E=17mm</t>
        </is>
      </c>
      <c r="E632" s="1068" t="inlineStr">
        <is>
          <t>M2</t>
        </is>
      </c>
      <c r="F632" s="1071" t="n"/>
      <c r="G632" s="1073">
        <f t="array" ref="G632">IF(B632="insumo",_xlfn.XLOOKUP($D632,Insumos!$B$1:$B$996,Insumos!$D$1:$D$996),"")</f>
        <v/>
      </c>
      <c r="H632" s="1073" t="n">
        <v>72.19483</v>
      </c>
      <c r="I632" s="2163" t="n">
        <v>0</v>
      </c>
      <c r="J632" s="2163" t="n">
        <v>0</v>
      </c>
      <c r="K632" s="2163" t="n"/>
    </row>
    <row r="633" outlineLevel="3" ht="12.75" customHeight="1">
      <c r="A633" s="82" t="n">
        <v>40</v>
      </c>
      <c r="B633" s="82" t="inlineStr">
        <is>
          <t>Insumo</t>
        </is>
      </c>
      <c r="C633" s="82" t="inlineStr">
        <is>
          <t>Fabricação de Fôrma para Vigas, em Chapa de Madeira Compensada Resinada, E=17mm</t>
        </is>
      </c>
      <c r="D633" s="82" t="inlineStr">
        <is>
          <t>PREGO DE ACO POLIDO COM CABECA 17 X 21 (2 X 11)</t>
        </is>
      </c>
      <c r="E633" s="11">
        <f t="array" ref="E633">_xlfn.XLOOKUP(D633,Insumos!B:B,Insumos!C:$C)</f>
        <v/>
      </c>
      <c r="F633" s="2164" t="n">
        <v>0.159</v>
      </c>
      <c r="G633" s="92">
        <f t="array" ref="G633">IF(B633="insumo",_xlfn.XLOOKUP($D633,Insumos!$B$1:$B$996,Insumos!$D$1:$D$996),"")</f>
        <v/>
      </c>
      <c r="H633" s="92" t="n">
        <v>2.88267</v>
      </c>
      <c r="I633" s="2165" t="n">
        <v>0</v>
      </c>
      <c r="J633" s="2165" t="n">
        <v>0</v>
      </c>
      <c r="K633" s="2165" t="n"/>
    </row>
    <row r="634" outlineLevel="3" ht="12.75" customHeight="1">
      <c r="A634" s="82" t="n">
        <v>4</v>
      </c>
      <c r="B634" s="82" t="inlineStr">
        <is>
          <t>Insumo</t>
        </is>
      </c>
      <c r="C634" s="82" t="inlineStr">
        <is>
          <t>Fabricação de Fôrma para Vigas, em Chapa de Madeira Compensada Resinada, E=17mm</t>
        </is>
      </c>
      <c r="D634" s="82" t="inlineStr">
        <is>
          <t>CHAPA/PAINEL DE MADEIRA COMPENSADA RESINADA, DE 2200 X 1100 MM, E = 17 MM</t>
        </is>
      </c>
      <c r="E634" s="11">
        <f t="array" ref="E634">_xlfn.XLOOKUP(D634,Insumos!B:B,Insumos!C:$C)</f>
        <v/>
      </c>
      <c r="F634" s="2164" t="n">
        <v>1.146</v>
      </c>
      <c r="G634" s="92">
        <f t="array" ref="G634">IF(B634="insumo",_xlfn.XLOOKUP($D634,Insumos!$B$1:$B$996,Insumos!$D$1:$D$996),"")</f>
        <v/>
      </c>
      <c r="H634" s="92" t="n">
        <v>43.50216</v>
      </c>
      <c r="I634" s="2165" t="n">
        <v>0</v>
      </c>
      <c r="J634" s="2165" t="n">
        <v>0</v>
      </c>
      <c r="K634" s="2165" t="n"/>
    </row>
    <row r="635" outlineLevel="3" ht="12.75" customHeight="1">
      <c r="A635" s="82" t="n">
        <v>25</v>
      </c>
      <c r="B635" s="82" t="inlineStr">
        <is>
          <t>Insumo</t>
        </is>
      </c>
      <c r="C635" s="82" t="inlineStr">
        <is>
          <t>Fabricação de Fôrma para Vigas, em Chapa de Madeira Compensada Resinada, E=17mm</t>
        </is>
      </c>
      <c r="D635" s="82" t="inlineStr">
        <is>
          <t>MADEIRA PINUS/SIMILAR - PONTALETE 75X75MM NBR 11700/15696</t>
        </is>
      </c>
      <c r="E635" s="11">
        <f t="array" ref="E635">_xlfn.XLOOKUP(D635,Insumos!B:B,Insumos!C:$C)</f>
        <v/>
      </c>
      <c r="F635" s="2164" t="n">
        <v>0.3357142857142857</v>
      </c>
      <c r="G635" s="92">
        <f t="array" ref="G635">IF(B635="insumo",_xlfn.XLOOKUP($D635,Insumos!$B$1:$B$996,Insumos!$D$1:$D$996),"")</f>
        <v/>
      </c>
      <c r="H635" s="92" t="n">
        <v>2.35</v>
      </c>
      <c r="I635" s="2165" t="n">
        <v>0</v>
      </c>
      <c r="J635" s="2165" t="n">
        <v>0</v>
      </c>
      <c r="K635" s="2165" t="n"/>
    </row>
    <row r="636" outlineLevel="3" ht="12.75" customHeight="1">
      <c r="A636" s="82" t="n">
        <v>19</v>
      </c>
      <c r="B636" s="82" t="inlineStr">
        <is>
          <t>Insumo</t>
        </is>
      </c>
      <c r="C636" s="82" t="inlineStr">
        <is>
          <t>Fabricação de Fôrma para Vigas, em Chapa de Madeira Compensada Resinada, E=17mm</t>
        </is>
      </c>
      <c r="D636" s="82" t="inlineStr">
        <is>
          <t>SARRAFO *2,5 X 7,5* CM EM PINUS, MISTA OU EQUIVALENTE DA REGIAO - BRUTA</t>
        </is>
      </c>
      <c r="E636" s="11">
        <f t="array" ref="E636">_xlfn.XLOOKUP(D636,Insumos!B:B,Insumos!C:$C)</f>
        <v/>
      </c>
      <c r="F636" s="2164" t="n">
        <v>0.01737777777777778</v>
      </c>
      <c r="G636" s="92">
        <f t="array" ref="G636">IF(B636="insumo",_xlfn.XLOOKUP($D636,Insumos!$B$1:$B$996,Insumos!$D$1:$D$996),"")</f>
        <v/>
      </c>
      <c r="H636" s="92" t="n">
        <v>23.46</v>
      </c>
      <c r="I636" s="2165" t="n">
        <v>0</v>
      </c>
      <c r="J636" s="2165" t="n">
        <v>0</v>
      </c>
      <c r="K636" s="2165" t="n"/>
    </row>
    <row r="637" outlineLevel="2" ht="12.75" customHeight="1">
      <c r="A637" s="1071" t="n">
        <v>1</v>
      </c>
      <c r="B637" s="1071" t="inlineStr">
        <is>
          <t>Serviço</t>
        </is>
      </c>
      <c r="C637" s="1071" t="inlineStr">
        <is>
          <t>Fabricação de Fôrma para Lajes, em Chapa de Madeira Compensada Resinada, E=17mm</t>
        </is>
      </c>
      <c r="D637" s="1071" t="inlineStr">
        <is>
          <t>Fabricação de Fôrma para Lajes, em Chapa de Madeira Compensada Resinada, E=17mm</t>
        </is>
      </c>
      <c r="E637" s="1068" t="inlineStr">
        <is>
          <t>M2</t>
        </is>
      </c>
      <c r="F637" s="1071" t="n"/>
      <c r="G637" s="1073">
        <f t="array" ref="G637">IF(B637="insumo",_xlfn.XLOOKUP($D637,Insumos!$B$1:$B$996,Insumos!$D$1:$D$996),"")</f>
        <v/>
      </c>
      <c r="H637" s="1073" t="n">
        <v>46.38483</v>
      </c>
      <c r="I637" s="2163" t="n">
        <v>0</v>
      </c>
      <c r="J637" s="2163" t="n">
        <v>0</v>
      </c>
      <c r="K637" s="2163" t="n"/>
    </row>
    <row r="638" outlineLevel="3" ht="12.75" customHeight="1">
      <c r="A638" s="82" t="n">
        <v>40</v>
      </c>
      <c r="B638" s="82" t="inlineStr">
        <is>
          <t>Insumo</t>
        </is>
      </c>
      <c r="C638" s="82" t="inlineStr">
        <is>
          <t>Fabricação de Fôrma para Lajes, em Chapa de Madeira Compensada Resinada, E=17mm</t>
        </is>
      </c>
      <c r="D638" s="82" t="inlineStr">
        <is>
          <t>PREGO DE ACO POLIDO COM CABECA 17 X 21 (2 X 11)</t>
        </is>
      </c>
      <c r="E638" s="11">
        <f t="array" ref="E638">_xlfn.XLOOKUP(D638,Insumos!B:B,Insumos!C:$C)</f>
        <v/>
      </c>
      <c r="F638" s="2164" t="n">
        <v>0.159</v>
      </c>
      <c r="G638" s="92">
        <f t="array" ref="G638">IF(B638="insumo",_xlfn.XLOOKUP($D638,Insumos!$B$1:$B$996,Insumos!$D$1:$D$996),"")</f>
        <v/>
      </c>
      <c r="H638" s="92" t="n">
        <v>2.88267</v>
      </c>
      <c r="I638" s="2165" t="n">
        <v>0</v>
      </c>
      <c r="J638" s="2165" t="n">
        <v>0</v>
      </c>
      <c r="K638" s="2165" t="n"/>
    </row>
    <row r="639" outlineLevel="3" ht="12.75" customHeight="1">
      <c r="A639" s="82" t="n">
        <v>4</v>
      </c>
      <c r="B639" s="82" t="inlineStr">
        <is>
          <t>Insumo</t>
        </is>
      </c>
      <c r="C639" s="82" t="inlineStr">
        <is>
          <t>Fabricação de Fôrma para Lajes, em Chapa de Madeira Compensada Resinada, E=17mm</t>
        </is>
      </c>
      <c r="D639" s="82" t="inlineStr">
        <is>
          <t>CHAPA/PAINEL DE MADEIRA COMPENSADA RESINADA, DE 2200 X 1100 MM, E = 17 MM</t>
        </is>
      </c>
      <c r="E639" s="11">
        <f t="array" ref="E639">_xlfn.XLOOKUP(D639,Insumos!B:B,Insumos!C:$C)</f>
        <v/>
      </c>
      <c r="F639" s="2164" t="n">
        <v>1.146</v>
      </c>
      <c r="G639" s="92">
        <f t="array" ref="G639">IF(B639="insumo",_xlfn.XLOOKUP($D639,Insumos!$B$1:$B$996,Insumos!$D$1:$D$996),"")</f>
        <v/>
      </c>
      <c r="H639" s="92" t="n">
        <v>43.50216</v>
      </c>
      <c r="I639" s="2165" t="n">
        <v>0</v>
      </c>
      <c r="J639" s="2165" t="n">
        <v>0</v>
      </c>
      <c r="K639" s="2165" t="n"/>
    </row>
    <row r="640" outlineLevel="2" ht="15.75" customHeight="1">
      <c r="A640" s="1067" t="n">
        <v>1</v>
      </c>
      <c r="B640" s="1067" t="inlineStr">
        <is>
          <t>Serviço</t>
        </is>
      </c>
      <c r="C640" s="1067" t="inlineStr">
        <is>
          <t>Fabricação de Fôrma para Supraestrutura, em Chapa de Madeira Compensada Resinada, E=20mm</t>
        </is>
      </c>
      <c r="D640" s="1067" t="inlineStr">
        <is>
          <t>Fabricação de Fôrma para Supraestrutura, em Chapa de Madeira Compensada Resinada, E=20mm</t>
        </is>
      </c>
      <c r="E640" s="1068" t="inlineStr">
        <is>
          <t>M2</t>
        </is>
      </c>
      <c r="F640" s="1067" t="n"/>
      <c r="G640" s="1069">
        <f t="array" ref="G640">IF(B640="insumo",_xlfn.XLOOKUP($D640,Insumos!$B$1:$B$996,Insumos!$D$1:$D$996),"")</f>
        <v/>
      </c>
      <c r="H640" s="1069" t="n">
        <v>108.035225950413</v>
      </c>
      <c r="I640" s="2161" t="n">
        <v>11715.3338181818</v>
      </c>
      <c r="J640" s="2161" t="n">
        <v>1265668.73613179</v>
      </c>
      <c r="K640" s="2161" t="n"/>
    </row>
    <row r="641" outlineLevel="3" ht="15.75" customHeight="1">
      <c r="A641" s="10" t="n">
        <v>40</v>
      </c>
      <c r="B641" s="10" t="inlineStr">
        <is>
          <t>Insumo</t>
        </is>
      </c>
      <c r="C641" s="10" t="inlineStr">
        <is>
          <t>Fabricação de Fôrma para Supraestrutura, em Chapa de Madeira Compensada Resinada, E=20mm</t>
        </is>
      </c>
      <c r="D641" s="10" t="inlineStr">
        <is>
          <t>PREGO DE ACO POLIDO COM CABECA 17 X 21 (2 X 11)</t>
        </is>
      </c>
      <c r="E641" s="11">
        <f t="array" ref="E641">_xlfn.XLOOKUP(D641,Insumos!B:B,Insumos!C:$C)</f>
        <v/>
      </c>
      <c r="F641" s="14" t="n">
        <v>0.208</v>
      </c>
      <c r="G641" s="92">
        <f t="array" ref="G641">IF(B641="insumo",_xlfn.XLOOKUP($D641,Insumos!$B$1:$B$996,Insumos!$D$1:$D$996),"")</f>
        <v/>
      </c>
      <c r="H641" s="92" t="n">
        <v>3.77104</v>
      </c>
      <c r="I641" s="2162" t="n">
        <v>11715.3338181818</v>
      </c>
      <c r="J641" s="2162" t="n">
        <v>44178.9924417163</v>
      </c>
      <c r="K641" s="2162" t="n"/>
    </row>
    <row r="642" outlineLevel="3" ht="15.75" customHeight="1">
      <c r="A642" s="10" t="n">
        <v>1</v>
      </c>
      <c r="B642" s="10" t="inlineStr">
        <is>
          <t>Insumo</t>
        </is>
      </c>
      <c r="C642" s="10" t="inlineStr">
        <is>
          <t>Fabricação de Fôrma para Supraestrutura, em Chapa de Madeira Compensada Resinada, E=20mm</t>
        </is>
      </c>
      <c r="D642" s="10" t="inlineStr">
        <is>
          <t>CHAPA/PAINEL DE MADEIRA COMPENSADA PLASTIFICADA, DE 2200 X 1100 MM, E = 20 MM</t>
        </is>
      </c>
      <c r="E642" s="11">
        <f t="array" ref="E642">_xlfn.XLOOKUP(D642,Insumos!B:B,Insumos!C:$C)</f>
        <v/>
      </c>
      <c r="F642" s="14" t="n">
        <v>0.755</v>
      </c>
      <c r="G642" s="92">
        <f t="array" ref="G642">IF(B642="insumo",_xlfn.XLOOKUP($D642,Insumos!$B$1:$B$996,Insumos!$D$1:$D$996),"")</f>
        <v/>
      </c>
      <c r="H642" s="92" t="n">
        <v>70.1026859504132</v>
      </c>
      <c r="I642" s="2162" t="n">
        <v>11715.3338181818</v>
      </c>
      <c r="J642" s="2162" t="n">
        <v>821276.367460254</v>
      </c>
      <c r="K642" s="2162" t="n"/>
    </row>
    <row r="643" outlineLevel="3" ht="15.75" customHeight="1">
      <c r="A643" s="10" t="n">
        <v>25</v>
      </c>
      <c r="B643" s="10" t="inlineStr">
        <is>
          <t>Insumo</t>
        </is>
      </c>
      <c r="C643" s="10" t="inlineStr">
        <is>
          <t>Fabricação de Fôrma para Supraestrutura, em Chapa de Madeira Compensada Resinada, E=20mm</t>
        </is>
      </c>
      <c r="D643" s="10" t="inlineStr">
        <is>
          <t>MADEIRA PINUS/SIMILAR - PONTALETE 75X75MM NBR 11700/15696</t>
        </is>
      </c>
      <c r="E643" s="11">
        <f t="array" ref="E643">_xlfn.XLOOKUP(D643,Insumos!B:B,Insumos!C:$C)</f>
        <v/>
      </c>
      <c r="F643" s="14" t="n">
        <v>0.4271428571428572</v>
      </c>
      <c r="G643" s="92">
        <f t="array" ref="G643">IF(B643="insumo",_xlfn.XLOOKUP($D643,Insumos!$B$1:$B$996,Insumos!$D$1:$D$996),"")</f>
        <v/>
      </c>
      <c r="H643" s="92" t="n">
        <v>2.99</v>
      </c>
      <c r="I643" s="2162" t="n">
        <v>11715.3338181818</v>
      </c>
      <c r="J643" s="2162" t="n">
        <v>35028.8481163636</v>
      </c>
      <c r="K643" s="2162" t="n"/>
    </row>
    <row r="644" outlineLevel="3" ht="15.75" customHeight="1">
      <c r="A644" s="10" t="n">
        <v>19</v>
      </c>
      <c r="B644" s="10" t="inlineStr">
        <is>
          <t>Insumo</t>
        </is>
      </c>
      <c r="C644" s="10" t="inlineStr">
        <is>
          <t>Fabricação de Fôrma para Supraestrutura, em Chapa de Madeira Compensada Resinada, E=20mm</t>
        </is>
      </c>
      <c r="D644" s="10" t="inlineStr">
        <is>
          <t>SARRAFO *2,5 X 7,5* CM EM PINUS, MISTA OU EQUIVALENTE DA REGIAO - BRUTA</t>
        </is>
      </c>
      <c r="E644" s="11">
        <f t="array" ref="E644">_xlfn.XLOOKUP(D644,Insumos!B:B,Insumos!C:$C)</f>
        <v/>
      </c>
      <c r="F644" s="14" t="n">
        <v>0.02309</v>
      </c>
      <c r="G644" s="92">
        <f t="array" ref="G644">IF(B644="insumo",_xlfn.XLOOKUP($D644,Insumos!$B$1:$B$996,Insumos!$D$1:$D$996),"")</f>
        <v/>
      </c>
      <c r="H644" s="92" t="n">
        <v>31.1715</v>
      </c>
      <c r="I644" s="2162" t="n">
        <v>11715.3338181818</v>
      </c>
      <c r="J644" s="2162" t="n">
        <v>365184.528113454</v>
      </c>
      <c r="K644" s="2162" t="n"/>
    </row>
    <row r="645" outlineLevel="2" ht="15.75" customHeight="1">
      <c r="A645" s="1067" t="n">
        <v>1</v>
      </c>
      <c r="B645" s="1067" t="inlineStr">
        <is>
          <t>Serviço</t>
        </is>
      </c>
      <c r="C645" s="1067" t="inlineStr">
        <is>
          <t>Montagem e Desmontagem de Fôrma de Supraestrutura</t>
        </is>
      </c>
      <c r="D645" s="1067" t="inlineStr">
        <is>
          <t>Montagem e Desmontagem de Fôrma de Supraestrutura</t>
        </is>
      </c>
      <c r="E645" s="1068" t="inlineStr">
        <is>
          <t>M2</t>
        </is>
      </c>
      <c r="F645" s="1067" t="n"/>
      <c r="G645" s="1069">
        <f t="array" ref="G645">IF(B645="insumo",_xlfn.XLOOKUP($D645,Insumos!$B$1:$B$996,Insumos!$D$1:$D$996),"")</f>
        <v/>
      </c>
      <c r="H645" s="1069" t="n">
        <v>3.9773488</v>
      </c>
      <c r="I645" s="2161" t="n">
        <v>42728.526</v>
      </c>
      <c r="J645" s="2161" t="n">
        <v>169946.251611869</v>
      </c>
      <c r="K645" s="2161" t="n"/>
    </row>
    <row r="646" outlineLevel="3" ht="15.75" customHeight="1">
      <c r="A646" s="10" t="n">
        <v>40</v>
      </c>
      <c r="B646" s="10" t="inlineStr">
        <is>
          <t>Insumo</t>
        </is>
      </c>
      <c r="C646" s="10" t="inlineStr">
        <is>
          <t>Montagem e Desmontagem de Fôrma de Supraestrutura</t>
        </is>
      </c>
      <c r="D646" s="10" t="inlineStr">
        <is>
          <t>PREGO DE ACO POLIDO COM CABECA 17 X 21 (2 X 11)</t>
        </is>
      </c>
      <c r="E646" s="11">
        <f t="array" ref="E646">_xlfn.XLOOKUP(D646,Insumos!B:B,Insumos!C:$C)</f>
        <v/>
      </c>
      <c r="F646" s="14" t="n">
        <v>0.027</v>
      </c>
      <c r="G646" s="92">
        <f t="array" ref="G646">IF(B646="insumo",_xlfn.XLOOKUP($D646,Insumos!$B$1:$B$996,Insumos!$D$1:$D$996),"")</f>
        <v/>
      </c>
      <c r="H646" s="92" t="n">
        <v>0.48951</v>
      </c>
      <c r="I646" s="2162" t="n">
        <v>42728.526</v>
      </c>
      <c r="J646" s="2162" t="n">
        <v>20916.04076226</v>
      </c>
      <c r="K646" s="2162" t="n"/>
    </row>
    <row r="647" outlineLevel="3" ht="15.75" customHeight="1">
      <c r="A647" s="10" t="n">
        <v>10</v>
      </c>
      <c r="B647" s="10" t="inlineStr">
        <is>
          <t>Insumo</t>
        </is>
      </c>
      <c r="C647" s="10" t="inlineStr">
        <is>
          <t>Montagem e Desmontagem de Fôrma de Supraestrutura</t>
        </is>
      </c>
      <c r="D647" s="10" t="inlineStr">
        <is>
          <t xml:space="preserve">DESMOLDANTE PROTETOR PARA FORMAS DE MADEIRA, DE BASE OLEOSA EMULSIONADA EM AGUA   </t>
        </is>
      </c>
      <c r="E647" s="11">
        <f t="array" ref="E647">_xlfn.XLOOKUP(D647,Insumos!B:B,Insumos!C:$C)</f>
        <v/>
      </c>
      <c r="F647" s="14" t="n">
        <v>0.013</v>
      </c>
      <c r="G647" s="92">
        <f t="array" ref="G647">IF(B647="insumo",_xlfn.XLOOKUP($D647,Insumos!$B$1:$B$996,Insumos!$D$1:$D$996),"")</f>
        <v/>
      </c>
      <c r="H647" s="92" t="n">
        <v>0.20215</v>
      </c>
      <c r="I647" s="2162" t="n">
        <v>42728.526</v>
      </c>
      <c r="J647" s="2162" t="n">
        <v>8637.571530900001</v>
      </c>
      <c r="K647" s="2162" t="n"/>
    </row>
    <row r="648" outlineLevel="3" ht="15.75" customHeight="1">
      <c r="A648" s="10" t="n">
        <v>25</v>
      </c>
      <c r="B648" s="10" t="inlineStr">
        <is>
          <t>Insumo</t>
        </is>
      </c>
      <c r="C648" s="10" t="inlineStr">
        <is>
          <t>Montagem e Desmontagem de Fôrma de Supraestrutura</t>
        </is>
      </c>
      <c r="D648" s="10" t="inlineStr">
        <is>
          <t>MADEIRA PINUS/SIMILAR - PONTALETE 75X75MM NBR 11700/15696</t>
        </is>
      </c>
      <c r="E648" s="11">
        <f t="array" ref="E648">_xlfn.XLOOKUP(D648,Insumos!B:B,Insumos!C:$C)</f>
        <v/>
      </c>
      <c r="F648" s="14" t="n">
        <v>0.2857142857142857</v>
      </c>
      <c r="G648" s="92">
        <f t="array" ref="G648">IF(B648="insumo",_xlfn.XLOOKUP($D648,Insumos!$B$1:$B$996,Insumos!$D$1:$D$996),"")</f>
        <v/>
      </c>
      <c r="H648" s="92" t="n">
        <v>2</v>
      </c>
      <c r="I648" s="2162" t="n">
        <v>42728.526</v>
      </c>
      <c r="J648" s="2162" t="n">
        <v>85457.052</v>
      </c>
      <c r="K648" s="2162" t="n"/>
    </row>
    <row r="649" outlineLevel="3" ht="15.75" customHeight="1">
      <c r="A649" s="10" t="n">
        <v>6</v>
      </c>
      <c r="B649" s="10" t="inlineStr">
        <is>
          <t>Insumo</t>
        </is>
      </c>
      <c r="C649" s="10" t="inlineStr">
        <is>
          <t>Montagem e Desmontagem de Fôrma de Supraestrutura</t>
        </is>
      </c>
      <c r="D649" s="10" t="inlineStr">
        <is>
          <t>TABUA *2,5 X 30 CM EM PINUS, MISTA OU EQUIVALENTE DA REGIAO - BRUTA (M)</t>
        </is>
      </c>
      <c r="E649" s="11">
        <f t="array" ref="E649">_xlfn.XLOOKUP(D649,Insumos!B:B,Insumos!C:$C)</f>
        <v/>
      </c>
      <c r="F649" s="14" t="n">
        <v>0.03028</v>
      </c>
      <c r="G649" s="92">
        <f t="array" ref="G649">IF(B649="insumo",_xlfn.XLOOKUP($D649,Insumos!$B$1:$B$996,Insumos!$D$1:$D$996),"")</f>
        <v/>
      </c>
      <c r="H649" s="92" t="n">
        <v>1.2856888</v>
      </c>
      <c r="I649" s="2162" t="n">
        <v>42728.526</v>
      </c>
      <c r="J649" s="2162" t="n">
        <v>54935.5873187088</v>
      </c>
      <c r="K649" s="2162" t="n"/>
    </row>
    <row r="650" outlineLevel="2" ht="15.75" customHeight="1">
      <c r="A650" s="1067" t="n">
        <v>1</v>
      </c>
      <c r="B650" s="1067" t="inlineStr">
        <is>
          <t>Serviço</t>
        </is>
      </c>
      <c r="C650" s="1067" t="inlineStr">
        <is>
          <t>Montagem e Desmontagem de Fôrma de Pilares</t>
        </is>
      </c>
      <c r="D650" s="1067" t="inlineStr">
        <is>
          <t>Montagem e Desmontagem de Fôrma de Pilares</t>
        </is>
      </c>
      <c r="E650" s="1068" t="inlineStr">
        <is>
          <t>M2</t>
        </is>
      </c>
      <c r="F650" s="1067" t="n"/>
      <c r="G650" s="1069">
        <f t="array" ref="G650">IF(B650="insumo",_xlfn.XLOOKUP($D650,Insumos!$B$1:$B$996,Insumos!$D$1:$D$996),"")</f>
        <v/>
      </c>
      <c r="H650" s="1069" t="n">
        <v>0.6916600000000001</v>
      </c>
      <c r="I650" s="2161" t="n">
        <v>0</v>
      </c>
      <c r="J650" s="2161" t="n">
        <v>0</v>
      </c>
      <c r="K650" s="2161" t="n"/>
    </row>
    <row r="651" outlineLevel="3" ht="15.75" customHeight="1">
      <c r="A651" s="10" t="n">
        <v>40</v>
      </c>
      <c r="B651" s="10" t="inlineStr">
        <is>
          <t>Insumo</t>
        </is>
      </c>
      <c r="C651" s="10" t="inlineStr">
        <is>
          <t>Montagem e Desmontagem de Fôrma de Pilares</t>
        </is>
      </c>
      <c r="D651" s="10" t="inlineStr">
        <is>
          <t>PREGO DE ACO POLIDO COM CABECA 17 X 21 (2 X 11)</t>
        </is>
      </c>
      <c r="E651" s="11">
        <f t="array" ref="E651">_xlfn.XLOOKUP(D651,Insumos!B:B,Insumos!C:$C)</f>
        <v/>
      </c>
      <c r="F651" s="14" t="n">
        <v>0.027</v>
      </c>
      <c r="G651" s="92">
        <f t="array" ref="G651">IF(B651="insumo",_xlfn.XLOOKUP($D651,Insumos!$B$1:$B$996,Insumos!$D$1:$D$996),"")</f>
        <v/>
      </c>
      <c r="H651" s="92" t="n">
        <v>0.48951</v>
      </c>
      <c r="I651" s="2162" t="n">
        <v>0</v>
      </c>
      <c r="J651" s="2162" t="n">
        <v>0</v>
      </c>
      <c r="K651" s="2162" t="n"/>
    </row>
    <row r="652" outlineLevel="3" ht="15.75" customHeight="1">
      <c r="A652" s="10" t="n">
        <v>10</v>
      </c>
      <c r="B652" s="10" t="inlineStr">
        <is>
          <t>Insumo</t>
        </is>
      </c>
      <c r="C652" s="10" t="inlineStr">
        <is>
          <t>Montagem e Desmontagem de Fôrma de Pilares</t>
        </is>
      </c>
      <c r="D652" s="10" t="inlineStr">
        <is>
          <t xml:space="preserve">DESMOLDANTE PROTETOR PARA FORMAS DE MADEIRA, DE BASE OLEOSA EMULSIONADA EM AGUA   </t>
        </is>
      </c>
      <c r="E652" s="11">
        <f t="array" ref="E652">_xlfn.XLOOKUP(D652,Insumos!B:B,Insumos!C:$C)</f>
        <v/>
      </c>
      <c r="F652" s="14" t="n">
        <v>0.013</v>
      </c>
      <c r="G652" s="92">
        <f t="array" ref="G652">IF(B652="insumo",_xlfn.XLOOKUP($D652,Insumos!$B$1:$B$996,Insumos!$D$1:$D$996),"")</f>
        <v/>
      </c>
      <c r="H652" s="92" t="n">
        <v>0.20215</v>
      </c>
      <c r="I652" s="2162" t="n">
        <v>0</v>
      </c>
      <c r="J652" s="2162" t="n">
        <v>0</v>
      </c>
      <c r="K652" s="2162" t="n"/>
    </row>
    <row r="653" outlineLevel="2" ht="16.5" customHeight="1">
      <c r="A653" s="1067" t="n">
        <v>1</v>
      </c>
      <c r="B653" s="1067" t="inlineStr">
        <is>
          <t>Serviço</t>
        </is>
      </c>
      <c r="C653" s="1067" t="inlineStr">
        <is>
          <t>Montagem e Desmontagem de Fôrma de Vigas</t>
        </is>
      </c>
      <c r="D653" s="1067" t="inlineStr">
        <is>
          <t>Montagem e Desmontagem de Fôrma de Vigas</t>
        </is>
      </c>
      <c r="E653" s="1068" t="inlineStr">
        <is>
          <t>M2</t>
        </is>
      </c>
      <c r="F653" s="1067" t="n"/>
      <c r="G653" s="1069">
        <f t="array" ref="G653">IF(B653="insumo",_xlfn.XLOOKUP($D653,Insumos!$B$1:$B$996,Insumos!$D$1:$D$996),"")</f>
        <v/>
      </c>
      <c r="H653" s="1069" t="n">
        <v>4.6844188</v>
      </c>
      <c r="I653" s="2161" t="n">
        <v>0</v>
      </c>
      <c r="J653" s="2161" t="n">
        <v>0</v>
      </c>
      <c r="K653" s="2161" t="n"/>
    </row>
    <row r="654" outlineLevel="3" ht="15.75" customHeight="1">
      <c r="A654" s="10" t="n">
        <v>40</v>
      </c>
      <c r="B654" s="10" t="inlineStr">
        <is>
          <t>Insumo</t>
        </is>
      </c>
      <c r="C654" s="10" t="inlineStr">
        <is>
          <t>Montagem e Desmontagem de Fôrma de Vigas</t>
        </is>
      </c>
      <c r="D654" s="10" t="inlineStr">
        <is>
          <t>PREGO DE ACO POLIDO COM CABECA 17 X 21 (2 X 11)</t>
        </is>
      </c>
      <c r="E654" s="11">
        <f t="array" ref="E654">_xlfn.XLOOKUP(D654,Insumos!B:B,Insumos!C:$C)</f>
        <v/>
      </c>
      <c r="F654" s="14" t="n">
        <v>0.066</v>
      </c>
      <c r="G654" s="92">
        <f t="array" ref="G654">IF(B654="insumo",_xlfn.XLOOKUP($D654,Insumos!$B$1:$B$996,Insumos!$D$1:$D$996),"")</f>
        <v/>
      </c>
      <c r="H654" s="92" t="n">
        <v>1.19658</v>
      </c>
      <c r="I654" s="2162" t="n">
        <v>0</v>
      </c>
      <c r="J654" s="2162" t="n">
        <v>0</v>
      </c>
      <c r="K654" s="2162" t="n"/>
    </row>
    <row r="655" outlineLevel="3" ht="15.75" customHeight="1">
      <c r="A655" s="10" t="n">
        <v>10</v>
      </c>
      <c r="B655" s="10" t="inlineStr">
        <is>
          <t>Insumo</t>
        </is>
      </c>
      <c r="C655" s="10" t="inlineStr">
        <is>
          <t>Montagem e Desmontagem de Fôrma de Vigas</t>
        </is>
      </c>
      <c r="D655" s="10" t="inlineStr">
        <is>
          <t xml:space="preserve">DESMOLDANTE PROTETOR PARA FORMAS DE MADEIRA, DE BASE OLEOSA EMULSIONADA EM AGUA   </t>
        </is>
      </c>
      <c r="E655" s="11">
        <f t="array" ref="E655">_xlfn.XLOOKUP(D655,Insumos!B:B,Insumos!C:$C)</f>
        <v/>
      </c>
      <c r="F655" s="14" t="n">
        <v>0.013</v>
      </c>
      <c r="G655" s="92">
        <f t="array" ref="G655">IF(B655="insumo",_xlfn.XLOOKUP($D655,Insumos!$B$1:$B$996,Insumos!$D$1:$D$996),"")</f>
        <v/>
      </c>
      <c r="H655" s="92" t="n">
        <v>0.20215</v>
      </c>
      <c r="I655" s="2162" t="n">
        <v>0</v>
      </c>
      <c r="J655" s="2162" t="n">
        <v>0</v>
      </c>
      <c r="K655" s="2162" t="n"/>
    </row>
    <row r="656" outlineLevel="3" ht="15.75" customHeight="1">
      <c r="A656" s="10" t="n">
        <v>25</v>
      </c>
      <c r="B656" s="10" t="inlineStr">
        <is>
          <t>Insumo</t>
        </is>
      </c>
      <c r="C656" s="10" t="inlineStr">
        <is>
          <t>Montagem e Desmontagem de Fôrma de Vigas</t>
        </is>
      </c>
      <c r="D656" s="10" t="inlineStr">
        <is>
          <t>MADEIRA PINUS/SIMILAR - PONTALETE 75X75MM NBR 11700/15696</t>
        </is>
      </c>
      <c r="E656" s="11">
        <f t="array" ref="E656">_xlfn.XLOOKUP(D656,Insumos!B:B,Insumos!C:$C)</f>
        <v/>
      </c>
      <c r="F656" s="14" t="n">
        <v>0.2857142857142857</v>
      </c>
      <c r="G656" s="92">
        <f t="array" ref="G656">IF(B656="insumo",_xlfn.XLOOKUP($D656,Insumos!$B$1:$B$996,Insumos!$D$1:$D$996),"")</f>
        <v/>
      </c>
      <c r="H656" s="92" t="n">
        <v>2</v>
      </c>
      <c r="I656" s="2162" t="n">
        <v>0</v>
      </c>
      <c r="J656" s="2162" t="n">
        <v>0</v>
      </c>
      <c r="K656" s="2162" t="n"/>
    </row>
    <row r="657" outlineLevel="3" ht="15.75" customHeight="1">
      <c r="A657" s="10" t="n">
        <v>6</v>
      </c>
      <c r="B657" s="10" t="inlineStr">
        <is>
          <t>Insumo</t>
        </is>
      </c>
      <c r="C657" s="10" t="inlineStr">
        <is>
          <t>Montagem e Desmontagem de Fôrma de Vigas</t>
        </is>
      </c>
      <c r="D657" s="10" t="inlineStr">
        <is>
          <t>TABUA *2,5 X 30 CM EM PINUS, MISTA OU EQUIVALENTE DA REGIAO - BRUTA (M)</t>
        </is>
      </c>
      <c r="E657" s="11">
        <f t="array" ref="E657">_xlfn.XLOOKUP(D657,Insumos!B:B,Insumos!C:$C)</f>
        <v/>
      </c>
      <c r="F657" s="14" t="n">
        <v>0.03028</v>
      </c>
      <c r="G657" s="92">
        <f t="array" ref="G657">IF(B657="insumo",_xlfn.XLOOKUP($D657,Insumos!$B$1:$B$996,Insumos!$D$1:$D$996),"")</f>
        <v/>
      </c>
      <c r="H657" s="92" t="n">
        <v>1.2856888</v>
      </c>
      <c r="I657" s="2162" t="n">
        <v>0</v>
      </c>
      <c r="J657" s="2162" t="n">
        <v>0</v>
      </c>
      <c r="K657" s="2162" t="n"/>
    </row>
    <row r="658" outlineLevel="2" ht="15.75" customHeight="1">
      <c r="A658" s="1067" t="n">
        <v>1</v>
      </c>
      <c r="B658" s="1067" t="inlineStr">
        <is>
          <t>Serviço</t>
        </is>
      </c>
      <c r="C658" s="1067" t="inlineStr">
        <is>
          <t>Montagem e Desmontagem de Fôrma de Lajes</t>
        </is>
      </c>
      <c r="D658" s="1067" t="inlineStr">
        <is>
          <t>Montagem e Desmontagem de Fôrma de Lajes</t>
        </is>
      </c>
      <c r="E658" s="1068" t="inlineStr">
        <is>
          <t>M2</t>
        </is>
      </c>
      <c r="F658" s="1067" t="n"/>
      <c r="G658" s="1069">
        <f t="array" ref="G658">IF(B658="insumo",_xlfn.XLOOKUP($D658,Insumos!$B$1:$B$996,Insumos!$D$1:$D$996),"")</f>
        <v/>
      </c>
      <c r="H658" s="1069" t="n">
        <v>0.6916600000000001</v>
      </c>
      <c r="I658" s="2161" t="n">
        <v>0</v>
      </c>
      <c r="J658" s="2161" t="n">
        <v>0</v>
      </c>
      <c r="K658" s="2161" t="n"/>
    </row>
    <row r="659" outlineLevel="3" ht="15.75" customHeight="1">
      <c r="A659" s="10" t="n">
        <v>40</v>
      </c>
      <c r="B659" s="10" t="inlineStr">
        <is>
          <t>Insumo</t>
        </is>
      </c>
      <c r="C659" s="10" t="inlineStr">
        <is>
          <t>Montagem e Desmontagem de Fôrma de Lajes</t>
        </is>
      </c>
      <c r="D659" s="10" t="inlineStr">
        <is>
          <t>PREGO DE ACO POLIDO COM CABECA 17 X 21 (2 X 11)</t>
        </is>
      </c>
      <c r="E659" s="11">
        <f t="array" ref="E659">_xlfn.XLOOKUP(D659,Insumos!B:B,Insumos!C:$C)</f>
        <v/>
      </c>
      <c r="F659" s="14" t="n">
        <v>0.027</v>
      </c>
      <c r="G659" s="92">
        <f t="array" ref="G659">IF(B659="insumo",_xlfn.XLOOKUP($D659,Insumos!$B$1:$B$996,Insumos!$D$1:$D$996),"")</f>
        <v/>
      </c>
      <c r="H659" s="92" t="n">
        <v>0.48951</v>
      </c>
      <c r="I659" s="2162" t="n">
        <v>0</v>
      </c>
      <c r="J659" s="2162" t="n">
        <v>0</v>
      </c>
      <c r="K659" s="2162" t="n"/>
    </row>
    <row r="660" outlineLevel="3" ht="15.75" customHeight="1">
      <c r="A660" s="10" t="n">
        <v>10</v>
      </c>
      <c r="B660" s="10" t="inlineStr">
        <is>
          <t>Insumo</t>
        </is>
      </c>
      <c r="C660" s="10" t="inlineStr">
        <is>
          <t>Montagem e Desmontagem de Fôrma de Lajes</t>
        </is>
      </c>
      <c r="D660" s="10" t="inlineStr">
        <is>
          <t xml:space="preserve">DESMOLDANTE PROTETOR PARA FORMAS DE MADEIRA, DE BASE OLEOSA EMULSIONADA EM AGUA   </t>
        </is>
      </c>
      <c r="E660" s="11">
        <f t="array" ref="E660">_xlfn.XLOOKUP(D660,Insumos!B:B,Insumos!C:$C)</f>
        <v/>
      </c>
      <c r="F660" s="14" t="n">
        <v>0.013</v>
      </c>
      <c r="G660" s="92">
        <f t="array" ref="G660">IF(B660="insumo",_xlfn.XLOOKUP($D660,Insumos!$B$1:$B$996,Insumos!$D$1:$D$996),"")</f>
        <v/>
      </c>
      <c r="H660" s="92" t="n">
        <v>0.20215</v>
      </c>
      <c r="I660" s="2162" t="n">
        <v>0</v>
      </c>
      <c r="J660" s="2162" t="n">
        <v>0</v>
      </c>
      <c r="K660" s="2162" t="n"/>
    </row>
    <row r="661" outlineLevel="2" ht="16.5" customHeight="1">
      <c r="A661" s="1071" t="n">
        <v>1</v>
      </c>
      <c r="B661" s="1071" t="inlineStr">
        <is>
          <t>Serviço</t>
        </is>
      </c>
      <c r="C661" s="1071" t="inlineStr">
        <is>
          <t>Montagem e Desmontagem de Fôrma de Escadas</t>
        </is>
      </c>
      <c r="D661" s="1071" t="inlineStr">
        <is>
          <t>Montagem e Desmontagem de Fôrma de Escadas</t>
        </is>
      </c>
      <c r="E661" s="1072" t="inlineStr">
        <is>
          <t>M2</t>
        </is>
      </c>
      <c r="F661" s="1071" t="n"/>
      <c r="G661" s="1073">
        <f t="array" ref="G661">IF(B661="insumo",_xlfn.XLOOKUP($D661,Insumos!$B$1:$B$996,Insumos!$D$1:$D$996),"")</f>
        <v/>
      </c>
      <c r="H661" s="1073" t="n">
        <v>0.9871799999999999</v>
      </c>
      <c r="I661" s="2163" t="n">
        <v>0</v>
      </c>
      <c r="J661" s="2163" t="n">
        <v>0</v>
      </c>
      <c r="K661" s="2163" t="n"/>
    </row>
    <row r="662" outlineLevel="3" ht="12.75" customHeight="1">
      <c r="A662" s="82" t="n">
        <v>3</v>
      </c>
      <c r="B662" s="82" t="inlineStr">
        <is>
          <t>Insumo</t>
        </is>
      </c>
      <c r="C662" s="82" t="inlineStr">
        <is>
          <t>Montagem e Desmontagem de Fôrma de Escadas</t>
        </is>
      </c>
      <c r="D662" s="82" t="inlineStr">
        <is>
          <t>PREGO DE ACO POLIDO COM CABECA 15 X 15 (1 1/4 X 13)</t>
        </is>
      </c>
      <c r="E662" s="11">
        <f t="array" ref="E662">_xlfn.XLOOKUP(D662,Insumos!B:B,Insumos!C:$C)</f>
        <v/>
      </c>
      <c r="F662" s="2164" t="n">
        <v>0.021</v>
      </c>
      <c r="G662" s="92">
        <f t="array" ref="G662">IF(B662="insumo",_xlfn.XLOOKUP($D662,Insumos!$B$1:$B$996,Insumos!$D$1:$D$996),"")</f>
        <v/>
      </c>
      <c r="H662" s="92" t="n">
        <v>0.37023</v>
      </c>
      <c r="I662" s="2165" t="n">
        <v>0</v>
      </c>
      <c r="J662" s="2165" t="n">
        <v>0</v>
      </c>
      <c r="K662" s="2165" t="n"/>
    </row>
    <row r="663" outlineLevel="3" ht="12.75" customHeight="1">
      <c r="A663" s="82" t="n">
        <v>10</v>
      </c>
      <c r="B663" s="82" t="inlineStr">
        <is>
          <t>Insumo</t>
        </is>
      </c>
      <c r="C663" s="82" t="inlineStr">
        <is>
          <t>Montagem e Desmontagem de Fôrma de Escadas</t>
        </is>
      </c>
      <c r="D663" s="82" t="inlineStr">
        <is>
          <t xml:space="preserve">DESMOLDANTE PROTETOR PARA FORMAS DE MADEIRA, DE BASE OLEOSA EMULSIONADA EM AGUA   </t>
        </is>
      </c>
      <c r="E663" s="11">
        <f t="array" ref="E663">_xlfn.XLOOKUP(D663,Insumos!B:B,Insumos!C:$C)</f>
        <v/>
      </c>
      <c r="F663" s="2164" t="n">
        <v>0.004</v>
      </c>
      <c r="G663" s="92">
        <f t="array" ref="G663">IF(B663="insumo",_xlfn.XLOOKUP($D663,Insumos!$B$1:$B$996,Insumos!$D$1:$D$996),"")</f>
        <v/>
      </c>
      <c r="H663" s="92" t="n">
        <v>0.0622</v>
      </c>
      <c r="I663" s="2165" t="n">
        <v>0</v>
      </c>
      <c r="J663" s="2165" t="n">
        <v>0</v>
      </c>
      <c r="K663" s="2165" t="n"/>
    </row>
    <row r="664" outlineLevel="3" ht="12.75" customHeight="1">
      <c r="A664" s="82" t="n">
        <v>2</v>
      </c>
      <c r="B664" s="82" t="inlineStr">
        <is>
          <t>Insumo</t>
        </is>
      </c>
      <c r="C664" s="82" t="inlineStr">
        <is>
          <t>Montagem e Desmontagem de Fôrma de Escadas</t>
        </is>
      </c>
      <c r="D664" s="82" t="inlineStr">
        <is>
          <t>PREGO DE ACO POLIDO COM CABECA 17 X 24 (2 1/4 X11)</t>
        </is>
      </c>
      <c r="E664" s="11">
        <f t="array" ref="E664">_xlfn.XLOOKUP(D664,Insumos!B:B,Insumos!C:$C)</f>
        <v/>
      </c>
      <c r="F664" s="2164" t="n">
        <v>0.035</v>
      </c>
      <c r="G664" s="92">
        <f t="array" ref="G664">IF(B664="insumo",_xlfn.XLOOKUP($D664,Insumos!$B$1:$B$996,Insumos!$D$1:$D$996),"")</f>
        <v/>
      </c>
      <c r="H664" s="92" t="n">
        <v>0.55475</v>
      </c>
      <c r="I664" s="2165" t="n">
        <v>0</v>
      </c>
      <c r="J664" s="2165" t="n">
        <v>0</v>
      </c>
      <c r="K664" s="2165" t="n"/>
    </row>
    <row r="665" outlineLevel="1" ht="15.75" customHeight="1">
      <c r="A665" s="1090" t="n">
        <v>4</v>
      </c>
      <c r="B665" s="1090" t="inlineStr">
        <is>
          <t>Subetapa</t>
        </is>
      </c>
      <c r="C665" s="1090" t="inlineStr">
        <is>
          <t>Montagem e Desmontagem de Fôrma de Escadas</t>
        </is>
      </c>
      <c r="D665" s="1090" t="inlineStr">
        <is>
          <t>ARMADURA</t>
        </is>
      </c>
      <c r="E665" s="1091" t="n"/>
      <c r="F665" s="2160" t="n"/>
      <c r="G665" s="1091" t="n"/>
      <c r="H665" s="1091" t="n">
        <v>0</v>
      </c>
      <c r="I665" s="2160" t="n">
        <v>0</v>
      </c>
      <c r="J665" s="2160" t="n">
        <v>0</v>
      </c>
      <c r="K665" s="2160" t="n"/>
    </row>
    <row r="666" outlineLevel="2" ht="15.75" customHeight="1">
      <c r="A666" s="1067" t="n">
        <v>1</v>
      </c>
      <c r="B666" s="1067" t="inlineStr">
        <is>
          <t>Serviço</t>
        </is>
      </c>
      <c r="C666" s="1067" t="inlineStr">
        <is>
          <t>Armação Aço CA-60, Diâmetro de 5,0mm para Supraestrutura, Corte e Dobra em Obra</t>
        </is>
      </c>
      <c r="D666" s="1067" t="inlineStr">
        <is>
          <t>Armação Aço CA-60, Diâmetro de 5,0mm para Supraestrutura, Corte e Dobra em Obra</t>
        </is>
      </c>
      <c r="E666" s="1068" t="inlineStr">
        <is>
          <t>KG</t>
        </is>
      </c>
      <c r="F666" s="1067" t="n"/>
      <c r="G666" s="1069">
        <f t="array" ref="G666">IF(B666="insumo",_xlfn.XLOOKUP($D666,Insumos!$B$1:$B$996,Insumos!$D$1:$D$996),"")</f>
        <v/>
      </c>
      <c r="H666" s="1069" t="n">
        <v>7.0540466249184</v>
      </c>
      <c r="I666" s="2161" t="n">
        <v>0</v>
      </c>
      <c r="J666" s="2161" t="n">
        <v>0</v>
      </c>
      <c r="K666" s="2161" t="n"/>
    </row>
    <row r="667" outlineLevel="3" ht="15.75" customHeight="1">
      <c r="A667" s="10" t="n">
        <v>5</v>
      </c>
      <c r="B667" s="10" t="inlineStr">
        <is>
          <t>Insumo</t>
        </is>
      </c>
      <c r="C667" s="10" t="inlineStr">
        <is>
          <t>Armação Aço CA-60, Diâmetro de 5,0mm para Supraestrutura, Corte e Dobra em Obra</t>
        </is>
      </c>
      <c r="D667" s="10" t="inlineStr">
        <is>
          <t>Aço CA60 5,0mm</t>
        </is>
      </c>
      <c r="E667" s="11">
        <f t="array" ref="E667">_xlfn.XLOOKUP(D667,Insumos!B:B,Insumos!C:$C)</f>
        <v/>
      </c>
      <c r="F667" s="14" t="n">
        <v>1.1</v>
      </c>
      <c r="G667" s="92">
        <f t="array" ref="G667">IF(B667="insumo",_xlfn.XLOOKUP($D667,Insumos!$B$1:$B$996,Insumos!$D$1:$D$996),"")</f>
        <v/>
      </c>
      <c r="H667" s="92" t="n">
        <v>6.7590816249184</v>
      </c>
      <c r="I667" s="2162" t="n">
        <v>0</v>
      </c>
      <c r="J667" s="2162" t="n">
        <v>0</v>
      </c>
      <c r="K667" s="2162" t="n"/>
    </row>
    <row r="668" outlineLevel="3" ht="15.75" customHeight="1">
      <c r="A668" s="10" t="n">
        <v>21</v>
      </c>
      <c r="B668" s="10" t="inlineStr">
        <is>
          <t>Insumo</t>
        </is>
      </c>
      <c r="C668" s="10" t="inlineStr">
        <is>
          <t>Armação Aço CA-60, Diâmetro de 5,0mm para Supraestrutura, Corte e Dobra em Obra</t>
        </is>
      </c>
      <c r="D668" s="10" t="inlineStr">
        <is>
          <t xml:space="preserve">Arame Recozido BWG 18 </t>
        </is>
      </c>
      <c r="E668" s="11">
        <f t="array" ref="E668">_xlfn.XLOOKUP(D668,Insumos!B:B,Insumos!C:$C)</f>
        <v/>
      </c>
      <c r="F668" s="14" t="n">
        <v>0.0205</v>
      </c>
      <c r="G668" s="92">
        <f t="array" ref="G668">IF(B668="insumo",_xlfn.XLOOKUP($D668,Insumos!$B$1:$B$996,Insumos!$D$1:$D$996),"")</f>
        <v/>
      </c>
      <c r="H668" s="92" t="n">
        <v>0.281465</v>
      </c>
      <c r="I668" s="2162" t="n">
        <v>0</v>
      </c>
      <c r="J668" s="2162" t="n">
        <v>0</v>
      </c>
      <c r="K668" s="2162" t="n"/>
    </row>
    <row r="669" outlineLevel="3" ht="15.75" customHeight="1">
      <c r="A669" s="10" t="n">
        <v>62</v>
      </c>
      <c r="B669" s="10" t="inlineStr">
        <is>
          <t>Insumo</t>
        </is>
      </c>
      <c r="C669" s="10" t="inlineStr">
        <is>
          <t>Armação Aço CA-60, Diâmetro de 5,0mm para Supraestrutura, Corte e Dobra em Obra</t>
        </is>
      </c>
      <c r="D669" s="10" t="inlineStr">
        <is>
          <t>Espaçador para armadura</t>
        </is>
      </c>
      <c r="E669" s="11">
        <f t="array" ref="E669">_xlfn.XLOOKUP(D669,Insumos!B:B,Insumos!C:$C)</f>
        <v/>
      </c>
      <c r="F669" s="14" t="n">
        <v>0.05</v>
      </c>
      <c r="G669" s="92">
        <f t="array" ref="G669">IF(B669="insumo",_xlfn.XLOOKUP($D669,Insumos!$B$1:$B$996,Insumos!$D$1:$D$996),"")</f>
        <v/>
      </c>
      <c r="H669" s="92" t="n">
        <v>0.0135</v>
      </c>
      <c r="I669" s="2162" t="n">
        <v>0</v>
      </c>
      <c r="J669" s="2162" t="n">
        <v>0</v>
      </c>
      <c r="K669" s="2162" t="n"/>
    </row>
    <row r="670" outlineLevel="2" ht="15.75" customHeight="1">
      <c r="A670" s="1067" t="n">
        <v>1</v>
      </c>
      <c r="B670" s="1067" t="inlineStr">
        <is>
          <t>Serviço</t>
        </is>
      </c>
      <c r="C670" s="1067" t="inlineStr">
        <is>
          <t>Armação Aço CA-50, Diâmetro de 6,3mm para Supraestrutura, Corte e Dobra em Obra</t>
        </is>
      </c>
      <c r="D670" s="1067" t="inlineStr">
        <is>
          <t>Armação Aço CA-50, Diâmetro de 6,3mm para Supraestrutura, Corte e Dobra em Obra</t>
        </is>
      </c>
      <c r="E670" s="1068" t="inlineStr">
        <is>
          <t>KG</t>
        </is>
      </c>
      <c r="F670" s="1067" t="n"/>
      <c r="G670" s="1069">
        <f t="array" ref="G670">IF(B670="insumo",_xlfn.XLOOKUP($D670,Insumos!$B$1:$B$996,Insumos!$D$1:$D$996),"")</f>
        <v/>
      </c>
      <c r="H670" s="1069" t="n">
        <v>6.0803873937957</v>
      </c>
      <c r="I670" s="2161" t="n">
        <v>0</v>
      </c>
      <c r="J670" s="2161" t="n">
        <v>0</v>
      </c>
      <c r="K670" s="2161" t="n"/>
    </row>
    <row r="671" outlineLevel="3" ht="15.75" customHeight="1">
      <c r="A671" s="10" t="n">
        <v>4</v>
      </c>
      <c r="B671" s="10" t="inlineStr">
        <is>
          <t>Insumo</t>
        </is>
      </c>
      <c r="C671" s="10" t="inlineStr">
        <is>
          <t>Armação Aço CA-50, Diâmetro de 6,3mm para Supraestrutura, Corte e Dobra em Obra</t>
        </is>
      </c>
      <c r="D671" s="10" t="inlineStr">
        <is>
          <t>Aço CA50 6,3 mm</t>
        </is>
      </c>
      <c r="E671" s="11">
        <f t="array" ref="E671">_xlfn.XLOOKUP(D671,Insumos!B:B,Insumos!C:$C)</f>
        <v/>
      </c>
      <c r="F671" s="14" t="n">
        <v>1.1</v>
      </c>
      <c r="G671" s="92">
        <f t="array" ref="G671">IF(B671="insumo",_xlfn.XLOOKUP($D671,Insumos!$B$1:$B$996,Insumos!$D$1:$D$996),"")</f>
        <v/>
      </c>
      <c r="H671" s="92" t="n">
        <v>5.7854223937957</v>
      </c>
      <c r="I671" s="2162" t="n">
        <v>0</v>
      </c>
      <c r="J671" s="2162" t="n">
        <v>0</v>
      </c>
      <c r="K671" s="2162" t="n"/>
    </row>
    <row r="672" outlineLevel="3" ht="15.75" customHeight="1">
      <c r="A672" s="10" t="n">
        <v>21</v>
      </c>
      <c r="B672" s="10" t="inlineStr">
        <is>
          <t>Insumo</t>
        </is>
      </c>
      <c r="C672" s="10" t="inlineStr">
        <is>
          <t>Armação Aço CA-50, Diâmetro de 6,3mm para Supraestrutura, Corte e Dobra em Obra</t>
        </is>
      </c>
      <c r="D672" s="10" t="inlineStr">
        <is>
          <t xml:space="preserve">Arame Recozido BWG 18 </t>
        </is>
      </c>
      <c r="E672" s="11">
        <f t="array" ref="E672">_xlfn.XLOOKUP(D672,Insumos!B:B,Insumos!C:$C)</f>
        <v/>
      </c>
      <c r="F672" s="14" t="n">
        <v>0.0205</v>
      </c>
      <c r="G672" s="92">
        <f t="array" ref="G672">IF(B672="insumo",_xlfn.XLOOKUP($D672,Insumos!$B$1:$B$996,Insumos!$D$1:$D$996),"")</f>
        <v/>
      </c>
      <c r="H672" s="92" t="n">
        <v>0.281465</v>
      </c>
      <c r="I672" s="2162" t="n">
        <v>0</v>
      </c>
      <c r="J672" s="2162" t="n">
        <v>0</v>
      </c>
      <c r="K672" s="2162" t="n"/>
    </row>
    <row r="673" outlineLevel="3" ht="15.75" customHeight="1">
      <c r="A673" s="10" t="n">
        <v>62</v>
      </c>
      <c r="B673" s="10" t="inlineStr">
        <is>
          <t>Insumo</t>
        </is>
      </c>
      <c r="C673" s="10" t="inlineStr">
        <is>
          <t>Armação Aço CA-50, Diâmetro de 6,3mm para Supraestrutura, Corte e Dobra em Obra</t>
        </is>
      </c>
      <c r="D673" s="10" t="inlineStr">
        <is>
          <t>Espaçador para armadura</t>
        </is>
      </c>
      <c r="E673" s="11">
        <f t="array" ref="E673">_xlfn.XLOOKUP(D673,Insumos!B:B,Insumos!C:$C)</f>
        <v/>
      </c>
      <c r="F673" s="14" t="n">
        <v>0.05</v>
      </c>
      <c r="G673" s="92">
        <f t="array" ref="G673">IF(B673="insumo",_xlfn.XLOOKUP($D673,Insumos!$B$1:$B$996,Insumos!$D$1:$D$996),"")</f>
        <v/>
      </c>
      <c r="H673" s="92" t="n">
        <v>0.0135</v>
      </c>
      <c r="I673" s="2162" t="n">
        <v>0</v>
      </c>
      <c r="J673" s="2162" t="n">
        <v>0</v>
      </c>
      <c r="K673" s="2162" t="n"/>
    </row>
    <row r="674" outlineLevel="2" ht="15.75" customHeight="1">
      <c r="A674" s="1067" t="n">
        <v>1</v>
      </c>
      <c r="B674" s="1067" t="inlineStr">
        <is>
          <t>Serviço</t>
        </is>
      </c>
      <c r="C674" s="1067" t="inlineStr">
        <is>
          <t>Armação Aço CA-50, Diâmetro de 8,0mm para Supraestrutura, Corte e Dobra em Obra</t>
        </is>
      </c>
      <c r="D674" s="1067" t="inlineStr">
        <is>
          <t>Armação Aço CA-50, Diâmetro de 8,0mm para Supraestrutura, Corte e Dobra em Obra</t>
        </is>
      </c>
      <c r="E674" s="1068" t="inlineStr">
        <is>
          <t>KG</t>
        </is>
      </c>
      <c r="F674" s="1067" t="n"/>
      <c r="G674" s="1069">
        <f t="array" ref="G674">IF(B674="insumo",_xlfn.XLOOKUP($D674,Insumos!$B$1:$B$996,Insumos!$D$1:$D$996),"")</f>
        <v/>
      </c>
      <c r="H674" s="1069" t="n">
        <v>5.71230765890462</v>
      </c>
      <c r="I674" s="2161" t="n">
        <v>0</v>
      </c>
      <c r="J674" s="2161" t="n">
        <v>0</v>
      </c>
      <c r="K674" s="2161" t="n"/>
    </row>
    <row r="675" outlineLevel="3" ht="15.75" customHeight="1">
      <c r="A675" s="10" t="n">
        <v>5</v>
      </c>
      <c r="B675" s="10" t="inlineStr">
        <is>
          <t>Insumo</t>
        </is>
      </c>
      <c r="C675" s="10" t="inlineStr">
        <is>
          <t>Armação Aço CA-50, Diâmetro de 8,0mm para Supraestrutura, Corte e Dobra em Obra</t>
        </is>
      </c>
      <c r="D675" s="10" t="inlineStr">
        <is>
          <t>Aço CA50 8,0 mm</t>
        </is>
      </c>
      <c r="E675" s="11">
        <f t="array" ref="E675">_xlfn.XLOOKUP(D675,Insumos!B:B,Insumos!C:$C)</f>
        <v/>
      </c>
      <c r="F675" s="14" t="n">
        <v>1.1</v>
      </c>
      <c r="G675" s="92">
        <f t="array" ref="G675">IF(B675="insumo",_xlfn.XLOOKUP($D675,Insumos!$B$1:$B$996,Insumos!$D$1:$D$996),"")</f>
        <v/>
      </c>
      <c r="H675" s="92" t="n">
        <v>5.41734265890462</v>
      </c>
      <c r="I675" s="2162" t="n">
        <v>0</v>
      </c>
      <c r="J675" s="2162" t="n">
        <v>0</v>
      </c>
      <c r="K675" s="2162" t="n"/>
    </row>
    <row r="676" outlineLevel="3" ht="15.75" customHeight="1">
      <c r="A676" s="10" t="n">
        <v>21</v>
      </c>
      <c r="B676" s="10" t="inlineStr">
        <is>
          <t>Insumo</t>
        </is>
      </c>
      <c r="C676" s="10" t="inlineStr">
        <is>
          <t>Armação Aço CA-50, Diâmetro de 8,0mm para Supraestrutura, Corte e Dobra em Obra</t>
        </is>
      </c>
      <c r="D676" s="10" t="inlineStr">
        <is>
          <t xml:space="preserve">Arame Recozido BWG 18 </t>
        </is>
      </c>
      <c r="E676" s="11">
        <f t="array" ref="E676">_xlfn.XLOOKUP(D676,Insumos!B:B,Insumos!C:$C)</f>
        <v/>
      </c>
      <c r="F676" s="14" t="n">
        <v>0.0205</v>
      </c>
      <c r="G676" s="92">
        <f t="array" ref="G676">IF(B676="insumo",_xlfn.XLOOKUP($D676,Insumos!$B$1:$B$996,Insumos!$D$1:$D$996),"")</f>
        <v/>
      </c>
      <c r="H676" s="92" t="n">
        <v>0.281465</v>
      </c>
      <c r="I676" s="2162" t="n">
        <v>0</v>
      </c>
      <c r="J676" s="2162" t="n">
        <v>0</v>
      </c>
      <c r="K676" s="2162" t="n"/>
    </row>
    <row r="677" outlineLevel="3" ht="15.75" customHeight="1">
      <c r="A677" s="10" t="n">
        <v>62</v>
      </c>
      <c r="B677" s="10" t="inlineStr">
        <is>
          <t>Insumo</t>
        </is>
      </c>
      <c r="C677" s="10" t="inlineStr">
        <is>
          <t>Armação Aço CA-50, Diâmetro de 8,0mm para Supraestrutura, Corte e Dobra em Obra</t>
        </is>
      </c>
      <c r="D677" s="10" t="inlineStr">
        <is>
          <t>Espaçador para armadura</t>
        </is>
      </c>
      <c r="E677" s="11">
        <f t="array" ref="E677">_xlfn.XLOOKUP(D677,Insumos!B:B,Insumos!C:$C)</f>
        <v/>
      </c>
      <c r="F677" s="14" t="n">
        <v>0.05</v>
      </c>
      <c r="G677" s="92">
        <f t="array" ref="G677">IF(B677="insumo",_xlfn.XLOOKUP($D677,Insumos!$B$1:$B$996,Insumos!$D$1:$D$996),"")</f>
        <v/>
      </c>
      <c r="H677" s="92" t="n">
        <v>0.0135</v>
      </c>
      <c r="I677" s="2162" t="n">
        <v>0</v>
      </c>
      <c r="J677" s="2162" t="n">
        <v>0</v>
      </c>
      <c r="K677" s="2162" t="n"/>
    </row>
    <row r="678" outlineLevel="2" ht="15.75" customHeight="1">
      <c r="A678" s="1067" t="n">
        <v>1</v>
      </c>
      <c r="B678" s="1067" t="inlineStr">
        <is>
          <t>Serviço</t>
        </is>
      </c>
      <c r="C678" s="1067" t="inlineStr">
        <is>
          <t>Armação Aço CA-50, Diâmetro de 10,0mm para Supraestrutura, Corte e Dobra em Obra</t>
        </is>
      </c>
      <c r="D678" s="1067" t="inlineStr">
        <is>
          <t>Armação Aço CA-50, Diâmetro de 10,0mm para Supraestrutura, Corte e Dobra em Obra</t>
        </is>
      </c>
      <c r="E678" s="1068" t="inlineStr">
        <is>
          <t>KG</t>
        </is>
      </c>
      <c r="F678" s="1067" t="n"/>
      <c r="G678" s="1069">
        <f t="array" ref="G678">IF(B678="insumo",_xlfn.XLOOKUP($D678,Insumos!$B$1:$B$996,Insumos!$D$1:$D$996),"")</f>
        <v/>
      </c>
      <c r="H678" s="1069" t="n">
        <v>5.57571771932025</v>
      </c>
      <c r="I678" s="2161" t="n">
        <v>0</v>
      </c>
      <c r="J678" s="2161" t="n">
        <v>0</v>
      </c>
      <c r="K678" s="2161" t="n"/>
    </row>
    <row r="679" outlineLevel="3" ht="15.75" customHeight="1">
      <c r="A679" s="10" t="n">
        <v>4</v>
      </c>
      <c r="B679" s="10" t="inlineStr">
        <is>
          <t>Insumo</t>
        </is>
      </c>
      <c r="C679" s="10" t="inlineStr">
        <is>
          <t>Armação Aço CA-50, Diâmetro de 10,0mm para Supraestrutura, Corte e Dobra em Obra</t>
        </is>
      </c>
      <c r="D679" s="10" t="inlineStr">
        <is>
          <t>Aço CA50 10,0 mm</t>
        </is>
      </c>
      <c r="E679" s="11">
        <f t="array" ref="E679">_xlfn.XLOOKUP(D679,Insumos!B:B,Insumos!C:$C)</f>
        <v/>
      </c>
      <c r="F679" s="14" t="n">
        <v>1.1</v>
      </c>
      <c r="G679" s="92">
        <f t="array" ref="G679">IF(B679="insumo",_xlfn.XLOOKUP($D679,Insumos!$B$1:$B$996,Insumos!$D$1:$D$996),"")</f>
        <v/>
      </c>
      <c r="H679" s="92" t="n">
        <v>5.28075271932025</v>
      </c>
      <c r="I679" s="2162" t="n">
        <v>0</v>
      </c>
      <c r="J679" s="2162" t="n">
        <v>0</v>
      </c>
      <c r="K679" s="2162" t="n"/>
    </row>
    <row r="680" outlineLevel="3" ht="15.75" customHeight="1">
      <c r="A680" s="10" t="n">
        <v>21</v>
      </c>
      <c r="B680" s="10" t="inlineStr">
        <is>
          <t>Insumo</t>
        </is>
      </c>
      <c r="C680" s="10" t="inlineStr">
        <is>
          <t>Armação Aço CA-50, Diâmetro de 10,0mm para Supraestrutura, Corte e Dobra em Obra</t>
        </is>
      </c>
      <c r="D680" s="10" t="inlineStr">
        <is>
          <t xml:space="preserve">Arame Recozido BWG 18 </t>
        </is>
      </c>
      <c r="E680" s="11">
        <f t="array" ref="E680">_xlfn.XLOOKUP(D680,Insumos!B:B,Insumos!C:$C)</f>
        <v/>
      </c>
      <c r="F680" s="14" t="n">
        <v>0.0205</v>
      </c>
      <c r="G680" s="92">
        <f t="array" ref="G680">IF(B680="insumo",_xlfn.XLOOKUP($D680,Insumos!$B$1:$B$996,Insumos!$D$1:$D$996),"")</f>
        <v/>
      </c>
      <c r="H680" s="92" t="n">
        <v>0.281465</v>
      </c>
      <c r="I680" s="2162" t="n">
        <v>0</v>
      </c>
      <c r="J680" s="2162" t="n">
        <v>0</v>
      </c>
      <c r="K680" s="2162" t="n"/>
    </row>
    <row r="681" outlineLevel="3" ht="15.75" customHeight="1">
      <c r="A681" s="10" t="n">
        <v>62</v>
      </c>
      <c r="B681" s="10" t="inlineStr">
        <is>
          <t>Insumo</t>
        </is>
      </c>
      <c r="C681" s="10" t="inlineStr">
        <is>
          <t>Armação Aço CA-50, Diâmetro de 10,0mm para Supraestrutura, Corte e Dobra em Obra</t>
        </is>
      </c>
      <c r="D681" s="10" t="inlineStr">
        <is>
          <t>Espaçador para armadura</t>
        </is>
      </c>
      <c r="E681" s="11">
        <f t="array" ref="E681">_xlfn.XLOOKUP(D681,Insumos!B:B,Insumos!C:$C)</f>
        <v/>
      </c>
      <c r="F681" s="14" t="n">
        <v>0.05</v>
      </c>
      <c r="G681" s="92">
        <f t="array" ref="G681">IF(B681="insumo",_xlfn.XLOOKUP($D681,Insumos!$B$1:$B$996,Insumos!$D$1:$D$996),"")</f>
        <v/>
      </c>
      <c r="H681" s="92" t="n">
        <v>0.0135</v>
      </c>
      <c r="I681" s="2162" t="n">
        <v>0</v>
      </c>
      <c r="J681" s="2162" t="n">
        <v>0</v>
      </c>
      <c r="K681" s="2162" t="n"/>
    </row>
    <row r="682" outlineLevel="2" ht="15.75" customHeight="1">
      <c r="A682" s="1067" t="n">
        <v>1</v>
      </c>
      <c r="B682" s="1067" t="inlineStr">
        <is>
          <t>Serviço</t>
        </is>
      </c>
      <c r="C682" s="1067" t="inlineStr">
        <is>
          <t>Armação Aço CA-50, Diâmetro de 12,5mm para Supraestrutura, Corte e Dobra em Obra</t>
        </is>
      </c>
      <c r="D682" s="1067" t="inlineStr">
        <is>
          <t>Armação Aço CA-50, Diâmetro de 12,5mm para Supraestrutura, Corte e Dobra em Obra</t>
        </is>
      </c>
      <c r="E682" s="1068" t="inlineStr">
        <is>
          <t>KG</t>
        </is>
      </c>
      <c r="F682" s="1067" t="n"/>
      <c r="G682" s="1069">
        <f t="array" ref="G682">IF(B682="insumo",_xlfn.XLOOKUP($D682,Insumos!$B$1:$B$996,Insumos!$D$1:$D$996),"")</f>
        <v/>
      </c>
      <c r="H682" s="1069" t="n">
        <v>5.85335908446873</v>
      </c>
      <c r="I682" s="2161" t="n">
        <v>0</v>
      </c>
      <c r="J682" s="2161" t="n">
        <v>0</v>
      </c>
      <c r="K682" s="2161" t="n"/>
    </row>
    <row r="683" outlineLevel="3" ht="15.75" customHeight="1">
      <c r="A683" s="10" t="n">
        <v>3</v>
      </c>
      <c r="B683" s="10" t="inlineStr">
        <is>
          <t>Insumo</t>
        </is>
      </c>
      <c r="C683" s="10" t="inlineStr">
        <is>
          <t>Armação Aço CA-50, Diâmetro de 12,5mm para Supraestrutura, Corte e Dobra em Obra</t>
        </is>
      </c>
      <c r="D683" s="10" t="inlineStr">
        <is>
          <t>Aço CA50 12,5 mm</t>
        </is>
      </c>
      <c r="E683" s="11">
        <f t="array" ref="E683">_xlfn.XLOOKUP(D683,Insumos!B:B,Insumos!C:$C)</f>
        <v/>
      </c>
      <c r="F683" s="14" t="n">
        <v>1.1</v>
      </c>
      <c r="G683" s="92">
        <f t="array" ref="G683">IF(B683="insumo",_xlfn.XLOOKUP($D683,Insumos!$B$1:$B$996,Insumos!$D$1:$D$996),"")</f>
        <v/>
      </c>
      <c r="H683" s="92" t="n">
        <v>5.55839408446873</v>
      </c>
      <c r="I683" s="2162" t="n">
        <v>0</v>
      </c>
      <c r="J683" s="2162" t="n">
        <v>0</v>
      </c>
      <c r="K683" s="2162" t="n"/>
    </row>
    <row r="684" outlineLevel="3" ht="15.75" customHeight="1">
      <c r="A684" s="10" t="n">
        <v>21</v>
      </c>
      <c r="B684" s="10" t="inlineStr">
        <is>
          <t>Insumo</t>
        </is>
      </c>
      <c r="C684" s="10" t="inlineStr">
        <is>
          <t>Armação Aço CA-50, Diâmetro de 12,5mm para Supraestrutura, Corte e Dobra em Obra</t>
        </is>
      </c>
      <c r="D684" s="10" t="inlineStr">
        <is>
          <t xml:space="preserve">Arame Recozido BWG 18 </t>
        </is>
      </c>
      <c r="E684" s="11">
        <f t="array" ref="E684">_xlfn.XLOOKUP(D684,Insumos!B:B,Insumos!C:$C)</f>
        <v/>
      </c>
      <c r="F684" s="14" t="n">
        <v>0.0205</v>
      </c>
      <c r="G684" s="92">
        <f t="array" ref="G684">IF(B684="insumo",_xlfn.XLOOKUP($D684,Insumos!$B$1:$B$996,Insumos!$D$1:$D$996),"")</f>
        <v/>
      </c>
      <c r="H684" s="92" t="n">
        <v>0.281465</v>
      </c>
      <c r="I684" s="2162" t="n">
        <v>0</v>
      </c>
      <c r="J684" s="2162" t="n">
        <v>0</v>
      </c>
      <c r="K684" s="2162" t="n"/>
    </row>
    <row r="685" outlineLevel="3" ht="15.75" customHeight="1">
      <c r="A685" s="10" t="n">
        <v>62</v>
      </c>
      <c r="B685" s="10" t="inlineStr">
        <is>
          <t>Insumo</t>
        </is>
      </c>
      <c r="C685" s="10" t="inlineStr">
        <is>
          <t>Armação Aço CA-50, Diâmetro de 12,5mm para Supraestrutura, Corte e Dobra em Obra</t>
        </is>
      </c>
      <c r="D685" s="10" t="inlineStr">
        <is>
          <t>Espaçador para armadura</t>
        </is>
      </c>
      <c r="E685" s="11">
        <f t="array" ref="E685">_xlfn.XLOOKUP(D685,Insumos!B:B,Insumos!C:$C)</f>
        <v/>
      </c>
      <c r="F685" s="14" t="n">
        <v>0.05</v>
      </c>
      <c r="G685" s="92">
        <f t="array" ref="G685">IF(B685="insumo",_xlfn.XLOOKUP($D685,Insumos!$B$1:$B$996,Insumos!$D$1:$D$996),"")</f>
        <v/>
      </c>
      <c r="H685" s="92" t="n">
        <v>0.0135</v>
      </c>
      <c r="I685" s="2162" t="n">
        <v>0</v>
      </c>
      <c r="J685" s="2162" t="n">
        <v>0</v>
      </c>
      <c r="K685" s="2162" t="n"/>
    </row>
    <row r="686" outlineLevel="2" ht="15.75" customHeight="1">
      <c r="A686" s="1067" t="n">
        <v>1</v>
      </c>
      <c r="B686" s="1067" t="inlineStr">
        <is>
          <t>Serviço</t>
        </is>
      </c>
      <c r="C686" s="1067" t="inlineStr">
        <is>
          <t>Armação Aço CA-50, Diâmetro de 16,0mm para Supraestrutura, Corte e Dobra em Obra</t>
        </is>
      </c>
      <c r="D686" s="1067" t="inlineStr">
        <is>
          <t>Armação Aço CA-50, Diâmetro de 16,0mm para Supraestrutura, Corte e Dobra em Obra</t>
        </is>
      </c>
      <c r="E686" s="1068" t="inlineStr">
        <is>
          <t>KG</t>
        </is>
      </c>
      <c r="F686" s="1067" t="n"/>
      <c r="G686" s="1069">
        <f t="array" ref="G686">IF(B686="insumo",_xlfn.XLOOKUP($D686,Insumos!$B$1:$B$996,Insumos!$D$1:$D$996),"")</f>
        <v/>
      </c>
      <c r="H686" s="1069" t="n">
        <v>5.72958144939818</v>
      </c>
      <c r="I686" s="2161" t="n">
        <v>0</v>
      </c>
      <c r="J686" s="2161" t="n">
        <v>0</v>
      </c>
      <c r="K686" s="2161" t="n"/>
    </row>
    <row r="687" outlineLevel="3" ht="15.75" customHeight="1">
      <c r="A687" s="10" t="n">
        <v>4</v>
      </c>
      <c r="B687" s="10" t="inlineStr">
        <is>
          <t>Insumo</t>
        </is>
      </c>
      <c r="C687" s="10" t="inlineStr">
        <is>
          <t>Armação Aço CA-50, Diâmetro de 16,0mm para Supraestrutura, Corte e Dobra em Obra</t>
        </is>
      </c>
      <c r="D687" s="10" t="inlineStr">
        <is>
          <t>Aço CA50 16,0mm</t>
        </is>
      </c>
      <c r="E687" s="11">
        <f t="array" ref="E687">_xlfn.XLOOKUP(D687,Insumos!B:B,Insumos!C:$C)</f>
        <v/>
      </c>
      <c r="F687" s="14" t="n">
        <v>1.1</v>
      </c>
      <c r="G687" s="92">
        <f t="array" ref="G687">IF(B687="insumo",_xlfn.XLOOKUP($D687,Insumos!$B$1:$B$996,Insumos!$D$1:$D$996),"")</f>
        <v/>
      </c>
      <c r="H687" s="92" t="n">
        <v>5.43461644939818</v>
      </c>
      <c r="I687" s="2162" t="n">
        <v>0</v>
      </c>
      <c r="J687" s="2162" t="n">
        <v>0</v>
      </c>
      <c r="K687" s="2162" t="n"/>
    </row>
    <row r="688" outlineLevel="3" ht="15.75" customHeight="1">
      <c r="A688" s="10" t="n">
        <v>21</v>
      </c>
      <c r="B688" s="10" t="inlineStr">
        <is>
          <t>Insumo</t>
        </is>
      </c>
      <c r="C688" s="10" t="inlineStr">
        <is>
          <t>Armação Aço CA-50, Diâmetro de 16,0mm para Supraestrutura, Corte e Dobra em Obra</t>
        </is>
      </c>
      <c r="D688" s="10" t="inlineStr">
        <is>
          <t xml:space="preserve">Arame Recozido BWG 18 </t>
        </is>
      </c>
      <c r="E688" s="11">
        <f t="array" ref="E688">_xlfn.XLOOKUP(D688,Insumos!B:B,Insumos!C:$C)</f>
        <v/>
      </c>
      <c r="F688" s="14" t="n">
        <v>0.0205</v>
      </c>
      <c r="G688" s="92">
        <f t="array" ref="G688">IF(B688="insumo",_xlfn.XLOOKUP($D688,Insumos!$B$1:$B$996,Insumos!$D$1:$D$996),"")</f>
        <v/>
      </c>
      <c r="H688" s="92" t="n">
        <v>0.281465</v>
      </c>
      <c r="I688" s="2162" t="n">
        <v>0</v>
      </c>
      <c r="J688" s="2162" t="n">
        <v>0</v>
      </c>
      <c r="K688" s="2162" t="n"/>
    </row>
    <row r="689" outlineLevel="3" ht="15.75" customHeight="1">
      <c r="A689" s="10" t="n">
        <v>62</v>
      </c>
      <c r="B689" s="10" t="inlineStr">
        <is>
          <t>Insumo</t>
        </is>
      </c>
      <c r="C689" s="10" t="inlineStr">
        <is>
          <t>Armação Aço CA-50, Diâmetro de 16,0mm para Supraestrutura, Corte e Dobra em Obra</t>
        </is>
      </c>
      <c r="D689" s="10" t="inlineStr">
        <is>
          <t>Espaçador para armadura</t>
        </is>
      </c>
      <c r="E689" s="11">
        <f t="array" ref="E689">_xlfn.XLOOKUP(D689,Insumos!B:B,Insumos!C:$C)</f>
        <v/>
      </c>
      <c r="F689" s="14" t="n">
        <v>0.05</v>
      </c>
      <c r="G689" s="92">
        <f t="array" ref="G689">IF(B689="insumo",_xlfn.XLOOKUP($D689,Insumos!$B$1:$B$996,Insumos!$D$1:$D$996),"")</f>
        <v/>
      </c>
      <c r="H689" s="92" t="n">
        <v>0.0135</v>
      </c>
      <c r="I689" s="2162" t="n">
        <v>0</v>
      </c>
      <c r="J689" s="2162" t="n">
        <v>0</v>
      </c>
      <c r="K689" s="2162" t="n"/>
    </row>
    <row r="690" outlineLevel="2" ht="15.75" customHeight="1">
      <c r="A690" s="1067" t="n">
        <v>1</v>
      </c>
      <c r="B690" s="1067" t="inlineStr">
        <is>
          <t>Serviço</t>
        </is>
      </c>
      <c r="C690" s="1067" t="inlineStr">
        <is>
          <t>Armação Aço CA-50, Diâmetro de 20,0mm para Supraestrutura, Corte e Dobra em Obra</t>
        </is>
      </c>
      <c r="D690" s="1067" t="inlineStr">
        <is>
          <t>Armação Aço CA-50, Diâmetro de 20,0mm para Supraestrutura, Corte e Dobra em Obra</t>
        </is>
      </c>
      <c r="E690" s="1068" t="inlineStr">
        <is>
          <t>KG</t>
        </is>
      </c>
      <c r="F690" s="1067" t="n"/>
      <c r="G690" s="1069">
        <f t="array" ref="G690">IF(B690="insumo",_xlfn.XLOOKUP($D690,Insumos!$B$1:$B$996,Insumos!$D$1:$D$996),"")</f>
        <v/>
      </c>
      <c r="H690" s="1069" t="n">
        <v>5.83284387420167</v>
      </c>
      <c r="I690" s="2161" t="n">
        <v>0</v>
      </c>
      <c r="J690" s="2161" t="n">
        <v>0</v>
      </c>
      <c r="K690" s="2161" t="n"/>
    </row>
    <row r="691" outlineLevel="3" ht="15.75" customHeight="1">
      <c r="A691" s="10" t="n">
        <v>4</v>
      </c>
      <c r="B691" s="10" t="inlineStr">
        <is>
          <t>Insumo</t>
        </is>
      </c>
      <c r="C691" s="10" t="inlineStr">
        <is>
          <t>Armação Aço CA-50, Diâmetro de 20,0mm para Supraestrutura, Corte e Dobra em Obra</t>
        </is>
      </c>
      <c r="D691" s="10" t="inlineStr">
        <is>
          <t>Aço CA50 20,0mm</t>
        </is>
      </c>
      <c r="E691" s="11">
        <f t="array" ref="E691">_xlfn.XLOOKUP(D691,Insumos!B:B,Insumos!C:$C)</f>
        <v/>
      </c>
      <c r="F691" s="14" t="n">
        <v>1.1</v>
      </c>
      <c r="G691" s="92">
        <f t="array" ref="G691">IF(B691="insumo",_xlfn.XLOOKUP($D691,Insumos!$B$1:$B$996,Insumos!$D$1:$D$996),"")</f>
        <v/>
      </c>
      <c r="H691" s="92" t="n">
        <v>5.53787887420167</v>
      </c>
      <c r="I691" s="2162" t="n">
        <v>0</v>
      </c>
      <c r="J691" s="2162" t="n">
        <v>0</v>
      </c>
      <c r="K691" s="2162" t="n"/>
    </row>
    <row r="692" outlineLevel="3" ht="15.75" customHeight="1">
      <c r="A692" s="10" t="n">
        <v>21</v>
      </c>
      <c r="B692" s="10" t="inlineStr">
        <is>
          <t>Insumo</t>
        </is>
      </c>
      <c r="C692" s="10" t="inlineStr">
        <is>
          <t>Armação Aço CA-50, Diâmetro de 20,0mm para Supraestrutura, Corte e Dobra em Obra</t>
        </is>
      </c>
      <c r="D692" s="10" t="inlineStr">
        <is>
          <t xml:space="preserve">Arame Recozido BWG 18 </t>
        </is>
      </c>
      <c r="E692" s="11">
        <f t="array" ref="E692">_xlfn.XLOOKUP(D692,Insumos!B:B,Insumos!C:$C)</f>
        <v/>
      </c>
      <c r="F692" s="14" t="n">
        <v>0.0205</v>
      </c>
      <c r="G692" s="92">
        <f t="array" ref="G692">IF(B692="insumo",_xlfn.XLOOKUP($D692,Insumos!$B$1:$B$996,Insumos!$D$1:$D$996),"")</f>
        <v/>
      </c>
      <c r="H692" s="92" t="n">
        <v>0.281465</v>
      </c>
      <c r="I692" s="2162" t="n">
        <v>0</v>
      </c>
      <c r="J692" s="2162" t="n">
        <v>0</v>
      </c>
      <c r="K692" s="2162" t="n"/>
    </row>
    <row r="693" outlineLevel="3" ht="15.75" customHeight="1">
      <c r="A693" s="10" t="n">
        <v>62</v>
      </c>
      <c r="B693" s="10" t="inlineStr">
        <is>
          <t>Insumo</t>
        </is>
      </c>
      <c r="C693" s="10" t="inlineStr">
        <is>
          <t>Armação Aço CA-50, Diâmetro de 20,0mm para Supraestrutura, Corte e Dobra em Obra</t>
        </is>
      </c>
      <c r="D693" s="10" t="inlineStr">
        <is>
          <t>Espaçador para armadura</t>
        </is>
      </c>
      <c r="E693" s="11">
        <f t="array" ref="E693">_xlfn.XLOOKUP(D693,Insumos!B:B,Insumos!C:$C)</f>
        <v/>
      </c>
      <c r="F693" s="14" t="n">
        <v>0.05</v>
      </c>
      <c r="G693" s="92">
        <f t="array" ref="G693">IF(B693="insumo",_xlfn.XLOOKUP($D693,Insumos!$B$1:$B$996,Insumos!$D$1:$D$996),"")</f>
        <v/>
      </c>
      <c r="H693" s="92" t="n">
        <v>0.0135</v>
      </c>
      <c r="I693" s="2162" t="n">
        <v>0</v>
      </c>
      <c r="J693" s="2162" t="n">
        <v>0</v>
      </c>
      <c r="K693" s="2162" t="n"/>
    </row>
    <row r="694" outlineLevel="2" ht="15.75" customHeight="1">
      <c r="A694" s="1067" t="n">
        <v>1</v>
      </c>
      <c r="B694" s="1067" t="inlineStr">
        <is>
          <t>Serviço</t>
        </is>
      </c>
      <c r="C694" s="1067" t="inlineStr">
        <is>
          <t>Armação Aço CA-50, Diâmetro de 25,0mm para Supraestrutura, Corte e Dobra em Obra</t>
        </is>
      </c>
      <c r="D694" s="1067" t="inlineStr">
        <is>
          <t>Armação Aço CA-50, Diâmetro de 25,0mm para Supraestrutura, Corte e Dobra em Obra</t>
        </is>
      </c>
      <c r="E694" s="1068" t="inlineStr">
        <is>
          <t>KG</t>
        </is>
      </c>
      <c r="F694" s="1067" t="n"/>
      <c r="G694" s="1069">
        <f t="array" ref="G694">IF(B694="insumo",_xlfn.XLOOKUP($D694,Insumos!$B$1:$B$996,Insumos!$D$1:$D$996),"")</f>
        <v/>
      </c>
      <c r="H694" s="1069" t="n">
        <v>5.97191784758844</v>
      </c>
      <c r="I694" s="2161" t="n">
        <v>0</v>
      </c>
      <c r="J694" s="2161" t="n">
        <v>0</v>
      </c>
      <c r="K694" s="2161" t="n"/>
    </row>
    <row r="695" outlineLevel="3" ht="15.75" customHeight="1">
      <c r="A695" s="10" t="n">
        <v>3</v>
      </c>
      <c r="B695" s="10" t="inlineStr">
        <is>
          <t>Insumo</t>
        </is>
      </c>
      <c r="C695" s="10" t="inlineStr">
        <is>
          <t>Armação Aço CA-50, Diâmetro de 25,0mm para Supraestrutura, Corte e Dobra em Obra</t>
        </is>
      </c>
      <c r="D695" s="10" t="inlineStr">
        <is>
          <t>Aço CA50 25,0mm</t>
        </is>
      </c>
      <c r="E695" s="11">
        <f t="array" ref="E695">_xlfn.XLOOKUP(D695,Insumos!B:B,Insumos!C:$C)</f>
        <v/>
      </c>
      <c r="F695" s="14" t="n">
        <v>1.1</v>
      </c>
      <c r="G695" s="92">
        <f t="array" ref="G695">IF(B695="insumo",_xlfn.XLOOKUP($D695,Insumos!$B$1:$B$996,Insumos!$D$1:$D$996),"")</f>
        <v/>
      </c>
      <c r="H695" s="92" t="n">
        <v>5.67695284758844</v>
      </c>
      <c r="I695" s="2162" t="n">
        <v>0</v>
      </c>
      <c r="J695" s="2162" t="n">
        <v>0</v>
      </c>
      <c r="K695" s="2162" t="n"/>
    </row>
    <row r="696" outlineLevel="3" ht="15.75" customHeight="1">
      <c r="A696" s="10" t="n">
        <v>21</v>
      </c>
      <c r="B696" s="10" t="inlineStr">
        <is>
          <t>Insumo</t>
        </is>
      </c>
      <c r="C696" s="10" t="inlineStr">
        <is>
          <t>Armação Aço CA-50, Diâmetro de 25,0mm para Supraestrutura, Corte e Dobra em Obra</t>
        </is>
      </c>
      <c r="D696" s="10" t="inlineStr">
        <is>
          <t xml:space="preserve">Arame Recozido BWG 18 </t>
        </is>
      </c>
      <c r="E696" s="11">
        <f t="array" ref="E696">_xlfn.XLOOKUP(D696,Insumos!B:B,Insumos!C:$C)</f>
        <v/>
      </c>
      <c r="F696" s="14" t="n">
        <v>0.0205</v>
      </c>
      <c r="G696" s="92">
        <f t="array" ref="G696">IF(B696="insumo",_xlfn.XLOOKUP($D696,Insumos!$B$1:$B$996,Insumos!$D$1:$D$996),"")</f>
        <v/>
      </c>
      <c r="H696" s="92" t="n">
        <v>0.281465</v>
      </c>
      <c r="I696" s="2162" t="n">
        <v>0</v>
      </c>
      <c r="J696" s="2162" t="n">
        <v>0</v>
      </c>
      <c r="K696" s="2162" t="n"/>
    </row>
    <row r="697" outlineLevel="3" ht="15.75" customHeight="1">
      <c r="A697" s="10" t="n">
        <v>62</v>
      </c>
      <c r="B697" s="10" t="inlineStr">
        <is>
          <t>Insumo</t>
        </is>
      </c>
      <c r="C697" s="10" t="inlineStr">
        <is>
          <t>Armação Aço CA-50, Diâmetro de 25,0mm para Supraestrutura, Corte e Dobra em Obra</t>
        </is>
      </c>
      <c r="D697" s="10" t="inlineStr">
        <is>
          <t>Espaçador para armadura</t>
        </is>
      </c>
      <c r="E697" s="11">
        <f t="array" ref="E697">_xlfn.XLOOKUP(D697,Insumos!B:B,Insumos!C:$C)</f>
        <v/>
      </c>
      <c r="F697" s="14" t="n">
        <v>0.05</v>
      </c>
      <c r="G697" s="92">
        <f t="array" ref="G697">IF(B697="insumo",_xlfn.XLOOKUP($D697,Insumos!$B$1:$B$996,Insumos!$D$1:$D$996),"")</f>
        <v/>
      </c>
      <c r="H697" s="92" t="n">
        <v>0.0135</v>
      </c>
      <c r="I697" s="2162" t="n">
        <v>0</v>
      </c>
      <c r="J697" s="2162" t="n">
        <v>0</v>
      </c>
      <c r="K697" s="2162" t="n"/>
    </row>
    <row r="698" outlineLevel="2" ht="15.75" customHeight="1">
      <c r="A698" s="1067" t="n">
        <v>1</v>
      </c>
      <c r="B698" s="1067" t="inlineStr">
        <is>
          <t>Serviço</t>
        </is>
      </c>
      <c r="C698" s="1067" t="inlineStr">
        <is>
          <t>Armação Aço CA-50, Diâmetro de 32,0mm para Supraestrutura, Corte e Dobra em Obra</t>
        </is>
      </c>
      <c r="D698" s="1067" t="inlineStr">
        <is>
          <t>Armação Aço CA-50, Diâmetro de 32,0mm para Supraestrutura, Corte e Dobra em Obra</t>
        </is>
      </c>
      <c r="E698" s="1068" t="inlineStr">
        <is>
          <t>KG</t>
        </is>
      </c>
      <c r="F698" s="1067" t="n"/>
      <c r="G698" s="1069">
        <f t="array" ref="G698">IF(B698="insumo",_xlfn.XLOOKUP($D698,Insumos!$B$1:$B$996,Insumos!$D$1:$D$996),"")</f>
        <v/>
      </c>
      <c r="H698" s="1069" t="n">
        <v>7.136965</v>
      </c>
      <c r="I698" s="2161" t="n">
        <v>0</v>
      </c>
      <c r="J698" s="2161" t="n">
        <v>0</v>
      </c>
      <c r="K698" s="2161" t="n"/>
    </row>
    <row r="699" outlineLevel="3" ht="15.75" customHeight="1">
      <c r="A699" s="10" t="n">
        <v>2</v>
      </c>
      <c r="B699" s="10" t="inlineStr">
        <is>
          <t>Insumo</t>
        </is>
      </c>
      <c r="C699" s="10" t="inlineStr">
        <is>
          <t>Armação Aço CA-50, Diâmetro de 32,0mm para Supraestrutura, Corte e Dobra em Obra</t>
        </is>
      </c>
      <c r="D699" s="10" t="inlineStr">
        <is>
          <t>Aço CA60 32,0mm</t>
        </is>
      </c>
      <c r="E699" s="11">
        <f t="array" ref="E699">_xlfn.XLOOKUP(D699,Insumos!B:B,Insumos!C:$C)</f>
        <v/>
      </c>
      <c r="F699" s="14" t="n">
        <v>1.1</v>
      </c>
      <c r="G699" s="92">
        <f t="array" ref="G699">IF(B699="insumo",_xlfn.XLOOKUP($D699,Insumos!$B$1:$B$996,Insumos!$D$1:$D$996),"")</f>
        <v/>
      </c>
      <c r="H699" s="92" t="n">
        <v>6.842</v>
      </c>
      <c r="I699" s="2162" t="n">
        <v>0</v>
      </c>
      <c r="J699" s="2162" t="n">
        <v>0</v>
      </c>
      <c r="K699" s="2162" t="n"/>
    </row>
    <row r="700" outlineLevel="3" ht="15.75" customHeight="1">
      <c r="A700" s="10" t="n">
        <v>21</v>
      </c>
      <c r="B700" s="10" t="inlineStr">
        <is>
          <t>Insumo</t>
        </is>
      </c>
      <c r="C700" s="10" t="inlineStr">
        <is>
          <t>Armação Aço CA-50, Diâmetro de 32,0mm para Supraestrutura, Corte e Dobra em Obra</t>
        </is>
      </c>
      <c r="D700" s="10" t="inlineStr">
        <is>
          <t xml:space="preserve">Arame Recozido BWG 18 </t>
        </is>
      </c>
      <c r="E700" s="11">
        <f t="array" ref="E700">_xlfn.XLOOKUP(D700,Insumos!B:B,Insumos!C:$C)</f>
        <v/>
      </c>
      <c r="F700" s="14" t="n">
        <v>0.0205</v>
      </c>
      <c r="G700" s="92">
        <f t="array" ref="G700">IF(B700="insumo",_xlfn.XLOOKUP($D700,Insumos!$B$1:$B$996,Insumos!$D$1:$D$996),"")</f>
        <v/>
      </c>
      <c r="H700" s="92" t="n">
        <v>0.281465</v>
      </c>
      <c r="I700" s="2162" t="n">
        <v>0</v>
      </c>
      <c r="J700" s="2162" t="n">
        <v>0</v>
      </c>
      <c r="K700" s="2162" t="n"/>
    </row>
    <row r="701" outlineLevel="3" ht="15.75" customHeight="1">
      <c r="A701" s="10" t="n">
        <v>62</v>
      </c>
      <c r="B701" s="10" t="inlineStr">
        <is>
          <t>Insumo</t>
        </is>
      </c>
      <c r="C701" s="10" t="inlineStr">
        <is>
          <t>Armação Aço CA-50, Diâmetro de 32,0mm para Supraestrutura, Corte e Dobra em Obra</t>
        </is>
      </c>
      <c r="D701" s="10" t="inlineStr">
        <is>
          <t>Espaçador para armadura</t>
        </is>
      </c>
      <c r="E701" s="11">
        <f t="array" ref="E701">_xlfn.XLOOKUP(D701,Insumos!B:B,Insumos!C:$C)</f>
        <v/>
      </c>
      <c r="F701" s="14" t="n">
        <v>0.05</v>
      </c>
      <c r="G701" s="92">
        <f t="array" ref="G701">IF(B701="insumo",_xlfn.XLOOKUP($D701,Insumos!$B$1:$B$996,Insumos!$D$1:$D$996),"")</f>
        <v/>
      </c>
      <c r="H701" s="92" t="n">
        <v>0.0135</v>
      </c>
      <c r="I701" s="2162" t="n">
        <v>0</v>
      </c>
      <c r="J701" s="2162" t="n">
        <v>0</v>
      </c>
      <c r="K701" s="2162" t="n"/>
    </row>
    <row r="702" outlineLevel="2" ht="15.75" customHeight="1">
      <c r="A702" s="1067" t="n">
        <v>1</v>
      </c>
      <c r="B702" s="1067" t="inlineStr">
        <is>
          <t>Serviço</t>
        </is>
      </c>
      <c r="C702" s="1067" t="inlineStr">
        <is>
          <t>Armação Aço CA-60, Diâmetro de 5,0mm para Supraestrutura, Corte e dobra em Indústria</t>
        </is>
      </c>
      <c r="D702" s="1067" t="inlineStr">
        <is>
          <t>Armação Aço CA-60, Diâmetro de 5,0mm para Supraestrutura, Corte e dobra em Indústria</t>
        </is>
      </c>
      <c r="E702" s="1068" t="inlineStr">
        <is>
          <t>KG</t>
        </is>
      </c>
      <c r="F702" s="1067" t="n"/>
      <c r="G702" s="1069">
        <f t="array" ref="G702">IF(B702="insumo",_xlfn.XLOOKUP($D702,Insumos!$B$1:$B$996,Insumos!$D$1:$D$996),"")</f>
        <v/>
      </c>
      <c r="H702" s="1069" t="n">
        <v>8.964964999999999</v>
      </c>
      <c r="I702" s="2161" t="n">
        <v>7253.87977615808</v>
      </c>
      <c r="J702" s="2161" t="n">
        <v>65030.778307465</v>
      </c>
      <c r="K702" s="2161" t="n"/>
    </row>
    <row r="703" outlineLevel="3" ht="15.75" customHeight="1">
      <c r="A703" s="10" t="n">
        <v>2</v>
      </c>
      <c r="B703" s="10" t="inlineStr">
        <is>
          <t>Insumo</t>
        </is>
      </c>
      <c r="C703" s="10" t="inlineStr">
        <is>
          <t>Armação Aço CA-60, Diâmetro de 5,0mm para Supraestrutura, Corte e dobra em Indústria</t>
        </is>
      </c>
      <c r="D703" s="10" t="inlineStr">
        <is>
          <t>Aço CA50 5,0 mm Corte e Dobra em Indústria</t>
        </is>
      </c>
      <c r="E703" s="11">
        <f t="array" ref="E703">_xlfn.XLOOKUP(D703,Insumos!B:B,Insumos!C:$C)</f>
        <v/>
      </c>
      <c r="F703" s="14" t="n">
        <v>1</v>
      </c>
      <c r="G703" s="92">
        <f t="array" ref="G703">IF(B703="insumo",_xlfn.XLOOKUP($D703,Insumos!$B$1:$B$996,Insumos!$D$1:$D$996),"")</f>
        <v/>
      </c>
      <c r="H703" s="92" t="n">
        <v>8.67</v>
      </c>
      <c r="I703" s="2162" t="n">
        <v>7253.87977615808</v>
      </c>
      <c r="J703" s="2162" t="n">
        <v>62891.1376592906</v>
      </c>
      <c r="K703" s="2162" t="n"/>
    </row>
    <row r="704" outlineLevel="3" ht="15.75" customHeight="1">
      <c r="A704" s="10" t="n">
        <v>21</v>
      </c>
      <c r="B704" s="10" t="inlineStr">
        <is>
          <t>Insumo</t>
        </is>
      </c>
      <c r="C704" s="10" t="inlineStr">
        <is>
          <t>Armação Aço CA-60, Diâmetro de 5,0mm para Supraestrutura, Corte e dobra em Indústria</t>
        </is>
      </c>
      <c r="D704" s="10" t="inlineStr">
        <is>
          <t xml:space="preserve">Arame Recozido BWG 18 </t>
        </is>
      </c>
      <c r="E704" s="11">
        <f t="array" ref="E704">_xlfn.XLOOKUP(D704,Insumos!B:B,Insumos!C:$C)</f>
        <v/>
      </c>
      <c r="F704" s="14" t="n">
        <v>0.0205</v>
      </c>
      <c r="G704" s="92">
        <f t="array" ref="G704">IF(B704="insumo",_xlfn.XLOOKUP($D704,Insumos!$B$1:$B$996,Insumos!$D$1:$D$996),"")</f>
        <v/>
      </c>
      <c r="H704" s="92" t="n">
        <v>0.281465</v>
      </c>
      <c r="I704" s="2162" t="n">
        <v>7253.87977615808</v>
      </c>
      <c r="J704" s="2162" t="n">
        <v>2041.71327119633</v>
      </c>
      <c r="K704" s="2162" t="n"/>
    </row>
    <row r="705" outlineLevel="3" ht="15.75" customHeight="1">
      <c r="A705" s="10" t="n">
        <v>62</v>
      </c>
      <c r="B705" s="10" t="inlineStr">
        <is>
          <t>Insumo</t>
        </is>
      </c>
      <c r="C705" s="10" t="inlineStr">
        <is>
          <t>Armação Aço CA-60, Diâmetro de 5,0mm para Supraestrutura, Corte e dobra em Indústria</t>
        </is>
      </c>
      <c r="D705" s="10" t="inlineStr">
        <is>
          <t>Espaçador para armadura</t>
        </is>
      </c>
      <c r="E705" s="11">
        <f t="array" ref="E705">_xlfn.XLOOKUP(D705,Insumos!B:B,Insumos!C:$C)</f>
        <v/>
      </c>
      <c r="F705" s="14" t="n">
        <v>0.05</v>
      </c>
      <c r="G705" s="92">
        <f t="array" ref="G705">IF(B705="insumo",_xlfn.XLOOKUP($D705,Insumos!$B$1:$B$996,Insumos!$D$1:$D$996),"")</f>
        <v/>
      </c>
      <c r="H705" s="92" t="n">
        <v>0.0135</v>
      </c>
      <c r="I705" s="2162" t="n">
        <v>7253.87977615808</v>
      </c>
      <c r="J705" s="2162" t="n">
        <v>97.92737697813411</v>
      </c>
      <c r="K705" s="2162" t="n"/>
    </row>
    <row r="706" outlineLevel="2" ht="15.75" customHeight="1">
      <c r="A706" s="1067" t="n">
        <v>1</v>
      </c>
      <c r="B706" s="1067" t="inlineStr">
        <is>
          <t>Serviço</t>
        </is>
      </c>
      <c r="C706" s="1067" t="inlineStr">
        <is>
          <t>Armação Aço CA-50, Diâmetro de 6,3mm para Supraestrutura, Corte e dobra em Indústria</t>
        </is>
      </c>
      <c r="D706" s="1067" t="inlineStr">
        <is>
          <t>Armação Aço CA-50, Diâmetro de 6,3mm para Supraestrutura, Corte e dobra em Indústria</t>
        </is>
      </c>
      <c r="E706" s="1068" t="inlineStr">
        <is>
          <t>KG</t>
        </is>
      </c>
      <c r="F706" s="1067" t="n"/>
      <c r="G706" s="1069">
        <f t="array" ref="G706">IF(B706="insumo",_xlfn.XLOOKUP($D706,Insumos!$B$1:$B$996,Insumos!$D$1:$D$996),"")</f>
        <v/>
      </c>
      <c r="H706" s="1069" t="n">
        <v>8.964964999999999</v>
      </c>
      <c r="I706" s="2161" t="n">
        <v>53934.2729518214</v>
      </c>
      <c r="J706" s="2161" t="n">
        <v>483518.869313526</v>
      </c>
      <c r="K706" s="2161" t="n"/>
    </row>
    <row r="707" outlineLevel="3" ht="15.75" customHeight="1">
      <c r="A707" s="10" t="n">
        <v>4</v>
      </c>
      <c r="B707" s="10" t="inlineStr">
        <is>
          <t>Insumo</t>
        </is>
      </c>
      <c r="C707" s="10" t="inlineStr">
        <is>
          <t>Armação Aço CA-50, Diâmetro de 6,3mm para Supraestrutura, Corte e dobra em Indústria</t>
        </is>
      </c>
      <c r="D707" s="10" t="inlineStr">
        <is>
          <t>Aço CA50 6,3 mm Corte e Dobra em Indústria</t>
        </is>
      </c>
      <c r="E707" s="11">
        <f t="array" ref="E707">_xlfn.XLOOKUP(D707,Insumos!B:B,Insumos!C:$C)</f>
        <v/>
      </c>
      <c r="F707" s="14" t="n">
        <v>1</v>
      </c>
      <c r="G707" s="92">
        <f t="array" ref="G707">IF(B707="insumo",_xlfn.XLOOKUP($D707,Insumos!$B$1:$B$996,Insumos!$D$1:$D$996),"")</f>
        <v/>
      </c>
      <c r="H707" s="92" t="n">
        <v>8.67</v>
      </c>
      <c r="I707" s="2162" t="n">
        <v>53934.2729518214</v>
      </c>
      <c r="J707" s="2162" t="n">
        <v>467610.146492291</v>
      </c>
      <c r="K707" s="2162" t="n"/>
    </row>
    <row r="708" outlineLevel="3" ht="15.75" customHeight="1">
      <c r="A708" s="10" t="n">
        <v>21</v>
      </c>
      <c r="B708" s="10" t="inlineStr">
        <is>
          <t>Insumo</t>
        </is>
      </c>
      <c r="C708" s="10" t="inlineStr">
        <is>
          <t>Armação Aço CA-50, Diâmetro de 6,3mm para Supraestrutura, Corte e dobra em Indústria</t>
        </is>
      </c>
      <c r="D708" s="10" t="inlineStr">
        <is>
          <t xml:space="preserve">Arame Recozido BWG 18 </t>
        </is>
      </c>
      <c r="E708" s="11">
        <f t="array" ref="E708">_xlfn.XLOOKUP(D708,Insumos!B:B,Insumos!C:$C)</f>
        <v/>
      </c>
      <c r="F708" s="14" t="n">
        <v>0.0205</v>
      </c>
      <c r="G708" s="92">
        <f t="array" ref="G708">IF(B708="insumo",_xlfn.XLOOKUP($D708,Insumos!$B$1:$B$996,Insumos!$D$1:$D$996),"")</f>
        <v/>
      </c>
      <c r="H708" s="92" t="n">
        <v>0.281465</v>
      </c>
      <c r="I708" s="2162" t="n">
        <v>53934.2729518214</v>
      </c>
      <c r="J708" s="2162" t="n">
        <v>15180.6101363844</v>
      </c>
      <c r="K708" s="2162" t="n"/>
    </row>
    <row r="709" outlineLevel="3" ht="15.75" customHeight="1">
      <c r="A709" s="10" t="n">
        <v>62</v>
      </c>
      <c r="B709" s="10" t="inlineStr">
        <is>
          <t>Insumo</t>
        </is>
      </c>
      <c r="C709" s="10" t="inlineStr">
        <is>
          <t>Armação Aço CA-50, Diâmetro de 6,3mm para Supraestrutura, Corte e dobra em Indústria</t>
        </is>
      </c>
      <c r="D709" s="10" t="inlineStr">
        <is>
          <t>Espaçador para armadura</t>
        </is>
      </c>
      <c r="E709" s="11">
        <f t="array" ref="E709">_xlfn.XLOOKUP(D709,Insumos!B:B,Insumos!C:$C)</f>
        <v/>
      </c>
      <c r="F709" s="14" t="n">
        <v>0.05</v>
      </c>
      <c r="G709" s="92">
        <f t="array" ref="G709">IF(B709="insumo",_xlfn.XLOOKUP($D709,Insumos!$B$1:$B$996,Insumos!$D$1:$D$996),"")</f>
        <v/>
      </c>
      <c r="H709" s="92" t="n">
        <v>0.0135</v>
      </c>
      <c r="I709" s="2162" t="n">
        <v>53934.2729518214</v>
      </c>
      <c r="J709" s="2162" t="n">
        <v>728.112684849589</v>
      </c>
      <c r="K709" s="2162" t="n"/>
    </row>
    <row r="710" outlineLevel="2" ht="15.75" customHeight="1">
      <c r="A710" s="1067" t="n">
        <v>1</v>
      </c>
      <c r="B710" s="1067" t="inlineStr">
        <is>
          <t>Serviço</t>
        </is>
      </c>
      <c r="C710" s="1067" t="inlineStr">
        <is>
          <t>Armação Aço CA-50, Diâmetro de 8,0mm para Supraestrutura, Corte e dobra em Indústria</t>
        </is>
      </c>
      <c r="D710" s="1067" t="inlineStr">
        <is>
          <t>Armação Aço CA-50, Diâmetro de 8,0mm para Supraestrutura, Corte e dobra em Indústria</t>
        </is>
      </c>
      <c r="E710" s="1068" t="inlineStr">
        <is>
          <t>KG</t>
        </is>
      </c>
      <c r="F710" s="1067" t="n"/>
      <c r="G710" s="1069">
        <f t="array" ref="G710">IF(B710="insumo",_xlfn.XLOOKUP($D710,Insumos!$B$1:$B$996,Insumos!$D$1:$D$996),"")</f>
        <v/>
      </c>
      <c r="H710" s="1069" t="n">
        <v>8.964964999999999</v>
      </c>
      <c r="I710" s="2161" t="n">
        <v>65571.51433062401</v>
      </c>
      <c r="J710" s="2161" t="n">
        <v>587846.330971043</v>
      </c>
      <c r="K710" s="2161" t="n"/>
    </row>
    <row r="711" outlineLevel="3" ht="15.75" customHeight="1">
      <c r="A711" s="10" t="n">
        <v>3</v>
      </c>
      <c r="B711" s="10" t="inlineStr">
        <is>
          <t>Insumo</t>
        </is>
      </c>
      <c r="C711" s="10" t="inlineStr">
        <is>
          <t>Armação Aço CA-50, Diâmetro de 8,0mm para Supraestrutura, Corte e dobra em Indústria</t>
        </is>
      </c>
      <c r="D711" s="10" t="inlineStr">
        <is>
          <t>Aço CA50 8,0 mm Corte e Dobra em Indústria</t>
        </is>
      </c>
      <c r="E711" s="11">
        <f t="array" ref="E711">_xlfn.XLOOKUP(D711,Insumos!B:B,Insumos!C:$C)</f>
        <v/>
      </c>
      <c r="F711" s="14" t="n">
        <v>1</v>
      </c>
      <c r="G711" s="92">
        <f t="array" ref="G711">IF(B711="insumo",_xlfn.XLOOKUP($D711,Insumos!$B$1:$B$996,Insumos!$D$1:$D$996),"")</f>
        <v/>
      </c>
      <c r="H711" s="92" t="n">
        <v>8.67</v>
      </c>
      <c r="I711" s="2162" t="n">
        <v>65571.51433062401</v>
      </c>
      <c r="J711" s="2162" t="n">
        <v>568505.02924651</v>
      </c>
      <c r="K711" s="2162" t="n"/>
    </row>
    <row r="712" outlineLevel="3" ht="15.75" customHeight="1">
      <c r="A712" s="10" t="n">
        <v>21</v>
      </c>
      <c r="B712" s="10" t="inlineStr">
        <is>
          <t>Insumo</t>
        </is>
      </c>
      <c r="C712" s="10" t="inlineStr">
        <is>
          <t>Armação Aço CA-50, Diâmetro de 8,0mm para Supraestrutura, Corte e dobra em Indústria</t>
        </is>
      </c>
      <c r="D712" s="10" t="inlineStr">
        <is>
          <t xml:space="preserve">Arame Recozido BWG 18 </t>
        </is>
      </c>
      <c r="E712" s="11">
        <f t="array" ref="E712">_xlfn.XLOOKUP(D712,Insumos!B:B,Insumos!C:$C)</f>
        <v/>
      </c>
      <c r="F712" s="14" t="n">
        <v>0.0205</v>
      </c>
      <c r="G712" s="92">
        <f t="array" ref="G712">IF(B712="insumo",_xlfn.XLOOKUP($D712,Insumos!$B$1:$B$996,Insumos!$D$1:$D$996),"")</f>
        <v/>
      </c>
      <c r="H712" s="92" t="n">
        <v>0.281465</v>
      </c>
      <c r="I712" s="2162" t="n">
        <v>65571.51433062401</v>
      </c>
      <c r="J712" s="2162" t="n">
        <v>18456.0862810691</v>
      </c>
      <c r="K712" s="2162" t="n"/>
    </row>
    <row r="713" outlineLevel="3" ht="15.75" customHeight="1">
      <c r="A713" s="10" t="n">
        <v>62</v>
      </c>
      <c r="B713" s="10" t="inlineStr">
        <is>
          <t>Insumo</t>
        </is>
      </c>
      <c r="C713" s="10" t="inlineStr">
        <is>
          <t>Armação Aço CA-50, Diâmetro de 8,0mm para Supraestrutura, Corte e dobra em Indústria</t>
        </is>
      </c>
      <c r="D713" s="10" t="inlineStr">
        <is>
          <t>Espaçador para armadura</t>
        </is>
      </c>
      <c r="E713" s="11">
        <f t="array" ref="E713">_xlfn.XLOOKUP(D713,Insumos!B:B,Insumos!C:$C)</f>
        <v/>
      </c>
      <c r="F713" s="14" t="n">
        <v>0.05</v>
      </c>
      <c r="G713" s="92">
        <f t="array" ref="G713">IF(B713="insumo",_xlfn.XLOOKUP($D713,Insumos!$B$1:$B$996,Insumos!$D$1:$D$996),"")</f>
        <v/>
      </c>
      <c r="H713" s="92" t="n">
        <v>0.0135</v>
      </c>
      <c r="I713" s="2162" t="n">
        <v>65571.51433062401</v>
      </c>
      <c r="J713" s="2162" t="n">
        <v>885.215443463424</v>
      </c>
      <c r="K713" s="2162" t="n"/>
    </row>
    <row r="714" outlineLevel="2" ht="15.75" customHeight="1">
      <c r="A714" s="1067" t="n">
        <v>1</v>
      </c>
      <c r="B714" s="1067" t="inlineStr">
        <is>
          <t>Serviço</t>
        </is>
      </c>
      <c r="C714" s="1067" t="inlineStr">
        <is>
          <t>Armação Aço CA-50, Diâmetro de 10,0mm para Supraestrutura, Corte e dobra em Indústria</t>
        </is>
      </c>
      <c r="D714" s="1067" t="inlineStr">
        <is>
          <t>Armação Aço CA-50, Diâmetro de 10,0mm para Supraestrutura, Corte e dobra em Indústria</t>
        </is>
      </c>
      <c r="E714" s="1068" t="inlineStr">
        <is>
          <t>KG</t>
        </is>
      </c>
      <c r="F714" s="1067" t="n"/>
      <c r="G714" s="1069">
        <f t="array" ref="G714">IF(B714="insumo",_xlfn.XLOOKUP($D714,Insumos!$B$1:$B$996,Insumos!$D$1:$D$996),"")</f>
        <v/>
      </c>
      <c r="H714" s="1069" t="n">
        <v>8.964964999999999</v>
      </c>
      <c r="I714" s="2161" t="n">
        <v>81096.4642304974</v>
      </c>
      <c r="J714" s="2161" t="n">
        <v>727026.963450161</v>
      </c>
      <c r="K714" s="2161" t="n"/>
    </row>
    <row r="715" outlineLevel="3" ht="15.75" customHeight="1">
      <c r="A715" s="10" t="n">
        <v>2</v>
      </c>
      <c r="B715" s="10" t="inlineStr">
        <is>
          <t>Insumo</t>
        </is>
      </c>
      <c r="C715" s="10" t="inlineStr">
        <is>
          <t>Armação Aço CA-50, Diâmetro de 10,0mm para Supraestrutura, Corte e dobra em Indústria</t>
        </is>
      </c>
      <c r="D715" s="10" t="inlineStr">
        <is>
          <t>Aço CA50 10,0 mm Corte e Dobra em Indústria</t>
        </is>
      </c>
      <c r="E715" s="11">
        <f t="array" ref="E715">_xlfn.XLOOKUP(D715,Insumos!B:B,Insumos!C:$C)</f>
        <v/>
      </c>
      <c r="F715" s="14" t="n">
        <v>1</v>
      </c>
      <c r="G715" s="92">
        <f t="array" ref="G715">IF(B715="insumo",_xlfn.XLOOKUP($D715,Insumos!$B$1:$B$996,Insumos!$D$1:$D$996),"")</f>
        <v/>
      </c>
      <c r="H715" s="92" t="n">
        <v>8.67</v>
      </c>
      <c r="I715" s="2162" t="n">
        <v>81096.4642304974</v>
      </c>
      <c r="J715" s="2162" t="n">
        <v>703106.344878412</v>
      </c>
      <c r="K715" s="2162" t="n"/>
    </row>
    <row r="716" outlineLevel="3" ht="15.75" customHeight="1">
      <c r="A716" s="10" t="n">
        <v>21</v>
      </c>
      <c r="B716" s="10" t="inlineStr">
        <is>
          <t>Insumo</t>
        </is>
      </c>
      <c r="C716" s="10" t="inlineStr">
        <is>
          <t>Armação Aço CA-50, Diâmetro de 10,0mm para Supraestrutura, Corte e dobra em Indústria</t>
        </is>
      </c>
      <c r="D716" s="10" t="inlineStr">
        <is>
          <t xml:space="preserve">Arame Recozido BWG 18 </t>
        </is>
      </c>
      <c r="E716" s="11">
        <f t="array" ref="E716">_xlfn.XLOOKUP(D716,Insumos!B:B,Insumos!C:$C)</f>
        <v/>
      </c>
      <c r="F716" s="14" t="n">
        <v>0.0205</v>
      </c>
      <c r="G716" s="92">
        <f t="array" ref="G716">IF(B716="insumo",_xlfn.XLOOKUP($D716,Insumos!$B$1:$B$996,Insumos!$D$1:$D$996),"")</f>
        <v/>
      </c>
      <c r="H716" s="92" t="n">
        <v>0.281465</v>
      </c>
      <c r="I716" s="2162" t="n">
        <v>81096.4642304974</v>
      </c>
      <c r="J716" s="2162" t="n">
        <v>22825.816304637</v>
      </c>
      <c r="K716" s="2162" t="n"/>
    </row>
    <row r="717" outlineLevel="3" ht="15.75" customHeight="1">
      <c r="A717" s="10" t="n">
        <v>62</v>
      </c>
      <c r="B717" s="10" t="inlineStr">
        <is>
          <t>Insumo</t>
        </is>
      </c>
      <c r="C717" s="10" t="inlineStr">
        <is>
          <t>Armação Aço CA-50, Diâmetro de 10,0mm para Supraestrutura, Corte e dobra em Indústria</t>
        </is>
      </c>
      <c r="D717" s="10" t="inlineStr">
        <is>
          <t>Espaçador para armadura</t>
        </is>
      </c>
      <c r="E717" s="11">
        <f t="array" ref="E717">_xlfn.XLOOKUP(D717,Insumos!B:B,Insumos!C:$C)</f>
        <v/>
      </c>
      <c r="F717" s="14" t="n">
        <v>0.05</v>
      </c>
      <c r="G717" s="92">
        <f t="array" ref="G717">IF(B717="insumo",_xlfn.XLOOKUP($D717,Insumos!$B$1:$B$996,Insumos!$D$1:$D$996),"")</f>
        <v/>
      </c>
      <c r="H717" s="92" t="n">
        <v>0.0135</v>
      </c>
      <c r="I717" s="2162" t="n">
        <v>81096.4642304974</v>
      </c>
      <c r="J717" s="2162" t="n">
        <v>1094.80226711171</v>
      </c>
      <c r="K717" s="2162" t="n"/>
    </row>
    <row r="718" outlineLevel="2" ht="15.75" customHeight="1">
      <c r="A718" s="1067" t="n">
        <v>1</v>
      </c>
      <c r="B718" s="1067" t="inlineStr">
        <is>
          <t>Serviço</t>
        </is>
      </c>
      <c r="C718" s="1067" t="inlineStr">
        <is>
          <t>Armação Aço CA-50, Diâmetro de 12,5mm para Supraestrutura, Corte e dobra em Indústria</t>
        </is>
      </c>
      <c r="D718" s="1067" t="inlineStr">
        <is>
          <t>Armação Aço CA-50, Diâmetro de 12,5mm para Supraestrutura, Corte e dobra em Indústria</t>
        </is>
      </c>
      <c r="E718" s="1068" t="inlineStr">
        <is>
          <t>KG</t>
        </is>
      </c>
      <c r="F718" s="1067" t="n"/>
      <c r="G718" s="1069">
        <f t="array" ref="G718">IF(B718="insumo",_xlfn.XLOOKUP($D718,Insumos!$B$1:$B$996,Insumos!$D$1:$D$996),"")</f>
        <v/>
      </c>
      <c r="H718" s="1069" t="n">
        <v>8.484965000000001</v>
      </c>
      <c r="I718" s="2161" t="n">
        <v>87261.1316279707</v>
      </c>
      <c r="J718" s="2161" t="n">
        <v>740407.647723724</v>
      </c>
      <c r="K718" s="2161" t="n"/>
    </row>
    <row r="719" outlineLevel="3" ht="15.75" customHeight="1">
      <c r="A719" s="10" t="n">
        <v>3</v>
      </c>
      <c r="B719" s="10" t="inlineStr">
        <is>
          <t>Insumo</t>
        </is>
      </c>
      <c r="C719" s="10" t="inlineStr">
        <is>
          <t>Armação Aço CA-50, Diâmetro de 12,5mm para Supraestrutura, Corte e dobra em Indústria</t>
        </is>
      </c>
      <c r="D719" s="10" t="inlineStr">
        <is>
          <t>Aço CA50 12,5 mm Corte e Dobra em Indústria</t>
        </is>
      </c>
      <c r="E719" s="11">
        <f t="array" ref="E719">_xlfn.XLOOKUP(D719,Insumos!B:B,Insumos!C:$C)</f>
        <v/>
      </c>
      <c r="F719" s="14" t="n">
        <v>1</v>
      </c>
      <c r="G719" s="92">
        <f t="array" ref="G719">IF(B719="insumo",_xlfn.XLOOKUP($D719,Insumos!$B$1:$B$996,Insumos!$D$1:$D$996),"")</f>
        <v/>
      </c>
      <c r="H719" s="92" t="n">
        <v>8.19</v>
      </c>
      <c r="I719" s="2162" t="n">
        <v>87261.1316279707</v>
      </c>
      <c r="J719" s="2162" t="n">
        <v>714668.6680330799</v>
      </c>
      <c r="K719" s="2162" t="n"/>
    </row>
    <row r="720" outlineLevel="3" ht="15.75" customHeight="1">
      <c r="A720" s="10" t="n">
        <v>21</v>
      </c>
      <c r="B720" s="10" t="inlineStr">
        <is>
          <t>Insumo</t>
        </is>
      </c>
      <c r="C720" s="10" t="inlineStr">
        <is>
          <t>Armação Aço CA-50, Diâmetro de 12,5mm para Supraestrutura, Corte e dobra em Indústria</t>
        </is>
      </c>
      <c r="D720" s="10" t="inlineStr">
        <is>
          <t xml:space="preserve">Arame Recozido BWG 18 </t>
        </is>
      </c>
      <c r="E720" s="11">
        <f t="array" ref="E720">_xlfn.XLOOKUP(D720,Insumos!B:B,Insumos!C:$C)</f>
        <v/>
      </c>
      <c r="F720" s="14" t="n">
        <v>0.0205</v>
      </c>
      <c r="G720" s="92">
        <f t="array" ref="G720">IF(B720="insumo",_xlfn.XLOOKUP($D720,Insumos!$B$1:$B$996,Insumos!$D$1:$D$996),"")</f>
        <v/>
      </c>
      <c r="H720" s="92" t="n">
        <v>0.281465</v>
      </c>
      <c r="I720" s="2162" t="n">
        <v>87261.1316279707</v>
      </c>
      <c r="J720" s="2162" t="n">
        <v>24560.9544136668</v>
      </c>
      <c r="K720" s="2162" t="n"/>
    </row>
    <row r="721" outlineLevel="3" ht="15.75" customHeight="1">
      <c r="A721" s="10" t="n">
        <v>62</v>
      </c>
      <c r="B721" s="10" t="inlineStr">
        <is>
          <t>Insumo</t>
        </is>
      </c>
      <c r="C721" s="10" t="inlineStr">
        <is>
          <t>Armação Aço CA-50, Diâmetro de 12,5mm para Supraestrutura, Corte e dobra em Indústria</t>
        </is>
      </c>
      <c r="D721" s="10" t="inlineStr">
        <is>
          <t>Espaçador para armadura</t>
        </is>
      </c>
      <c r="E721" s="11">
        <f t="array" ref="E721">_xlfn.XLOOKUP(D721,Insumos!B:B,Insumos!C:$C)</f>
        <v/>
      </c>
      <c r="F721" s="14" t="n">
        <v>0.05</v>
      </c>
      <c r="G721" s="92">
        <f t="array" ref="G721">IF(B721="insumo",_xlfn.XLOOKUP($D721,Insumos!$B$1:$B$996,Insumos!$D$1:$D$996),"")</f>
        <v/>
      </c>
      <c r="H721" s="92" t="n">
        <v>0.0135</v>
      </c>
      <c r="I721" s="2162" t="n">
        <v>87261.1316279707</v>
      </c>
      <c r="J721" s="2162" t="n">
        <v>1178.0252769776</v>
      </c>
      <c r="K721" s="2162" t="n"/>
    </row>
    <row r="722" outlineLevel="2" ht="15.75" customHeight="1">
      <c r="A722" s="1067" t="n">
        <v>1</v>
      </c>
      <c r="B722" s="1067" t="inlineStr">
        <is>
          <t>Serviço</t>
        </is>
      </c>
      <c r="C722" s="1067" t="inlineStr">
        <is>
          <t>Armação Aço CA-50, Diâmetro de 16,0mm para Supraestrutura, Corte e dobra em Indústria</t>
        </is>
      </c>
      <c r="D722" s="1067" t="inlineStr">
        <is>
          <t>Armação Aço CA-50, Diâmetro de 16,0mm para Supraestrutura, Corte e dobra em Indústria</t>
        </is>
      </c>
      <c r="E722" s="1068" t="inlineStr">
        <is>
          <t>KG</t>
        </is>
      </c>
      <c r="F722" s="1067" t="n"/>
      <c r="G722" s="1069">
        <f t="array" ref="G722">IF(B722="insumo",_xlfn.XLOOKUP($D722,Insumos!$B$1:$B$996,Insumos!$D$1:$D$996),"")</f>
        <v/>
      </c>
      <c r="H722" s="1069" t="n">
        <v>8.484965000000001</v>
      </c>
      <c r="I722" s="2161" t="n">
        <v>31256.2581978679</v>
      </c>
      <c r="J722" s="2161" t="n">
        <v>265208.256839872</v>
      </c>
      <c r="K722" s="2161" t="n"/>
    </row>
    <row r="723" outlineLevel="3" ht="15.75" customHeight="1">
      <c r="A723" s="10" t="n">
        <v>3</v>
      </c>
      <c r="B723" s="10" t="inlineStr">
        <is>
          <t>Insumo</t>
        </is>
      </c>
      <c r="C723" s="10" t="inlineStr">
        <is>
          <t>Armação Aço CA-50, Diâmetro de 16,0mm para Supraestrutura, Corte e dobra em Indústria</t>
        </is>
      </c>
      <c r="D723" s="10" t="inlineStr">
        <is>
          <t>Aço CA50 16,0 mm Corte e Dobra em Indústria</t>
        </is>
      </c>
      <c r="E723" s="11">
        <f t="array" ref="E723">_xlfn.XLOOKUP(D723,Insumos!B:B,Insumos!C:$C)</f>
        <v/>
      </c>
      <c r="F723" s="14" t="n">
        <v>1</v>
      </c>
      <c r="G723" s="92">
        <f t="array" ref="G723">IF(B723="insumo",_xlfn.XLOOKUP($D723,Insumos!$B$1:$B$996,Insumos!$D$1:$D$996),"")</f>
        <v/>
      </c>
      <c r="H723" s="92" t="n">
        <v>8.19</v>
      </c>
      <c r="I723" s="2162" t="n">
        <v>31256.2581978679</v>
      </c>
      <c r="J723" s="2162" t="n">
        <v>255988.754640538</v>
      </c>
      <c r="K723" s="2162" t="n"/>
    </row>
    <row r="724" outlineLevel="3" ht="15.75" customHeight="1">
      <c r="A724" s="10" t="n">
        <v>21</v>
      </c>
      <c r="B724" s="10" t="inlineStr">
        <is>
          <t>Insumo</t>
        </is>
      </c>
      <c r="C724" s="10" t="inlineStr">
        <is>
          <t>Armação Aço CA-50, Diâmetro de 16,0mm para Supraestrutura, Corte e dobra em Indústria</t>
        </is>
      </c>
      <c r="D724" s="10" t="inlineStr">
        <is>
          <t xml:space="preserve">Arame Recozido BWG 18 </t>
        </is>
      </c>
      <c r="E724" s="11">
        <f t="array" ref="E724">_xlfn.XLOOKUP(D724,Insumos!B:B,Insumos!C:$C)</f>
        <v/>
      </c>
      <c r="F724" s="14" t="n">
        <v>0.0205</v>
      </c>
      <c r="G724" s="92">
        <f t="array" ref="G724">IF(B724="insumo",_xlfn.XLOOKUP($D724,Insumos!$B$1:$B$996,Insumos!$D$1:$D$996),"")</f>
        <v/>
      </c>
      <c r="H724" s="92" t="n">
        <v>0.281465</v>
      </c>
      <c r="I724" s="2162" t="n">
        <v>31256.2581978679</v>
      </c>
      <c r="J724" s="2162" t="n">
        <v>8797.54271366289</v>
      </c>
      <c r="K724" s="2162" t="n"/>
    </row>
    <row r="725" outlineLevel="3" ht="15.75" customHeight="1">
      <c r="A725" s="10" t="n">
        <v>62</v>
      </c>
      <c r="B725" s="10" t="inlineStr">
        <is>
          <t>Insumo</t>
        </is>
      </c>
      <c r="C725" s="10" t="inlineStr">
        <is>
          <t>Armação Aço CA-50, Diâmetro de 16,0mm para Supraestrutura, Corte e dobra em Indústria</t>
        </is>
      </c>
      <c r="D725" s="10" t="inlineStr">
        <is>
          <t>Espaçador para armadura</t>
        </is>
      </c>
      <c r="E725" s="11">
        <f t="array" ref="E725">_xlfn.XLOOKUP(D725,Insumos!B:B,Insumos!C:$C)</f>
        <v/>
      </c>
      <c r="F725" s="14" t="n">
        <v>0.05</v>
      </c>
      <c r="G725" s="92">
        <f t="array" ref="G725">IF(B725="insumo",_xlfn.XLOOKUP($D725,Insumos!$B$1:$B$996,Insumos!$D$1:$D$996),"")</f>
        <v/>
      </c>
      <c r="H725" s="92" t="n">
        <v>0.0135</v>
      </c>
      <c r="I725" s="2162" t="n">
        <v>31256.2581978679</v>
      </c>
      <c r="J725" s="2162" t="n">
        <v>421.959485671217</v>
      </c>
      <c r="K725" s="2162" t="n"/>
    </row>
    <row r="726" outlineLevel="2" ht="15.75" customHeight="1">
      <c r="A726" s="1067" t="n">
        <v>1</v>
      </c>
      <c r="B726" s="1067" t="inlineStr">
        <is>
          <t>Serviço</t>
        </is>
      </c>
      <c r="C726" s="1067" t="inlineStr">
        <is>
          <t>Armação Aço CA-50, Diâmetro de 20,0mm para Supraestrutura, Corte e dobra em Indústria</t>
        </is>
      </c>
      <c r="D726" s="1067" t="inlineStr">
        <is>
          <t>Armação Aço CA-50, Diâmetro de 20,0mm para Supraestrutura, Corte e dobra em Indústria</t>
        </is>
      </c>
      <c r="E726" s="1068" t="inlineStr">
        <is>
          <t>KG</t>
        </is>
      </c>
      <c r="F726" s="1067" t="n"/>
      <c r="G726" s="1069">
        <f t="array" ref="G726">IF(B726="insumo",_xlfn.XLOOKUP($D726,Insumos!$B$1:$B$996,Insumos!$D$1:$D$996),"")</f>
        <v/>
      </c>
      <c r="H726" s="1069" t="n">
        <v>8.484965000000001</v>
      </c>
      <c r="I726" s="2161" t="n">
        <v>89836.89929543241</v>
      </c>
      <c r="J726" s="2161" t="n">
        <v>762262.946230269</v>
      </c>
      <c r="K726" s="2161" t="n"/>
    </row>
    <row r="727" outlineLevel="3" ht="15.75" customHeight="1">
      <c r="A727" s="10" t="n">
        <v>4</v>
      </c>
      <c r="B727" s="10" t="inlineStr">
        <is>
          <t>Insumo</t>
        </is>
      </c>
      <c r="C727" s="10" t="inlineStr">
        <is>
          <t>Armação Aço CA-50, Diâmetro de 20,0mm para Supraestrutura, Corte e dobra em Indústria</t>
        </is>
      </c>
      <c r="D727" s="10" t="inlineStr">
        <is>
          <t>Aço CA50 20,0 mm Corte e Dobra em Indústria</t>
        </is>
      </c>
      <c r="E727" s="11">
        <f t="array" ref="E727">_xlfn.XLOOKUP(D727,Insumos!B:B,Insumos!C:$C)</f>
        <v/>
      </c>
      <c r="F727" s="14" t="n">
        <v>1</v>
      </c>
      <c r="G727" s="92">
        <f t="array" ref="G727">IF(B727="insumo",_xlfn.XLOOKUP($D727,Insumos!$B$1:$B$996,Insumos!$D$1:$D$996),"")</f>
        <v/>
      </c>
      <c r="H727" s="92" t="n">
        <v>8.19</v>
      </c>
      <c r="I727" s="2162" t="n">
        <v>89836.89929543241</v>
      </c>
      <c r="J727" s="2162" t="n">
        <v>735764.205229591</v>
      </c>
      <c r="K727" s="2162" t="n"/>
    </row>
    <row r="728" outlineLevel="3" ht="15.75" customHeight="1">
      <c r="A728" s="10" t="n">
        <v>21</v>
      </c>
      <c r="B728" s="10" t="inlineStr">
        <is>
          <t>Insumo</t>
        </is>
      </c>
      <c r="C728" s="10" t="inlineStr">
        <is>
          <t>Armação Aço CA-50, Diâmetro de 20,0mm para Supraestrutura, Corte e dobra em Indústria</t>
        </is>
      </c>
      <c r="D728" s="10" t="inlineStr">
        <is>
          <t xml:space="preserve">Arame Recozido BWG 18 </t>
        </is>
      </c>
      <c r="E728" s="11">
        <f t="array" ref="E728">_xlfn.XLOOKUP(D728,Insumos!B:B,Insumos!C:$C)</f>
        <v/>
      </c>
      <c r="F728" s="14" t="n">
        <v>0.0205</v>
      </c>
      <c r="G728" s="92">
        <f t="array" ref="G728">IF(B728="insumo",_xlfn.XLOOKUP($D728,Insumos!$B$1:$B$996,Insumos!$D$1:$D$996),"")</f>
        <v/>
      </c>
      <c r="H728" s="92" t="n">
        <v>0.281465</v>
      </c>
      <c r="I728" s="2162" t="n">
        <v>89836.89929543241</v>
      </c>
      <c r="J728" s="2162" t="n">
        <v>25285.9428601889</v>
      </c>
      <c r="K728" s="2162" t="n"/>
    </row>
    <row r="729" outlineLevel="3" ht="15.75" customHeight="1">
      <c r="A729" s="10" t="n">
        <v>62</v>
      </c>
      <c r="B729" s="10" t="inlineStr">
        <is>
          <t>Insumo</t>
        </is>
      </c>
      <c r="C729" s="10" t="inlineStr">
        <is>
          <t>Armação Aço CA-50, Diâmetro de 20,0mm para Supraestrutura, Corte e dobra em Indústria</t>
        </is>
      </c>
      <c r="D729" s="10" t="inlineStr">
        <is>
          <t>Espaçador para armadura</t>
        </is>
      </c>
      <c r="E729" s="11">
        <f t="array" ref="E729">_xlfn.XLOOKUP(D729,Insumos!B:B,Insumos!C:$C)</f>
        <v/>
      </c>
      <c r="F729" s="14" t="n">
        <v>0.05</v>
      </c>
      <c r="G729" s="92">
        <f t="array" ref="G729">IF(B729="insumo",_xlfn.XLOOKUP($D729,Insumos!$B$1:$B$996,Insumos!$D$1:$D$996),"")</f>
        <v/>
      </c>
      <c r="H729" s="92" t="n">
        <v>0.0135</v>
      </c>
      <c r="I729" s="2162" t="n">
        <v>89836.89929543241</v>
      </c>
      <c r="J729" s="2162" t="n">
        <v>1212.79814048834</v>
      </c>
      <c r="K729" s="2162" t="n"/>
    </row>
    <row r="730" outlineLevel="2" ht="15.75" customHeight="1">
      <c r="A730" s="1067" t="n">
        <v>1</v>
      </c>
      <c r="B730" s="1067" t="inlineStr">
        <is>
          <t>Serviço</t>
        </is>
      </c>
      <c r="C730" s="1067" t="inlineStr">
        <is>
          <t>Armação Aço CA-50, Diâmetro de 25,0mm para Supraestrutura, Corte e dobra em Indústria</t>
        </is>
      </c>
      <c r="D730" s="1067" t="inlineStr">
        <is>
          <t>Armação Aço CA-50, Diâmetro de 25,0mm para Supraestrutura, Corte e dobra em Indústria</t>
        </is>
      </c>
      <c r="E730" s="1068" t="inlineStr">
        <is>
          <t>KG</t>
        </is>
      </c>
      <c r="F730" s="1067" t="n"/>
      <c r="G730" s="1069">
        <f t="array" ref="G730">IF(B730="insumo",_xlfn.XLOOKUP($D730,Insumos!$B$1:$B$996,Insumos!$D$1:$D$996),"")</f>
        <v/>
      </c>
      <c r="H730" s="1069" t="n">
        <v>8.484965000000001</v>
      </c>
      <c r="I730" s="2161" t="n">
        <v>415759.034135083</v>
      </c>
      <c r="J730" s="2161" t="n">
        <v>3527700.85306999</v>
      </c>
      <c r="K730" s="2161" t="n"/>
    </row>
    <row r="731" outlineLevel="3" ht="15.75" customHeight="1">
      <c r="A731" s="10" t="n">
        <v>3</v>
      </c>
      <c r="B731" s="10" t="inlineStr">
        <is>
          <t>Insumo</t>
        </is>
      </c>
      <c r="C731" s="10" t="inlineStr">
        <is>
          <t>Armação Aço CA-50, Diâmetro de 25,0mm para Supraestrutura, Corte e dobra em Indústria</t>
        </is>
      </c>
      <c r="D731" s="10" t="inlineStr">
        <is>
          <t>Aço CA50 25,0mm Corte e Dobra em Indústria</t>
        </is>
      </c>
      <c r="E731" s="11">
        <f t="array" ref="E731">_xlfn.XLOOKUP(D731,Insumos!B:B,Insumos!C:$C)</f>
        <v/>
      </c>
      <c r="F731" s="14" t="n">
        <v>1</v>
      </c>
      <c r="G731" s="92">
        <f t="array" ref="G731">IF(B731="insumo",_xlfn.XLOOKUP($D731,Insumos!$B$1:$B$996,Insumos!$D$1:$D$996),"")</f>
        <v/>
      </c>
      <c r="H731" s="92" t="n">
        <v>8.19</v>
      </c>
      <c r="I731" s="2162" t="n">
        <v>415759.034135083</v>
      </c>
      <c r="J731" s="2162" t="n">
        <v>3405066.48956633</v>
      </c>
      <c r="K731" s="2162" t="n"/>
    </row>
    <row r="732" outlineLevel="3" ht="15.75" customHeight="1">
      <c r="A732" s="10" t="n">
        <v>21</v>
      </c>
      <c r="B732" s="10" t="inlineStr">
        <is>
          <t>Insumo</t>
        </is>
      </c>
      <c r="C732" s="10" t="inlineStr">
        <is>
          <t>Armação Aço CA-50, Diâmetro de 25,0mm para Supraestrutura, Corte e dobra em Indústria</t>
        </is>
      </c>
      <c r="D732" s="10" t="inlineStr">
        <is>
          <t xml:space="preserve">Arame Recozido BWG 18 </t>
        </is>
      </c>
      <c r="E732" s="11">
        <f t="array" ref="E732">_xlfn.XLOOKUP(D732,Insumos!B:B,Insumos!C:$C)</f>
        <v/>
      </c>
      <c r="F732" s="14" t="n">
        <v>0.0205</v>
      </c>
      <c r="G732" s="92">
        <f t="array" ref="G732">IF(B732="insumo",_xlfn.XLOOKUP($D732,Insumos!$B$1:$B$996,Insumos!$D$1:$D$996),"")</f>
        <v/>
      </c>
      <c r="H732" s="92" t="n">
        <v>0.281465</v>
      </c>
      <c r="I732" s="2162" t="n">
        <v>415759.034135083</v>
      </c>
      <c r="J732" s="2162" t="n">
        <v>117021.616542831</v>
      </c>
      <c r="K732" s="2162" t="n"/>
    </row>
    <row r="733" outlineLevel="3" ht="15.75" customHeight="1">
      <c r="A733" s="10" t="n">
        <v>62</v>
      </c>
      <c r="B733" s="10" t="inlineStr">
        <is>
          <t>Insumo</t>
        </is>
      </c>
      <c r="C733" s="10" t="inlineStr">
        <is>
          <t>Armação Aço CA-50, Diâmetro de 25,0mm para Supraestrutura, Corte e dobra em Indústria</t>
        </is>
      </c>
      <c r="D733" s="10" t="inlineStr">
        <is>
          <t>Espaçador para armadura</t>
        </is>
      </c>
      <c r="E733" s="11">
        <f t="array" ref="E733">_xlfn.XLOOKUP(D733,Insumos!B:B,Insumos!C:$C)</f>
        <v/>
      </c>
      <c r="F733" s="14" t="n">
        <v>0.05</v>
      </c>
      <c r="G733" s="92">
        <f t="array" ref="G733">IF(B733="insumo",_xlfn.XLOOKUP($D733,Insumos!$B$1:$B$996,Insumos!$D$1:$D$996),"")</f>
        <v/>
      </c>
      <c r="H733" s="92" t="n">
        <v>0.0135</v>
      </c>
      <c r="I733" s="2162" t="n">
        <v>415759.034135083</v>
      </c>
      <c r="J733" s="2162" t="n">
        <v>5612.74696082362</v>
      </c>
      <c r="K733" s="2162" t="n"/>
    </row>
    <row r="734" outlineLevel="2" ht="15.75" customHeight="1">
      <c r="A734" s="1067" t="n">
        <v>1</v>
      </c>
      <c r="B734" s="1067" t="inlineStr">
        <is>
          <t>Serviço</t>
        </is>
      </c>
      <c r="C734" s="1067" t="inlineStr">
        <is>
          <t>Armação Aço CA-50, Diâmetro de 32,0mm para Supraestrutura, Corte e dobra em Indústria</t>
        </is>
      </c>
      <c r="D734" s="1067" t="inlineStr">
        <is>
          <t>Armação Aço CA-50, Diâmetro de 32,0mm para Supraestrutura, Corte e dobra em Indústria</t>
        </is>
      </c>
      <c r="E734" s="1068" t="inlineStr">
        <is>
          <t>KG</t>
        </is>
      </c>
      <c r="F734" s="1067" t="n"/>
      <c r="G734" s="1069">
        <f t="array" ref="G734">IF(B734="insumo",_xlfn.XLOOKUP($D734,Insumos!$B$1:$B$996,Insumos!$D$1:$D$996),"")</f>
        <v/>
      </c>
      <c r="H734" s="1069" t="n">
        <v>9.94896203998807</v>
      </c>
      <c r="I734" s="2161" t="n">
        <v>34044</v>
      </c>
      <c r="J734" s="2161" t="n">
        <v>338702.463689354</v>
      </c>
      <c r="K734" s="2161" t="n"/>
    </row>
    <row r="735" outlineLevel="3" ht="15.75" customHeight="1">
      <c r="A735" s="10" t="n">
        <v>2</v>
      </c>
      <c r="B735" s="10" t="inlineStr">
        <is>
          <t>Insumo</t>
        </is>
      </c>
      <c r="C735" s="10" t="inlineStr">
        <is>
          <t>Armação Aço CA-50, Diâmetro de 32,0mm para Supraestrutura, Corte e dobra em Indústria</t>
        </is>
      </c>
      <c r="D735" s="10" t="inlineStr">
        <is>
          <t>Aço CA50 32,0mm Corte e Dobra em Indústria</t>
        </is>
      </c>
      <c r="E735" s="11">
        <f t="array" ref="E735">_xlfn.XLOOKUP(D735,Insumos!B:B,Insumos!C:$C)</f>
        <v/>
      </c>
      <c r="F735" s="14" t="n">
        <v>1.1</v>
      </c>
      <c r="G735" s="92">
        <f t="array" ref="G735">IF(B735="insumo",_xlfn.XLOOKUP($D735,Insumos!$B$1:$B$996,Insumos!$D$1:$D$996),"")</f>
        <v/>
      </c>
      <c r="H735" s="92" t="n">
        <v>9.65399703998807</v>
      </c>
      <c r="I735" s="2162" t="n">
        <v>34044</v>
      </c>
      <c r="J735" s="2162" t="n">
        <v>328660.675229354</v>
      </c>
      <c r="K735" s="2162" t="n"/>
    </row>
    <row r="736" outlineLevel="3" ht="15.75" customHeight="1">
      <c r="A736" s="10" t="n">
        <v>21</v>
      </c>
      <c r="B736" s="10" t="inlineStr">
        <is>
          <t>Insumo</t>
        </is>
      </c>
      <c r="C736" s="10" t="inlineStr">
        <is>
          <t>Armação Aço CA-50, Diâmetro de 32,0mm para Supraestrutura, Corte e dobra em Indústria</t>
        </is>
      </c>
      <c r="D736" s="10" t="inlineStr">
        <is>
          <t xml:space="preserve">Arame Recozido BWG 18 </t>
        </is>
      </c>
      <c r="E736" s="11">
        <f t="array" ref="E736">_xlfn.XLOOKUP(D736,Insumos!B:B,Insumos!C:$C)</f>
        <v/>
      </c>
      <c r="F736" s="14" t="n">
        <v>0.0205</v>
      </c>
      <c r="G736" s="92">
        <f t="array" ref="G736">IF(B736="insumo",_xlfn.XLOOKUP($D736,Insumos!$B$1:$B$996,Insumos!$D$1:$D$996),"")</f>
        <v/>
      </c>
      <c r="H736" s="92" t="n">
        <v>0.281465</v>
      </c>
      <c r="I736" s="2162" t="n">
        <v>34044</v>
      </c>
      <c r="J736" s="2162" t="n">
        <v>9582.194460000001</v>
      </c>
      <c r="K736" s="2162" t="n"/>
    </row>
    <row r="737" outlineLevel="3" ht="15.75" customHeight="1">
      <c r="A737" s="10" t="n">
        <v>62</v>
      </c>
      <c r="B737" s="10" t="inlineStr">
        <is>
          <t>Insumo</t>
        </is>
      </c>
      <c r="C737" s="10" t="inlineStr">
        <is>
          <t>Armação Aço CA-50, Diâmetro de 32,0mm para Supraestrutura, Corte e dobra em Indústria</t>
        </is>
      </c>
      <c r="D737" s="10" t="inlineStr">
        <is>
          <t>Espaçador para armadura</t>
        </is>
      </c>
      <c r="E737" s="11">
        <f t="array" ref="E737">_xlfn.XLOOKUP(D737,Insumos!B:B,Insumos!C:$C)</f>
        <v/>
      </c>
      <c r="F737" s="14" t="n">
        <v>0.05</v>
      </c>
      <c r="G737" s="92">
        <f t="array" ref="G737">IF(B737="insumo",_xlfn.XLOOKUP($D737,Insumos!$B$1:$B$996,Insumos!$D$1:$D$996),"")</f>
        <v/>
      </c>
      <c r="H737" s="92" t="n">
        <v>0.0135</v>
      </c>
      <c r="I737" s="2162" t="n">
        <v>34044</v>
      </c>
      <c r="J737" s="2162" t="n">
        <v>459.594</v>
      </c>
      <c r="K737" s="2162" t="n"/>
    </row>
    <row r="738" outlineLevel="2" ht="18.75" customHeight="1">
      <c r="A738" s="1071" t="n">
        <v>1</v>
      </c>
      <c r="B738" s="1071" t="inlineStr">
        <is>
          <t>Serviço</t>
        </is>
      </c>
      <c r="C738" s="1071" t="inlineStr">
        <is>
          <t>Armação tela Q113 para Suprastrutura (corte e dobra em Obra)</t>
        </is>
      </c>
      <c r="D738" s="1071" t="inlineStr">
        <is>
          <t>Armação tela Q113 para Suprastrutura (corte e dobra em Obra)</t>
        </is>
      </c>
      <c r="E738" s="1072" t="inlineStr">
        <is>
          <t>KG</t>
        </is>
      </c>
      <c r="F738" s="1071" t="n"/>
      <c r="G738" s="1073">
        <f t="array" ref="G738">IF(B738="insumo",_xlfn.XLOOKUP($D738,Insumos!$B$1:$B$996,Insumos!$D$1:$D$996),"")</f>
        <v/>
      </c>
      <c r="H738" s="1073" t="n">
        <v>9.68570574074074</v>
      </c>
      <c r="I738" s="2163" t="n">
        <v>0</v>
      </c>
      <c r="J738" s="2163" t="n">
        <v>0</v>
      </c>
      <c r="K738" s="2163" t="n"/>
    </row>
    <row r="739" outlineLevel="3" ht="18.75" customHeight="1">
      <c r="A739" s="82" t="n">
        <v>2</v>
      </c>
      <c r="B739" s="82" t="inlineStr">
        <is>
          <t>Insumo</t>
        </is>
      </c>
      <c r="C739" s="82" t="inlineStr">
        <is>
          <t>Armação tela Q113 para Suprastrutura (corte e dobra em Obra)</t>
        </is>
      </c>
      <c r="D739" s="82" t="inlineStr">
        <is>
          <t>TELA ACO CARBONO CA60 M.100X100MM F.04,2MM 245X600CM Q113 (26,46KG/UN)</t>
        </is>
      </c>
      <c r="E739" s="11">
        <f t="array" ref="E739">_xlfn.XLOOKUP(D739,Insumos!B:B,Insumos!C:$C)</f>
        <v/>
      </c>
      <c r="F739" s="2164" t="n">
        <v>1.1</v>
      </c>
      <c r="G739" s="92">
        <f t="array" ref="G739">IF(B739="insumo",_xlfn.XLOOKUP($D739,Insumos!$B$1:$B$996,Insumos!$D$1:$D$996),"")</f>
        <v/>
      </c>
      <c r="H739" s="92" t="n">
        <v>9.390740740740741</v>
      </c>
      <c r="I739" s="2165" t="n">
        <v>0</v>
      </c>
      <c r="J739" s="2165" t="n">
        <v>0</v>
      </c>
      <c r="K739" s="2165" t="n"/>
    </row>
    <row r="740" outlineLevel="3" ht="18.75" customHeight="1">
      <c r="A740" s="82" t="n">
        <v>21</v>
      </c>
      <c r="B740" s="82" t="inlineStr">
        <is>
          <t>Insumo</t>
        </is>
      </c>
      <c r="C740" s="82" t="inlineStr">
        <is>
          <t>Armação tela Q113 para Suprastrutura (corte e dobra em Obra)</t>
        </is>
      </c>
      <c r="D740" s="82" t="inlineStr">
        <is>
          <t xml:space="preserve">Arame Recozido BWG 18 </t>
        </is>
      </c>
      <c r="E740" s="11">
        <f t="array" ref="E740">_xlfn.XLOOKUP(D740,Insumos!B:B,Insumos!C:$C)</f>
        <v/>
      </c>
      <c r="F740" s="2164" t="n">
        <v>0.0205</v>
      </c>
      <c r="G740" s="92">
        <f t="array" ref="G740">IF(B740="insumo",_xlfn.XLOOKUP($D740,Insumos!$B$1:$B$996,Insumos!$D$1:$D$996),"")</f>
        <v/>
      </c>
      <c r="H740" s="92" t="n">
        <v>0.281465</v>
      </c>
      <c r="I740" s="2165" t="n">
        <v>0</v>
      </c>
      <c r="J740" s="2165" t="n">
        <v>0</v>
      </c>
      <c r="K740" s="2165" t="n"/>
    </row>
    <row r="741" outlineLevel="3" ht="18.75" customHeight="1">
      <c r="A741" s="82" t="n">
        <v>62</v>
      </c>
      <c r="B741" s="82" t="inlineStr">
        <is>
          <t>Insumo</t>
        </is>
      </c>
      <c r="C741" s="82" t="inlineStr">
        <is>
          <t>Armação tela Q113 para Suprastrutura (corte e dobra em Obra)</t>
        </is>
      </c>
      <c r="D741" s="82" t="inlineStr">
        <is>
          <t>Espaçador para armadura</t>
        </is>
      </c>
      <c r="E741" s="11">
        <f t="array" ref="E741">_xlfn.XLOOKUP(D741,Insumos!B:B,Insumos!C:$C)</f>
        <v/>
      </c>
      <c r="F741" s="2164" t="n">
        <v>0.05</v>
      </c>
      <c r="G741" s="92">
        <f t="array" ref="G741">IF(B741="insumo",_xlfn.XLOOKUP($D741,Insumos!$B$1:$B$996,Insumos!$D$1:$D$996),"")</f>
        <v/>
      </c>
      <c r="H741" s="92" t="n">
        <v>0.0135</v>
      </c>
      <c r="I741" s="2165" t="n">
        <v>0</v>
      </c>
      <c r="J741" s="2165" t="n">
        <v>0</v>
      </c>
      <c r="K741" s="2165" t="n"/>
    </row>
    <row r="742" outlineLevel="2" ht="18.75" customHeight="1">
      <c r="A742" s="1067" t="n">
        <v>1</v>
      </c>
      <c r="B742" s="1067" t="inlineStr">
        <is>
          <t>Serviço</t>
        </is>
      </c>
      <c r="C742" s="1067" t="inlineStr">
        <is>
          <t>Armação tela Q138 para Suprastrutura (corte e dobra em Obra)</t>
        </is>
      </c>
      <c r="D742" s="1067" t="inlineStr">
        <is>
          <t>Armação tela Q138 para Suprastrutura (corte e dobra em Obra)</t>
        </is>
      </c>
      <c r="E742" s="1068" t="inlineStr">
        <is>
          <t>KG</t>
        </is>
      </c>
      <c r="F742" s="1067" t="n"/>
      <c r="G742" s="1069">
        <f t="array" ref="G742">IF(B742="insumo",_xlfn.XLOOKUP($D742,Insumos!$B$1:$B$996,Insumos!$D$1:$D$996),"")</f>
        <v/>
      </c>
      <c r="H742" s="1069" t="n">
        <v>10.3541486734694</v>
      </c>
      <c r="I742" s="2161" t="n">
        <v>0</v>
      </c>
      <c r="J742" s="2161" t="n">
        <v>0</v>
      </c>
      <c r="K742" s="2161" t="n"/>
    </row>
    <row r="743" outlineLevel="3" ht="18.75" customHeight="1">
      <c r="A743" s="10" t="n">
        <v>1</v>
      </c>
      <c r="B743" s="10" t="inlineStr">
        <is>
          <t>Insumo</t>
        </is>
      </c>
      <c r="C743" s="10" t="inlineStr">
        <is>
          <t>Armação tela Q138 para Suprastrutura (corte e dobra em Obra)</t>
        </is>
      </c>
      <c r="D743" s="10" t="inlineStr">
        <is>
          <t>TELA ACO CARBONO CA60 M.100X100MM F.04,2MM 245X600CM Q138 (32,34KG/UN)</t>
        </is>
      </c>
      <c r="E743" s="11">
        <f t="array" ref="E743">_xlfn.XLOOKUP(D743,Insumos!B:B,Insumos!C:$C)</f>
        <v/>
      </c>
      <c r="F743" s="14" t="n">
        <v>1.1</v>
      </c>
      <c r="G743" s="92">
        <f t="array" ref="G743">IF(B743="insumo",_xlfn.XLOOKUP($D743,Insumos!$B$1:$B$996,Insumos!$D$1:$D$996),"")</f>
        <v/>
      </c>
      <c r="H743" s="92" t="n">
        <v>10.0591836734694</v>
      </c>
      <c r="I743" s="2162" t="n">
        <v>0</v>
      </c>
      <c r="J743" s="2162" t="n">
        <v>0</v>
      </c>
      <c r="K743" s="2162" t="n"/>
    </row>
    <row r="744" outlineLevel="3" ht="18.75" customHeight="1">
      <c r="A744" s="10" t="n">
        <v>21</v>
      </c>
      <c r="B744" s="10" t="inlineStr">
        <is>
          <t>Insumo</t>
        </is>
      </c>
      <c r="C744" s="10" t="inlineStr">
        <is>
          <t>Armação tela Q138 para Suprastrutura (corte e dobra em Obra)</t>
        </is>
      </c>
      <c r="D744" s="10" t="inlineStr">
        <is>
          <t xml:space="preserve">Arame Recozido BWG 18 </t>
        </is>
      </c>
      <c r="E744" s="11">
        <f t="array" ref="E744">_xlfn.XLOOKUP(D744,Insumos!B:B,Insumos!C:$C)</f>
        <v/>
      </c>
      <c r="F744" s="14" t="n">
        <v>0.0205</v>
      </c>
      <c r="G744" s="92">
        <f t="array" ref="G744">IF(B744="insumo",_xlfn.XLOOKUP($D744,Insumos!$B$1:$B$996,Insumos!$D$1:$D$996),"")</f>
        <v/>
      </c>
      <c r="H744" s="92" t="n">
        <v>0.281465</v>
      </c>
      <c r="I744" s="2162" t="n">
        <v>0</v>
      </c>
      <c r="J744" s="2162" t="n">
        <v>0</v>
      </c>
      <c r="K744" s="2162" t="n"/>
    </row>
    <row r="745" outlineLevel="3" ht="18.75" customHeight="1">
      <c r="A745" s="10" t="n">
        <v>62</v>
      </c>
      <c r="B745" s="10" t="inlineStr">
        <is>
          <t>Insumo</t>
        </is>
      </c>
      <c r="C745" s="10" t="inlineStr">
        <is>
          <t>Armação tela Q138 para Suprastrutura (corte e dobra em Obra)</t>
        </is>
      </c>
      <c r="D745" s="10" t="inlineStr">
        <is>
          <t>Espaçador para armadura</t>
        </is>
      </c>
      <c r="E745" s="11">
        <f t="array" ref="E745">_xlfn.XLOOKUP(D745,Insumos!B:B,Insumos!C:$C)</f>
        <v/>
      </c>
      <c r="F745" s="14" t="n">
        <v>0.05</v>
      </c>
      <c r="G745" s="92">
        <f t="array" ref="G745">IF(B745="insumo",_xlfn.XLOOKUP($D745,Insumos!$B$1:$B$996,Insumos!$D$1:$D$996),"")</f>
        <v/>
      </c>
      <c r="H745" s="92" t="n">
        <v>0.0135</v>
      </c>
      <c r="I745" s="2162" t="n">
        <v>0</v>
      </c>
      <c r="J745" s="2162" t="n">
        <v>0</v>
      </c>
      <c r="K745" s="2162" t="n"/>
    </row>
    <row r="746" outlineLevel="2" ht="18.75" customHeight="1">
      <c r="A746" s="1067" t="n">
        <v>1</v>
      </c>
      <c r="B746" s="1067" t="inlineStr">
        <is>
          <t>Serviço</t>
        </is>
      </c>
      <c r="C746" s="1067" t="inlineStr">
        <is>
          <t>Armação tela Q92 para ContraPiso Armado (corte e dobra em Obra)</t>
        </is>
      </c>
      <c r="D746" s="1067" t="inlineStr">
        <is>
          <t>Armação tela Q92 para ContraPiso Armado (corte e dobra em Obra)</t>
        </is>
      </c>
      <c r="E746" s="1068" t="inlineStr">
        <is>
          <t>KG</t>
        </is>
      </c>
      <c r="F746" s="1067" t="n"/>
      <c r="G746" s="1069">
        <f t="array" ref="G746">IF(B746="insumo",_xlfn.XLOOKUP($D746,Insumos!$B$1:$B$996,Insumos!$D$1:$D$996),"")</f>
        <v/>
      </c>
      <c r="H746" s="1069" t="n">
        <v>5.662965</v>
      </c>
      <c r="I746" s="2161" t="n">
        <v>0</v>
      </c>
      <c r="J746" s="2161" t="n">
        <v>0</v>
      </c>
      <c r="K746" s="2161" t="n"/>
    </row>
    <row r="747" outlineLevel="3" ht="18.75" customHeight="1">
      <c r="A747" s="10" t="n">
        <v>1</v>
      </c>
      <c r="B747" s="10" t="inlineStr">
        <is>
          <t>Insumo</t>
        </is>
      </c>
      <c r="C747" s="10" t="inlineStr">
        <is>
          <t>Armação tela Q92 para ContraPiso Armado (corte e dobra em Obra)</t>
        </is>
      </c>
      <c r="D747" s="10" t="inlineStr">
        <is>
          <t>TELA ACO CARBONO CA60 M.150X150MM F.04,2MM 245X600CM Q92 (21,8KG/UN)</t>
        </is>
      </c>
      <c r="E747" s="11">
        <f t="array" ref="E747">_xlfn.XLOOKUP(D747,Insumos!B:B,Insumos!C:$C)</f>
        <v/>
      </c>
      <c r="F747" s="14" t="n">
        <v>1.1</v>
      </c>
      <c r="G747" s="92">
        <f t="array" ref="G747">IF(B747="insumo",_xlfn.XLOOKUP($D747,Insumos!$B$1:$B$996,Insumos!$D$1:$D$996),"")</f>
        <v/>
      </c>
      <c r="H747" s="92" t="n">
        <v>5.368</v>
      </c>
      <c r="I747" s="2162" t="n">
        <v>0</v>
      </c>
      <c r="J747" s="2162" t="n">
        <v>0</v>
      </c>
      <c r="K747" s="2162" t="n"/>
    </row>
    <row r="748" outlineLevel="3" ht="18.75" customHeight="1">
      <c r="A748" s="10" t="n">
        <v>21</v>
      </c>
      <c r="B748" s="10" t="inlineStr">
        <is>
          <t>Insumo</t>
        </is>
      </c>
      <c r="C748" s="10" t="inlineStr">
        <is>
          <t>Armação tela Q92 para ContraPiso Armado (corte e dobra em Obra)</t>
        </is>
      </c>
      <c r="D748" s="10" t="inlineStr">
        <is>
          <t xml:space="preserve">Arame Recozido BWG 18 </t>
        </is>
      </c>
      <c r="E748" s="11">
        <f t="array" ref="E748">_xlfn.XLOOKUP(D748,Insumos!B:B,Insumos!C:$C)</f>
        <v/>
      </c>
      <c r="F748" s="14" t="n">
        <v>0.0205</v>
      </c>
      <c r="G748" s="92">
        <f t="array" ref="G748">IF(B748="insumo",_xlfn.XLOOKUP($D748,Insumos!$B$1:$B$996,Insumos!$D$1:$D$996),"")</f>
        <v/>
      </c>
      <c r="H748" s="92" t="n">
        <v>0.281465</v>
      </c>
      <c r="I748" s="2162" t="n">
        <v>0</v>
      </c>
      <c r="J748" s="2162" t="n">
        <v>0</v>
      </c>
      <c r="K748" s="2162" t="n"/>
    </row>
    <row r="749" outlineLevel="3" ht="18.75" customHeight="1">
      <c r="A749" s="10" t="n">
        <v>62</v>
      </c>
      <c r="B749" s="10" t="inlineStr">
        <is>
          <t>Insumo</t>
        </is>
      </c>
      <c r="C749" s="10" t="inlineStr">
        <is>
          <t>Armação tela Q92 para ContraPiso Armado (corte e dobra em Obra)</t>
        </is>
      </c>
      <c r="D749" s="10" t="inlineStr">
        <is>
          <t>Espaçador para armadura</t>
        </is>
      </c>
      <c r="E749" s="11">
        <f t="array" ref="E749">_xlfn.XLOOKUP(D749,Insumos!B:B,Insumos!C:$C)</f>
        <v/>
      </c>
      <c r="F749" s="14" t="n">
        <v>0.05</v>
      </c>
      <c r="G749" s="92">
        <f t="array" ref="G749">IF(B749="insumo",_xlfn.XLOOKUP($D749,Insumos!$B$1:$B$996,Insumos!$D$1:$D$996),"")</f>
        <v/>
      </c>
      <c r="H749" s="92" t="n">
        <v>0.0135</v>
      </c>
      <c r="I749" s="2162" t="n">
        <v>0</v>
      </c>
      <c r="J749" s="2162" t="n">
        <v>0</v>
      </c>
      <c r="K749" s="2162" t="n"/>
    </row>
    <row r="750" outlineLevel="1" ht="15.75" customHeight="1">
      <c r="A750" s="1090" t="n">
        <v>5</v>
      </c>
      <c r="B750" s="1090" t="inlineStr">
        <is>
          <t>Subetapa</t>
        </is>
      </c>
      <c r="C750" s="1090" t="inlineStr">
        <is>
          <t>Armação tela Q92 para ContraPiso Armado (corte e dobra em Obra)</t>
        </is>
      </c>
      <c r="D750" s="1090" t="inlineStr">
        <is>
          <t>CONCRETO</t>
        </is>
      </c>
      <c r="E750" s="1091" t="n"/>
      <c r="F750" s="2160" t="n"/>
      <c r="G750" s="1091" t="n"/>
      <c r="H750" s="1091" t="n">
        <v>0</v>
      </c>
      <c r="I750" s="2160" t="n">
        <v>0</v>
      </c>
      <c r="J750" s="2160" t="n">
        <v>0</v>
      </c>
      <c r="K750" s="2160" t="n"/>
    </row>
    <row r="751" outlineLevel="2" ht="15.75" customHeight="1">
      <c r="A751" s="1067" t="n">
        <v>1</v>
      </c>
      <c r="B751" s="1067" t="inlineStr">
        <is>
          <t>Serviço</t>
        </is>
      </c>
      <c r="C751" s="1067" t="inlineStr">
        <is>
          <t>Concreto Usinado FCK = 20MPa Bombeavel Para Supraestrutura</t>
        </is>
      </c>
      <c r="D751" s="1067" t="inlineStr">
        <is>
          <t>Concreto Usinado FCK = 20MPa Bombeavel Para Supraestrutura</t>
        </is>
      </c>
      <c r="E751" s="1068" t="inlineStr">
        <is>
          <t>M3</t>
        </is>
      </c>
      <c r="F751" s="1067" t="n"/>
      <c r="G751" s="1069">
        <f t="array" ref="G751">IF(B751="insumo",_xlfn.XLOOKUP($D751,Insumos!$B$1:$B$996,Insumos!$D$1:$D$996),"")</f>
        <v/>
      </c>
      <c r="H751" s="1069" t="n">
        <v>557.26</v>
      </c>
      <c r="I751" s="2161" t="n">
        <v>0</v>
      </c>
      <c r="J751" s="2161" t="n">
        <v>0</v>
      </c>
      <c r="K751" s="2161" t="n"/>
    </row>
    <row r="752" outlineLevel="3" ht="15.75" customHeight="1">
      <c r="A752" s="10" t="n">
        <v>9</v>
      </c>
      <c r="B752" s="10" t="inlineStr">
        <is>
          <t>Insumo</t>
        </is>
      </c>
      <c r="C752" s="10" t="inlineStr">
        <is>
          <t>Concreto Usinado FCK = 20MPa Bombeavel Para Supraestrutura</t>
        </is>
      </c>
      <c r="D752" s="10" t="inlineStr">
        <is>
          <t>Concreto Usinado bombeável 20MPa Convencional</t>
        </is>
      </c>
      <c r="E752" s="11">
        <f t="array" ref="E752">_xlfn.XLOOKUP(D752,Insumos!B:B,Insumos!C:$C)</f>
        <v/>
      </c>
      <c r="F752" s="14" t="n">
        <v>1.05</v>
      </c>
      <c r="G752" s="92">
        <f t="array" ref="G752">IF(B752="insumo",_xlfn.XLOOKUP($D752,Insumos!$B$1:$B$996,Insumos!$D$1:$D$996),"")</f>
        <v/>
      </c>
      <c r="H752" s="92" t="n">
        <v>514.5</v>
      </c>
      <c r="I752" s="2162" t="n">
        <v>0</v>
      </c>
      <c r="J752" s="2162" t="n">
        <v>0</v>
      </c>
      <c r="K752" s="2162" t="n"/>
    </row>
    <row r="753" outlineLevel="3" ht="15.75" customHeight="1">
      <c r="A753" s="10" t="n">
        <v>25</v>
      </c>
      <c r="B753" s="10" t="inlineStr">
        <is>
          <t>Insumo</t>
        </is>
      </c>
      <c r="C753" s="10" t="inlineStr">
        <is>
          <t>Concreto Usinado FCK = 20MPa Bombeavel Para Supraestrutura</t>
        </is>
      </c>
      <c r="D753" s="10" t="inlineStr">
        <is>
          <t>serviço de bombeamento</t>
        </is>
      </c>
      <c r="E753" s="11">
        <f t="array" ref="E753">_xlfn.XLOOKUP(D753,Insumos!B:B,Insumos!C:$C)</f>
        <v/>
      </c>
      <c r="F753" s="14" t="n">
        <v>1.05</v>
      </c>
      <c r="G753" s="92">
        <f t="array" ref="G753">IF(B753="insumo",_xlfn.XLOOKUP($D753,Insumos!$B$1:$B$996,Insumos!$D$1:$D$996),"")</f>
        <v/>
      </c>
      <c r="H753" s="92" t="n">
        <v>42</v>
      </c>
      <c r="I753" s="2162" t="n">
        <v>0</v>
      </c>
      <c r="J753" s="2162" t="n">
        <v>0</v>
      </c>
      <c r="K753" s="2162" t="n"/>
    </row>
    <row r="754" outlineLevel="3" ht="15.75" customHeight="1">
      <c r="A754" s="10" t="n">
        <v>62</v>
      </c>
      <c r="B754" s="10" t="inlineStr">
        <is>
          <t>Insumo</t>
        </is>
      </c>
      <c r="C754" s="10" t="inlineStr">
        <is>
          <t>Concreto Usinado FCK = 20MPa Bombeavel Para Supraestrutura</t>
        </is>
      </c>
      <c r="D754" s="10" t="inlineStr">
        <is>
          <t>Cimento Portland Composto CP II-32</t>
        </is>
      </c>
      <c r="E754" s="11">
        <f t="array" ref="E754">_xlfn.XLOOKUP(D754,Insumos!B:B,Insumos!C:$C)</f>
        <v/>
      </c>
      <c r="F754" s="14" t="n">
        <v>1</v>
      </c>
      <c r="G754" s="92">
        <f t="array" ref="G754">IF(B754="insumo",_xlfn.XLOOKUP($D754,Insumos!$B$1:$B$996,Insumos!$D$1:$D$996),"")</f>
        <v/>
      </c>
      <c r="H754" s="92" t="n">
        <v>0.76</v>
      </c>
      <c r="I754" s="2162" t="n">
        <v>0</v>
      </c>
      <c r="J754" s="2162" t="n">
        <v>0</v>
      </c>
      <c r="K754" s="2162" t="n"/>
    </row>
    <row r="755" outlineLevel="2" ht="15.75" customHeight="1">
      <c r="A755" s="1067" t="n">
        <v>1</v>
      </c>
      <c r="B755" s="1067" t="inlineStr">
        <is>
          <t>Serviço</t>
        </is>
      </c>
      <c r="C755" s="1067" t="inlineStr">
        <is>
          <t>Concreto Usinado FCK = 30MPa Bombeavel Para Supraestrutura</t>
        </is>
      </c>
      <c r="D755" s="1067" t="inlineStr">
        <is>
          <t>Concreto Usinado FCK = 30MPa Bombeavel Para Supraestrutura</t>
        </is>
      </c>
      <c r="E755" s="1068" t="inlineStr">
        <is>
          <t>M3</t>
        </is>
      </c>
      <c r="F755" s="1067" t="n"/>
      <c r="G755" s="1069">
        <f t="array" ref="G755">IF(B755="insumo",_xlfn.XLOOKUP($D755,Insumos!$B$1:$B$996,Insumos!$D$1:$D$996),"")</f>
        <v/>
      </c>
      <c r="H755" s="1069" t="n">
        <v>578.26</v>
      </c>
      <c r="I755" s="2161" t="n">
        <v>0</v>
      </c>
      <c r="J755" s="2161" t="n">
        <v>0</v>
      </c>
      <c r="K755" s="2161" t="n"/>
    </row>
    <row r="756" outlineLevel="3" ht="15.75" customHeight="1">
      <c r="A756" s="10" t="n">
        <v>4</v>
      </c>
      <c r="B756" s="10" t="inlineStr">
        <is>
          <t>Insumo</t>
        </is>
      </c>
      <c r="C756" s="10" t="inlineStr">
        <is>
          <t>Concreto Usinado FCK = 30MPa Bombeavel Para Supraestrutura</t>
        </is>
      </c>
      <c r="D756" s="10" t="inlineStr">
        <is>
          <t>Concreto Usinado bombeável 30MPa Convencional</t>
        </is>
      </c>
      <c r="E756" s="11">
        <f t="array" ref="E756">_xlfn.XLOOKUP(D756,Insumos!B:B,Insumos!C:$C)</f>
        <v/>
      </c>
      <c r="F756" s="14" t="n">
        <v>1.05</v>
      </c>
      <c r="G756" s="92">
        <f t="array" ref="G756">IF(B756="insumo",_xlfn.XLOOKUP($D756,Insumos!$B$1:$B$996,Insumos!$D$1:$D$996),"")</f>
        <v/>
      </c>
      <c r="H756" s="92" t="n">
        <v>535.5</v>
      </c>
      <c r="I756" s="2162" t="n">
        <v>0</v>
      </c>
      <c r="J756" s="2162" t="n">
        <v>0</v>
      </c>
      <c r="K756" s="2162" t="n"/>
    </row>
    <row r="757" outlineLevel="3" ht="15.75" customHeight="1">
      <c r="A757" s="10" t="n">
        <v>25</v>
      </c>
      <c r="B757" s="10" t="inlineStr">
        <is>
          <t>Insumo</t>
        </is>
      </c>
      <c r="C757" s="10" t="inlineStr">
        <is>
          <t>Concreto Usinado FCK = 30MPa Bombeavel Para Supraestrutura</t>
        </is>
      </c>
      <c r="D757" s="10" t="inlineStr">
        <is>
          <t>serviço de bombeamento</t>
        </is>
      </c>
      <c r="E757" s="11">
        <f t="array" ref="E757">_xlfn.XLOOKUP(D757,Insumos!B:B,Insumos!C:$C)</f>
        <v/>
      </c>
      <c r="F757" s="14" t="n">
        <v>1.05</v>
      </c>
      <c r="G757" s="92">
        <f t="array" ref="G757">IF(B757="insumo",_xlfn.XLOOKUP($D757,Insumos!$B$1:$B$996,Insumos!$D$1:$D$996),"")</f>
        <v/>
      </c>
      <c r="H757" s="92" t="n">
        <v>42</v>
      </c>
      <c r="I757" s="2162" t="n">
        <v>0</v>
      </c>
      <c r="J757" s="2162" t="n">
        <v>0</v>
      </c>
      <c r="K757" s="2162" t="n"/>
    </row>
    <row r="758" outlineLevel="3" ht="15.75" customHeight="1">
      <c r="A758" s="10" t="n">
        <v>62</v>
      </c>
      <c r="B758" s="10" t="inlineStr">
        <is>
          <t>Insumo</t>
        </is>
      </c>
      <c r="C758" s="10" t="inlineStr">
        <is>
          <t>Concreto Usinado FCK = 30MPa Bombeavel Para Supraestrutura</t>
        </is>
      </c>
      <c r="D758" s="10" t="inlineStr">
        <is>
          <t>Cimento Portland Composto CP II-32</t>
        </is>
      </c>
      <c r="E758" s="11">
        <f t="array" ref="E758">_xlfn.XLOOKUP(D758,Insumos!B:B,Insumos!C:$C)</f>
        <v/>
      </c>
      <c r="F758" s="14" t="n">
        <v>1</v>
      </c>
      <c r="G758" s="92">
        <f t="array" ref="G758">IF(B758="insumo",_xlfn.XLOOKUP($D758,Insumos!$B$1:$B$996,Insumos!$D$1:$D$996),"")</f>
        <v/>
      </c>
      <c r="H758" s="92" t="n">
        <v>0.76</v>
      </c>
      <c r="I758" s="2162" t="n">
        <v>0</v>
      </c>
      <c r="J758" s="2162" t="n">
        <v>0</v>
      </c>
      <c r="K758" s="2162" t="n"/>
    </row>
    <row r="759" outlineLevel="2" ht="12.75" customHeight="1">
      <c r="A759" s="1071" t="n">
        <v>1</v>
      </c>
      <c r="B759" s="1071" t="inlineStr">
        <is>
          <t>Serviço</t>
        </is>
      </c>
      <c r="C759" s="1071" t="inlineStr">
        <is>
          <t>Concreto Usinado FCK = 35MPa Bombeavel Para Supraestrutura</t>
        </is>
      </c>
      <c r="D759" s="1071" t="inlineStr">
        <is>
          <t>Concreto Usinado FCK = 35MPa Bombeavel Para Supraestrutura</t>
        </is>
      </c>
      <c r="E759" s="1072" t="inlineStr">
        <is>
          <t>M3</t>
        </is>
      </c>
      <c r="F759" s="1071" t="n"/>
      <c r="G759" s="1073">
        <f t="array" ref="G759">IF(B759="insumo",_xlfn.XLOOKUP($D759,Insumos!$B$1:$B$996,Insumos!$D$1:$D$996),"")</f>
        <v/>
      </c>
      <c r="H759" s="1073" t="n">
        <v>677.7265</v>
      </c>
      <c r="I759" s="2163" t="n">
        <v>195.521784</v>
      </c>
      <c r="J759" s="2163" t="n">
        <v>132510.294344076</v>
      </c>
      <c r="K759" s="2163" t="n"/>
    </row>
    <row r="760" outlineLevel="3" ht="12.75" customHeight="1">
      <c r="A760" s="82" t="n">
        <v>6</v>
      </c>
      <c r="B760" s="82" t="inlineStr">
        <is>
          <t>Insumo</t>
        </is>
      </c>
      <c r="C760" s="82" t="inlineStr">
        <is>
          <t>Concreto Usinado FCK = 35MPa Bombeavel Para Supraestrutura</t>
        </is>
      </c>
      <c r="D760" s="82" t="inlineStr">
        <is>
          <t>Concreto Usinado bombeável 35MPa Convencional</t>
        </is>
      </c>
      <c r="E760" s="11">
        <f t="array" ref="E760">_xlfn.XLOOKUP(D760,Insumos!B:B,Insumos!C:$C)</f>
        <v/>
      </c>
      <c r="F760" s="2164" t="n">
        <v>1.05</v>
      </c>
      <c r="G760" s="92">
        <f t="array" ref="G760">IF(B760="insumo",_xlfn.XLOOKUP($D760,Insumos!$B$1:$B$996,Insumos!$D$1:$D$996),"")</f>
        <v/>
      </c>
      <c r="H760" s="92" t="n">
        <v>634.9665</v>
      </c>
      <c r="I760" s="2165" t="n">
        <v>195.521784</v>
      </c>
      <c r="J760" s="2165" t="n">
        <v>124149.782860236</v>
      </c>
      <c r="K760" s="2165" t="n"/>
    </row>
    <row r="761" outlineLevel="3" ht="12.75" customHeight="1">
      <c r="A761" s="82" t="n">
        <v>25</v>
      </c>
      <c r="B761" s="82" t="inlineStr">
        <is>
          <t>Insumo</t>
        </is>
      </c>
      <c r="C761" s="82" t="inlineStr">
        <is>
          <t>Concreto Usinado FCK = 35MPa Bombeavel Para Supraestrutura</t>
        </is>
      </c>
      <c r="D761" s="82" t="inlineStr">
        <is>
          <t>serviço de bombeamento</t>
        </is>
      </c>
      <c r="E761" s="11">
        <f t="array" ref="E761">_xlfn.XLOOKUP(D761,Insumos!B:B,Insumos!C:$C)</f>
        <v/>
      </c>
      <c r="F761" s="2164" t="n">
        <v>1.05</v>
      </c>
      <c r="G761" s="92">
        <f t="array" ref="G761">IF(B761="insumo",_xlfn.XLOOKUP($D761,Insumos!$B$1:$B$996,Insumos!$D$1:$D$996),"")</f>
        <v/>
      </c>
      <c r="H761" s="92" t="n">
        <v>42</v>
      </c>
      <c r="I761" s="2165" t="n">
        <v>195.521784</v>
      </c>
      <c r="J761" s="2165" t="n">
        <v>8211.914928</v>
      </c>
      <c r="K761" s="2165" t="n"/>
    </row>
    <row r="762" outlineLevel="3" ht="12.75" customHeight="1">
      <c r="A762" s="82" t="n">
        <v>62</v>
      </c>
      <c r="B762" s="82" t="inlineStr">
        <is>
          <t>Insumo</t>
        </is>
      </c>
      <c r="C762" s="82" t="inlineStr">
        <is>
          <t>Concreto Usinado FCK = 35MPa Bombeavel Para Supraestrutura</t>
        </is>
      </c>
      <c r="D762" s="82" t="inlineStr">
        <is>
          <t>Cimento Portland Composto CP II-32</t>
        </is>
      </c>
      <c r="E762" s="11">
        <f t="array" ref="E762">_xlfn.XLOOKUP(D762,Insumos!B:B,Insumos!C:$C)</f>
        <v/>
      </c>
      <c r="F762" s="2164" t="n">
        <v>1</v>
      </c>
      <c r="G762" s="92">
        <f t="array" ref="G762">IF(B762="insumo",_xlfn.XLOOKUP($D762,Insumos!$B$1:$B$996,Insumos!$D$1:$D$996),"")</f>
        <v/>
      </c>
      <c r="H762" s="92" t="n">
        <v>0.76</v>
      </c>
      <c r="I762" s="2165" t="n">
        <v>195.521784</v>
      </c>
      <c r="J762" s="2165" t="n">
        <v>148.59655584</v>
      </c>
      <c r="K762" s="2165" t="n"/>
    </row>
    <row r="763" outlineLevel="2" ht="15.75" customHeight="1">
      <c r="A763" s="1067" t="n">
        <v>1</v>
      </c>
      <c r="B763" s="1067" t="inlineStr">
        <is>
          <t>Serviço</t>
        </is>
      </c>
      <c r="C763" s="1067" t="inlineStr">
        <is>
          <t>Concreto Usinado FCK = 40MPa Bombeavel Para Supraestrutura</t>
        </is>
      </c>
      <c r="D763" s="1067" t="inlineStr">
        <is>
          <t>Concreto Usinado FCK = 40MPa Bombeavel Para Supraestrutura</t>
        </is>
      </c>
      <c r="E763" s="1068" t="inlineStr">
        <is>
          <t>M3</t>
        </is>
      </c>
      <c r="F763" s="1067" t="n"/>
      <c r="G763" s="1069">
        <f t="array" ref="G763">IF(B763="insumo",_xlfn.XLOOKUP($D763,Insumos!$B$1:$B$996,Insumos!$D$1:$D$996),"")</f>
        <v/>
      </c>
      <c r="H763" s="1069" t="n">
        <v>631.306</v>
      </c>
      <c r="I763" s="2161" t="n">
        <v>237.663568</v>
      </c>
      <c r="J763" s="2161" t="n">
        <v>150038.436459808</v>
      </c>
      <c r="K763" s="2161" t="n"/>
    </row>
    <row r="764" outlineLevel="3" ht="15.75" customHeight="1">
      <c r="A764" s="10" t="n">
        <v>2</v>
      </c>
      <c r="B764" s="10" t="inlineStr">
        <is>
          <t>Insumo</t>
        </is>
      </c>
      <c r="C764" s="10" t="inlineStr">
        <is>
          <t>Concreto Usinado FCK = 40MPa Bombeavel Para Supraestrutura</t>
        </is>
      </c>
      <c r="D764" s="10" t="inlineStr">
        <is>
          <t>Concreto Usinado bombeável 40MPa Convencional</t>
        </is>
      </c>
      <c r="E764" s="11">
        <f t="array" ref="E764">_xlfn.XLOOKUP(D764,Insumos!B:B,Insumos!C:$C)</f>
        <v/>
      </c>
      <c r="F764" s="14" t="n">
        <v>1.05</v>
      </c>
      <c r="G764" s="92">
        <f t="array" ref="G764">IF(B764="insumo",_xlfn.XLOOKUP($D764,Insumos!$B$1:$B$996,Insumos!$D$1:$D$996),"")</f>
        <v/>
      </c>
      <c r="H764" s="92" t="n">
        <v>588.546</v>
      </c>
      <c r="I764" s="2162" t="n">
        <v>237.663568</v>
      </c>
      <c r="J764" s="2162" t="n">
        <v>139875.942292128</v>
      </c>
      <c r="K764" s="2162" t="n"/>
    </row>
    <row r="765" outlineLevel="3" ht="15.75" customHeight="1">
      <c r="A765" s="10" t="n">
        <v>25</v>
      </c>
      <c r="B765" s="10" t="inlineStr">
        <is>
          <t>Insumo</t>
        </is>
      </c>
      <c r="C765" s="10" t="inlineStr">
        <is>
          <t>Concreto Usinado FCK = 40MPa Bombeavel Para Supraestrutura</t>
        </is>
      </c>
      <c r="D765" s="10" t="inlineStr">
        <is>
          <t>serviço de bombeamento</t>
        </is>
      </c>
      <c r="E765" s="11">
        <f t="array" ref="E765">_xlfn.XLOOKUP(D765,Insumos!B:B,Insumos!C:$C)</f>
        <v/>
      </c>
      <c r="F765" s="14" t="n">
        <v>1.05</v>
      </c>
      <c r="G765" s="92">
        <f t="array" ref="G765">IF(B765="insumo",_xlfn.XLOOKUP($D765,Insumos!$B$1:$B$996,Insumos!$D$1:$D$996),"")</f>
        <v/>
      </c>
      <c r="H765" s="92" t="n">
        <v>42</v>
      </c>
      <c r="I765" s="2162" t="n">
        <v>237.663568</v>
      </c>
      <c r="J765" s="2162" t="n">
        <v>9981.869855999999</v>
      </c>
      <c r="K765" s="2162" t="n"/>
    </row>
    <row r="766" outlineLevel="3" ht="15.75" customHeight="1">
      <c r="A766" s="10" t="n">
        <v>62</v>
      </c>
      <c r="B766" s="10" t="inlineStr">
        <is>
          <t>Insumo</t>
        </is>
      </c>
      <c r="C766" s="10" t="inlineStr">
        <is>
          <t>Concreto Usinado FCK = 40MPa Bombeavel Para Supraestrutura</t>
        </is>
      </c>
      <c r="D766" s="10" t="inlineStr">
        <is>
          <t>Cimento Portland Composto CP II-32</t>
        </is>
      </c>
      <c r="E766" s="11">
        <f t="array" ref="E766">_xlfn.XLOOKUP(D766,Insumos!B:B,Insumos!C:$C)</f>
        <v/>
      </c>
      <c r="F766" s="14" t="n">
        <v>1</v>
      </c>
      <c r="G766" s="92">
        <f t="array" ref="G766">IF(B766="insumo",_xlfn.XLOOKUP($D766,Insumos!$B$1:$B$996,Insumos!$D$1:$D$996),"")</f>
        <v/>
      </c>
      <c r="H766" s="92" t="n">
        <v>0.76</v>
      </c>
      <c r="I766" s="2162" t="n">
        <v>237.663568</v>
      </c>
      <c r="J766" s="2162" t="n">
        <v>180.62431168</v>
      </c>
      <c r="K766" s="2162" t="n"/>
    </row>
    <row r="767" outlineLevel="2" ht="15.75" customHeight="1">
      <c r="A767" s="1067" t="n">
        <v>1</v>
      </c>
      <c r="B767" s="1067" t="inlineStr">
        <is>
          <t>Serviço</t>
        </is>
      </c>
      <c r="C767" s="1067" t="inlineStr">
        <is>
          <t>Concreto Usinado FCK = 45MPa Bombeavel Para Supraestrutura</t>
        </is>
      </c>
      <c r="D767" s="1067" t="inlineStr">
        <is>
          <t>Concreto Usinado FCK = 45MPa Bombeavel Para Supraestrutura</t>
        </is>
      </c>
      <c r="E767" s="1068" t="inlineStr">
        <is>
          <t>M3</t>
        </is>
      </c>
      <c r="F767" s="1067" t="n"/>
      <c r="G767" s="1069">
        <f t="array" ref="G767">IF(B767="insumo",_xlfn.XLOOKUP($D767,Insumos!$B$1:$B$996,Insumos!$D$1:$D$996),"")</f>
        <v/>
      </c>
      <c r="H767" s="1069" t="n">
        <v>620.407</v>
      </c>
      <c r="I767" s="2161" t="n">
        <v>3803.151032</v>
      </c>
      <c r="J767" s="2161" t="n">
        <v>2359501.52231002</v>
      </c>
      <c r="K767" s="2161" t="n"/>
    </row>
    <row r="768" outlineLevel="3" ht="15.75" customHeight="1">
      <c r="A768" s="10" t="n">
        <v>2</v>
      </c>
      <c r="B768" s="10" t="inlineStr">
        <is>
          <t>Insumo</t>
        </is>
      </c>
      <c r="C768" s="10" t="inlineStr">
        <is>
          <t>Concreto Usinado FCK = 45MPa Bombeavel Para Supraestrutura</t>
        </is>
      </c>
      <c r="D768" s="10" t="inlineStr">
        <is>
          <t>Concreto Usinado bombeável 45MPa Convencional</t>
        </is>
      </c>
      <c r="E768" s="11">
        <f t="array" ref="E768">_xlfn.XLOOKUP(D768,Insumos!B:B,Insumos!C:$C)</f>
        <v/>
      </c>
      <c r="F768" s="14" t="n">
        <v>1.05</v>
      </c>
      <c r="G768" s="92">
        <f t="array" ref="G768">IF(B768="insumo",_xlfn.XLOOKUP($D768,Insumos!$B$1:$B$996,Insumos!$D$1:$D$996),"")</f>
        <v/>
      </c>
      <c r="H768" s="92" t="n">
        <v>577.647</v>
      </c>
      <c r="I768" s="2162" t="n">
        <v>3803.151032</v>
      </c>
      <c r="J768" s="2162" t="n">
        <v>2196878.7841817</v>
      </c>
      <c r="K768" s="2162" t="n"/>
    </row>
    <row r="769" outlineLevel="3" ht="15.75" customHeight="1">
      <c r="A769" s="10" t="n">
        <v>25</v>
      </c>
      <c r="B769" s="10" t="inlineStr">
        <is>
          <t>Insumo</t>
        </is>
      </c>
      <c r="C769" s="10" t="inlineStr">
        <is>
          <t>Concreto Usinado FCK = 45MPa Bombeavel Para Supraestrutura</t>
        </is>
      </c>
      <c r="D769" s="10" t="inlineStr">
        <is>
          <t>serviço de bombeamento</t>
        </is>
      </c>
      <c r="E769" s="11">
        <f t="array" ref="E769">_xlfn.XLOOKUP(D769,Insumos!B:B,Insumos!C:$C)</f>
        <v/>
      </c>
      <c r="F769" s="14" t="n">
        <v>1.05</v>
      </c>
      <c r="G769" s="92">
        <f t="array" ref="G769">IF(B769="insumo",_xlfn.XLOOKUP($D769,Insumos!$B$1:$B$996,Insumos!$D$1:$D$996),"")</f>
        <v/>
      </c>
      <c r="H769" s="92" t="n">
        <v>42</v>
      </c>
      <c r="I769" s="2162" t="n">
        <v>3803.151032</v>
      </c>
      <c r="J769" s="2162" t="n">
        <v>159732.343344</v>
      </c>
      <c r="K769" s="2162" t="n"/>
    </row>
    <row r="770" outlineLevel="3" ht="15.75" customHeight="1">
      <c r="A770" s="10" t="n">
        <v>62</v>
      </c>
      <c r="B770" s="10" t="inlineStr">
        <is>
          <t>Insumo</t>
        </is>
      </c>
      <c r="C770" s="10" t="inlineStr">
        <is>
          <t>Concreto Usinado FCK = 45MPa Bombeavel Para Supraestrutura</t>
        </is>
      </c>
      <c r="D770" s="10" t="inlineStr">
        <is>
          <t>Cimento Portland Composto CP II-32</t>
        </is>
      </c>
      <c r="E770" s="11">
        <f t="array" ref="E770">_xlfn.XLOOKUP(D770,Insumos!B:B,Insumos!C:$C)</f>
        <v/>
      </c>
      <c r="F770" s="14" t="n">
        <v>1</v>
      </c>
      <c r="G770" s="92">
        <f t="array" ref="G770">IF(B770="insumo",_xlfn.XLOOKUP($D770,Insumos!$B$1:$B$996,Insumos!$D$1:$D$996),"")</f>
        <v/>
      </c>
      <c r="H770" s="92" t="n">
        <v>0.76</v>
      </c>
      <c r="I770" s="2162" t="n">
        <v>3803.151032</v>
      </c>
      <c r="J770" s="2162" t="n">
        <v>2890.39478432</v>
      </c>
      <c r="K770" s="2162" t="n"/>
    </row>
    <row r="771" outlineLevel="2" ht="15.75" customHeight="1">
      <c r="A771" s="1067" t="n">
        <v>1</v>
      </c>
      <c r="B771" s="1067" t="inlineStr">
        <is>
          <t>Serviço</t>
        </is>
      </c>
      <c r="C771" s="1067" t="inlineStr">
        <is>
          <t>Concreto Usinado FCK = 50MPa Bombeavel Para Supraestrutura</t>
        </is>
      </c>
      <c r="D771" s="1067" t="inlineStr">
        <is>
          <t>Concreto Usinado FCK = 50MPa Bombeavel Para Supraestrutura</t>
        </is>
      </c>
      <c r="E771" s="1068" t="inlineStr">
        <is>
          <t>M3</t>
        </is>
      </c>
      <c r="F771" s="1067" t="n"/>
      <c r="G771" s="1069">
        <f t="array" ref="G771">IF(B771="insumo",_xlfn.XLOOKUP($D771,Insumos!$B$1:$B$996,Insumos!$D$1:$D$996),"")</f>
        <v/>
      </c>
      <c r="H771" s="1069" t="n">
        <v>680.866</v>
      </c>
      <c r="I771" s="2161" t="n">
        <v>2329.470704</v>
      </c>
      <c r="J771" s="2161" t="n">
        <v>1586057.40034966</v>
      </c>
      <c r="K771" s="2161" t="n"/>
    </row>
    <row r="772" outlineLevel="3" ht="15.75" customHeight="1">
      <c r="A772" s="10" t="n">
        <v>2</v>
      </c>
      <c r="B772" s="10" t="inlineStr">
        <is>
          <t>Insumo</t>
        </is>
      </c>
      <c r="C772" s="10" t="inlineStr">
        <is>
          <t>Concreto Usinado FCK = 50MPa Bombeavel Para Supraestrutura</t>
        </is>
      </c>
      <c r="D772" s="10" t="inlineStr">
        <is>
          <t>Concreto Usinado bombeável 50MPa Convencional</t>
        </is>
      </c>
      <c r="E772" s="11">
        <f t="array" ref="E772">_xlfn.XLOOKUP(D772,Insumos!B:B,Insumos!C:$C)</f>
        <v/>
      </c>
      <c r="F772" s="14" t="n">
        <v>1.05</v>
      </c>
      <c r="G772" s="92">
        <f t="array" ref="G772">IF(B772="insumo",_xlfn.XLOOKUP($D772,Insumos!$B$1:$B$996,Insumos!$D$1:$D$996),"")</f>
        <v/>
      </c>
      <c r="H772" s="92" t="n">
        <v>638.106</v>
      </c>
      <c r="I772" s="2162" t="n">
        <v>2329.470704</v>
      </c>
      <c r="J772" s="2162" t="n">
        <v>1486449.23304662</v>
      </c>
      <c r="K772" s="2162" t="n"/>
    </row>
    <row r="773" outlineLevel="3" ht="15.75" customHeight="1">
      <c r="A773" s="10" t="n">
        <v>25</v>
      </c>
      <c r="B773" s="10" t="inlineStr">
        <is>
          <t>Insumo</t>
        </is>
      </c>
      <c r="C773" s="10" t="inlineStr">
        <is>
          <t>Concreto Usinado FCK = 50MPa Bombeavel Para Supraestrutura</t>
        </is>
      </c>
      <c r="D773" s="10" t="inlineStr">
        <is>
          <t>serviço de bombeamento</t>
        </is>
      </c>
      <c r="E773" s="11">
        <f t="array" ref="E773">_xlfn.XLOOKUP(D773,Insumos!B:B,Insumos!C:$C)</f>
        <v/>
      </c>
      <c r="F773" s="14" t="n">
        <v>1.05</v>
      </c>
      <c r="G773" s="92">
        <f t="array" ref="G773">IF(B773="insumo",_xlfn.XLOOKUP($D773,Insumos!$B$1:$B$996,Insumos!$D$1:$D$996),"")</f>
        <v/>
      </c>
      <c r="H773" s="92" t="n">
        <v>42</v>
      </c>
      <c r="I773" s="2162" t="n">
        <v>2329.470704</v>
      </c>
      <c r="J773" s="2162" t="n">
        <v>97837.769568</v>
      </c>
      <c r="K773" s="2162" t="n"/>
    </row>
    <row r="774" outlineLevel="3" ht="15.75" customHeight="1">
      <c r="A774" s="10" t="n">
        <v>62</v>
      </c>
      <c r="B774" s="10" t="inlineStr">
        <is>
          <t>Insumo</t>
        </is>
      </c>
      <c r="C774" s="10" t="inlineStr">
        <is>
          <t>Concreto Usinado FCK = 50MPa Bombeavel Para Supraestrutura</t>
        </is>
      </c>
      <c r="D774" s="10" t="inlineStr">
        <is>
          <t>Cimento Portland Composto CP II-32</t>
        </is>
      </c>
      <c r="E774" s="11">
        <f t="array" ref="E774">_xlfn.XLOOKUP(D774,Insumos!B:B,Insumos!C:$C)</f>
        <v/>
      </c>
      <c r="F774" s="14" t="n">
        <v>1</v>
      </c>
      <c r="G774" s="92">
        <f t="array" ref="G774">IF(B774="insumo",_xlfn.XLOOKUP($D774,Insumos!$B$1:$B$996,Insumos!$D$1:$D$996),"")</f>
        <v/>
      </c>
      <c r="H774" s="92" t="n">
        <v>0.76</v>
      </c>
      <c r="I774" s="2162" t="n">
        <v>2329.470704</v>
      </c>
      <c r="J774" s="2162" t="n">
        <v>1770.39773504</v>
      </c>
      <c r="K774" s="2162" t="n"/>
    </row>
    <row r="775" outlineLevel="2" ht="15.75" customHeight="1">
      <c r="A775" s="1067" t="n">
        <v>1</v>
      </c>
      <c r="B775" s="1067" t="inlineStr">
        <is>
          <t>Serviço</t>
        </is>
      </c>
      <c r="C775" s="1067" t="inlineStr">
        <is>
          <t>Concreto Usinado FCK = 50MPa  Bombeavel para Laje de Fundação</t>
        </is>
      </c>
      <c r="D775" s="1067" t="inlineStr">
        <is>
          <t>Concreto Usinado FCK = 50MPa  Bombeavel para Laje de Fundação</t>
        </is>
      </c>
      <c r="E775" s="1068" t="inlineStr">
        <is>
          <t>M3</t>
        </is>
      </c>
      <c r="F775" s="1067" t="n"/>
      <c r="G775" s="1069">
        <f t="array" ref="G775">IF(B775="insumo",_xlfn.XLOOKUP($D775,Insumos!$B$1:$B$996,Insumos!$D$1:$D$996),"")</f>
        <v/>
      </c>
      <c r="H775" s="1069" t="n">
        <v>680.866</v>
      </c>
      <c r="I775" s="2161" t="n">
        <v>0</v>
      </c>
      <c r="J775" s="2161" t="n">
        <v>0</v>
      </c>
      <c r="K775" s="2161" t="n"/>
    </row>
    <row r="776" outlineLevel="3" ht="15.75" customHeight="1">
      <c r="A776" s="10" t="n">
        <v>1</v>
      </c>
      <c r="B776" s="10" t="inlineStr">
        <is>
          <t>Insumo</t>
        </is>
      </c>
      <c r="C776" s="10" t="inlineStr">
        <is>
          <t>Concreto Usinado FCK = 50MPa  Bombeavel para Laje de Fundação</t>
        </is>
      </c>
      <c r="D776" s="10" t="inlineStr">
        <is>
          <t>Concreto Usinado bombeável 50MPa Convencional Supraestrtura</t>
        </is>
      </c>
      <c r="E776" s="11">
        <f t="array" ref="E776">_xlfn.XLOOKUP(D776,Insumos!B:B,Insumos!C:$C)</f>
        <v/>
      </c>
      <c r="F776" s="14" t="n">
        <v>1.05</v>
      </c>
      <c r="G776" s="92">
        <f t="array" ref="G776">IF(B776="insumo",_xlfn.XLOOKUP($D776,Insumos!$B$1:$B$996,Insumos!$D$1:$D$996),"")</f>
        <v/>
      </c>
      <c r="H776" s="92" t="n">
        <v>638.106</v>
      </c>
      <c r="I776" s="2162" t="n">
        <v>0</v>
      </c>
      <c r="J776" s="2162" t="n">
        <v>0</v>
      </c>
      <c r="K776" s="2162" t="n"/>
    </row>
    <row r="777" outlineLevel="3" ht="15.75" customHeight="1">
      <c r="A777" s="10" t="n">
        <v>25</v>
      </c>
      <c r="B777" s="10" t="inlineStr">
        <is>
          <t>Insumo</t>
        </is>
      </c>
      <c r="C777" s="10" t="inlineStr">
        <is>
          <t>Concreto Usinado FCK = 50MPa  Bombeavel para Laje de Fundação</t>
        </is>
      </c>
      <c r="D777" s="10" t="inlineStr">
        <is>
          <t>serviço de bombeamento</t>
        </is>
      </c>
      <c r="E777" s="11">
        <f t="array" ref="E777">_xlfn.XLOOKUP(D777,Insumos!B:B,Insumos!C:$C)</f>
        <v/>
      </c>
      <c r="F777" s="14" t="n">
        <v>1.05</v>
      </c>
      <c r="G777" s="92">
        <f t="array" ref="G777">IF(B777="insumo",_xlfn.XLOOKUP($D777,Insumos!$B$1:$B$996,Insumos!$D$1:$D$996),"")</f>
        <v/>
      </c>
      <c r="H777" s="92" t="n">
        <v>42</v>
      </c>
      <c r="I777" s="2162" t="n">
        <v>0</v>
      </c>
      <c r="J777" s="2162" t="n">
        <v>0</v>
      </c>
      <c r="K777" s="2162" t="n"/>
    </row>
    <row r="778" outlineLevel="3" ht="15.75" customHeight="1">
      <c r="A778" s="10" t="n">
        <v>62</v>
      </c>
      <c r="B778" s="10" t="inlineStr">
        <is>
          <t>Insumo</t>
        </is>
      </c>
      <c r="C778" s="10" t="inlineStr">
        <is>
          <t>Concreto Usinado FCK = 50MPa  Bombeavel para Laje de Fundação</t>
        </is>
      </c>
      <c r="D778" s="10" t="inlineStr">
        <is>
          <t>Cimento Portland Composto CP II-32</t>
        </is>
      </c>
      <c r="E778" s="11">
        <f t="array" ref="E778">_xlfn.XLOOKUP(D778,Insumos!B:B,Insumos!C:$C)</f>
        <v/>
      </c>
      <c r="F778" s="14" t="n">
        <v>1</v>
      </c>
      <c r="G778" s="92">
        <f t="array" ref="G778">IF(B778="insumo",_xlfn.XLOOKUP($D778,Insumos!$B$1:$B$996,Insumos!$D$1:$D$996),"")</f>
        <v/>
      </c>
      <c r="H778" s="92" t="n">
        <v>0.76</v>
      </c>
      <c r="I778" s="2162" t="n">
        <v>0</v>
      </c>
      <c r="J778" s="2162" t="n">
        <v>0</v>
      </c>
      <c r="K778" s="2162" t="n"/>
    </row>
    <row r="779" outlineLevel="2" ht="12.75" customHeight="1">
      <c r="A779" s="1071" t="n">
        <v>1</v>
      </c>
      <c r="B779" s="1071" t="inlineStr">
        <is>
          <t>Serviço</t>
        </is>
      </c>
      <c r="C779" s="1071" t="inlineStr">
        <is>
          <t>Concreto armado no piso do térreo</t>
        </is>
      </c>
      <c r="D779" s="1071" t="inlineStr">
        <is>
          <t>Concreto armado no piso do térreo</t>
        </is>
      </c>
      <c r="E779" s="1072" t="inlineStr">
        <is>
          <t>M3</t>
        </is>
      </c>
      <c r="F779" s="1071" t="n"/>
      <c r="G779" s="1073">
        <f t="array" ref="G779">IF(B779="insumo",_xlfn.XLOOKUP($D779,Insumos!$B$1:$B$996,Insumos!$D$1:$D$996),"")</f>
        <v/>
      </c>
      <c r="H779" s="1073" t="n">
        <v>132.622633613793</v>
      </c>
      <c r="I779" s="2163" t="n">
        <v>0</v>
      </c>
      <c r="J779" s="2163" t="n">
        <v>0</v>
      </c>
      <c r="K779" s="2163" t="n"/>
    </row>
    <row r="780" outlineLevel="3" ht="12.75" customHeight="1">
      <c r="A780" s="82" t="n">
        <v>9</v>
      </c>
      <c r="B780" s="82" t="inlineStr">
        <is>
          <t>Insumo</t>
        </is>
      </c>
      <c r="C780" s="82" t="inlineStr">
        <is>
          <t>Concreto armado no piso do térreo</t>
        </is>
      </c>
      <c r="D780" s="82" t="inlineStr">
        <is>
          <t>Lona Preta Plástica 4x100 Metros 25kg - Agroplastic, Tamanho: 120 Micras</t>
        </is>
      </c>
      <c r="E780" s="11">
        <f t="array" ref="E780">_xlfn.XLOOKUP(D780,Insumos!B:B,Insumos!C:$C)</f>
        <v/>
      </c>
      <c r="F780" s="2164" t="n">
        <v>1.1</v>
      </c>
      <c r="G780" s="92">
        <f t="array" ref="G780">IF(B780="insumo",_xlfn.XLOOKUP($D780,Insumos!$B$1:$B$996,Insumos!$D$1:$D$996),"")</f>
        <v/>
      </c>
      <c r="H780" s="92" t="n">
        <v>2.53275</v>
      </c>
      <c r="I780" s="2165" t="n">
        <v>0</v>
      </c>
      <c r="J780" s="2165" t="n">
        <v>0</v>
      </c>
      <c r="K780" s="2165" t="n"/>
    </row>
    <row r="781" outlineLevel="3" ht="12.75" customHeight="1">
      <c r="A781" s="82" t="n">
        <v>40</v>
      </c>
      <c r="B781" s="82" t="inlineStr">
        <is>
          <t>Insumo</t>
        </is>
      </c>
      <c r="C781" s="82" t="inlineStr">
        <is>
          <t>Concreto armado no piso do térreo</t>
        </is>
      </c>
      <c r="D781" s="82" t="inlineStr">
        <is>
          <t>PREGO DE ACO POLIDO COM CABECA 17 X 21 (2 X 11)</t>
        </is>
      </c>
      <c r="E781" s="11">
        <f t="array" ref="E781">_xlfn.XLOOKUP(D781,Insumos!B:B,Insumos!C:$C)</f>
        <v/>
      </c>
      <c r="F781" s="2164" t="n">
        <v>0.02</v>
      </c>
      <c r="G781" s="92">
        <f t="array" ref="G781">IF(B781="insumo",_xlfn.XLOOKUP($D781,Insumos!$B$1:$B$996,Insumos!$D$1:$D$996),"")</f>
        <v/>
      </c>
      <c r="H781" s="92" t="n">
        <v>0.3626</v>
      </c>
      <c r="I781" s="2165" t="n">
        <v>0</v>
      </c>
      <c r="J781" s="2165" t="n">
        <v>0</v>
      </c>
      <c r="K781" s="2165" t="n"/>
    </row>
    <row r="782" outlineLevel="3" ht="12.75" customHeight="1">
      <c r="A782" s="82" t="n">
        <v>1</v>
      </c>
      <c r="B782" s="82" t="inlineStr">
        <is>
          <t>Insumo</t>
        </is>
      </c>
      <c r="C782" s="82" t="inlineStr">
        <is>
          <t>Concreto armado no piso do térreo</t>
        </is>
      </c>
      <c r="D782" s="82" t="inlineStr">
        <is>
          <t>Barras de transferencia lisa 12,5mm 50 cm</t>
        </is>
      </c>
      <c r="E782" s="11">
        <f t="array" ref="E782">_xlfn.XLOOKUP(D782,Insumos!B:B,Insumos!C:$C)</f>
        <v/>
      </c>
      <c r="F782" s="2164">
        <f>(546*0.5)/113.5</f>
        <v/>
      </c>
      <c r="G782" s="92">
        <f t="array" ref="G782">IF(B782="insumo",_xlfn.XLOOKUP($D782,Insumos!$B$1:$B$996,Insumos!$D$1:$D$996),"")</f>
        <v/>
      </c>
      <c r="H782" s="92" t="n">
        <v>9.18819383259912</v>
      </c>
      <c r="I782" s="2165" t="n">
        <v>0</v>
      </c>
      <c r="J782" s="2165" t="n">
        <v>0</v>
      </c>
      <c r="K782" s="2165" t="n"/>
    </row>
    <row r="783" outlineLevel="3" ht="12.75" customHeight="1">
      <c r="A783" s="82" t="n">
        <v>2</v>
      </c>
      <c r="B783" s="82" t="inlineStr">
        <is>
          <t>Insumo</t>
        </is>
      </c>
      <c r="C783" s="82" t="inlineStr">
        <is>
          <t>Concreto armado no piso do térreo</t>
        </is>
      </c>
      <c r="D783" s="82" t="inlineStr">
        <is>
          <t>TELA ACO CARBONO CA60 M.100X100MM F.04,2MM 245X600CM Q113 (26,46KG/UN)</t>
        </is>
      </c>
      <c r="E783" s="11">
        <f t="array" ref="E783">_xlfn.XLOOKUP(D783,Insumos!B:B,Insumos!C:$C)</f>
        <v/>
      </c>
      <c r="F783" s="2164" t="n">
        <v>5.003984581050924</v>
      </c>
      <c r="G783" s="92">
        <f t="array" ref="G783">IF(B783="insumo",_xlfn.XLOOKUP($D783,Insumos!$B$1:$B$996,Insumos!$D$1:$D$996),"")</f>
        <v/>
      </c>
      <c r="H783" s="92" t="n">
        <v>42.719201701194</v>
      </c>
      <c r="I783" s="2165" t="n">
        <v>0</v>
      </c>
      <c r="J783" s="2165" t="n">
        <v>0</v>
      </c>
      <c r="K783" s="2165" t="n"/>
    </row>
    <row r="784" outlineLevel="3" ht="12.75" customHeight="1">
      <c r="A784" s="82" t="n">
        <v>1</v>
      </c>
      <c r="B784" s="82" t="inlineStr">
        <is>
          <t>Insumo</t>
        </is>
      </c>
      <c r="C784" s="82" t="inlineStr">
        <is>
          <t>Concreto armado no piso do térreo</t>
        </is>
      </c>
      <c r="D784" s="82" t="inlineStr">
        <is>
          <t>Perna de serra pinus - 10x30x300cm</t>
        </is>
      </c>
      <c r="E784" s="11">
        <f t="array" ref="E784">_xlfn.XLOOKUP(D784,Insumos!B:B,Insumos!C:$C)</f>
        <v/>
      </c>
      <c r="F784" s="2164" t="n">
        <v>3.4e-05</v>
      </c>
      <c r="G784" s="92">
        <f t="array" ref="G784">IF(B784="insumo",_xlfn.XLOOKUP($D784,Insumos!$B$1:$B$996,Insumos!$D$1:$D$996),"")</f>
        <v/>
      </c>
      <c r="H784" s="92" t="n">
        <v>0.00071808</v>
      </c>
      <c r="I784" s="2165" t="n">
        <v>0</v>
      </c>
      <c r="J784" s="2165" t="n">
        <v>0</v>
      </c>
      <c r="K784" s="2165" t="n"/>
    </row>
    <row r="785" outlineLevel="3" ht="12.75" customHeight="1">
      <c r="A785" s="82" t="n">
        <v>6</v>
      </c>
      <c r="B785" s="82" t="inlineStr">
        <is>
          <t>Insumo</t>
        </is>
      </c>
      <c r="C785" s="82" t="inlineStr">
        <is>
          <t>Concreto armado no piso do térreo</t>
        </is>
      </c>
      <c r="D785" s="82" t="inlineStr">
        <is>
          <t>Concreto Usinado bombeável 35MPa Convencional</t>
        </is>
      </c>
      <c r="E785" s="11">
        <f t="array" ref="E785">_xlfn.XLOOKUP(D785,Insumos!B:B,Insumos!C:$C)</f>
        <v/>
      </c>
      <c r="F785" s="2164" t="n">
        <v>0.11</v>
      </c>
      <c r="G785" s="92">
        <f t="array" ref="G785">IF(B785="insumo",_xlfn.XLOOKUP($D785,Insumos!$B$1:$B$996,Insumos!$D$1:$D$996),"")</f>
        <v/>
      </c>
      <c r="H785" s="92" t="n">
        <v>66.52030000000001</v>
      </c>
      <c r="I785" s="2165" t="n">
        <v>0</v>
      </c>
      <c r="J785" s="2165" t="n">
        <v>0</v>
      </c>
      <c r="K785" s="2165" t="n"/>
    </row>
    <row r="786" outlineLevel="3" ht="12.75" customHeight="1">
      <c r="A786" s="82" t="n">
        <v>1</v>
      </c>
      <c r="B786" s="82" t="inlineStr">
        <is>
          <t>Insumo</t>
        </is>
      </c>
      <c r="C786" s="82" t="inlineStr">
        <is>
          <t>Concreto armado no piso do térreo</t>
        </is>
      </c>
      <c r="D786" s="82" t="inlineStr">
        <is>
          <t>Espaçador Treliçado p/ armaduras 6 cm</t>
        </is>
      </c>
      <c r="E786" s="11">
        <f t="array" ref="E786">_xlfn.XLOOKUP(D786,Insumos!B:B,Insumos!C:$C)</f>
        <v/>
      </c>
      <c r="F786" s="2164" t="n">
        <v>0.3333</v>
      </c>
      <c r="G786" s="92">
        <f t="array" ref="G786">IF(B786="insumo",_xlfn.XLOOKUP($D786,Insumos!$B$1:$B$996,Insumos!$D$1:$D$996),"")</f>
        <v/>
      </c>
      <c r="H786" s="92" t="n">
        <v>11.29887</v>
      </c>
      <c r="I786" s="2165" t="n">
        <v>0</v>
      </c>
      <c r="J786" s="2165" t="n">
        <v>0</v>
      </c>
      <c r="K786" s="2165" t="n"/>
    </row>
    <row r="787" outlineLevel="2" ht="15.75" customHeight="1">
      <c r="A787" s="1067" t="n">
        <v>1</v>
      </c>
      <c r="B787" s="1067" t="inlineStr">
        <is>
          <t>Serviço</t>
        </is>
      </c>
      <c r="C787" s="1067" t="inlineStr">
        <is>
          <t>Laje pré-moldada unidirecional enchimento em cerâmica, vigota convencional,</t>
        </is>
      </c>
      <c r="D787" s="1067" t="inlineStr">
        <is>
          <t>Laje pré-moldada unidirecional enchimento em cerâmica, vigota convencional,</t>
        </is>
      </c>
      <c r="E787" s="1068" t="inlineStr">
        <is>
          <t>M2</t>
        </is>
      </c>
      <c r="F787" s="1067" t="n"/>
      <c r="G787" s="1069">
        <f t="array" ref="G787">IF(B787="insumo",_xlfn.XLOOKUP($D787,Insumos!$B$1:$B$996,Insumos!$D$1:$D$996),"")</f>
        <v/>
      </c>
      <c r="H787" s="1069" t="n">
        <v>169.3082</v>
      </c>
      <c r="I787" s="2161" t="n">
        <v>0</v>
      </c>
      <c r="J787" s="2161" t="n">
        <v>0</v>
      </c>
      <c r="K787" s="2161" t="n"/>
    </row>
    <row r="788" outlineLevel="3" ht="15.75" customHeight="1">
      <c r="A788" s="10" t="n">
        <v>1</v>
      </c>
      <c r="B788" s="10" t="inlineStr">
        <is>
          <t>Insumo</t>
        </is>
      </c>
      <c r="C788" s="10" t="inlineStr">
        <is>
          <t>Laje pré-moldada unidirecional enchimento em cerâmica, vigota convencional,</t>
        </is>
      </c>
      <c r="D788" s="10" t="inlineStr">
        <is>
          <t>LAJE PRE-MOLDADA CONVENCIONAL (LAJOTAS + VIGOTAS) PARA PISO, UNIDIRECIONAL, SOBRECARGA DE 200 KG/M2, VAO ATE 3,50 M (SEM COLOCACAO)</t>
        </is>
      </c>
      <c r="E788" s="11">
        <f t="array" ref="E788">_xlfn.XLOOKUP(D788,Insumos!B:B,Insumos!C:$C)</f>
        <v/>
      </c>
      <c r="F788" s="14" t="n">
        <v>1</v>
      </c>
      <c r="G788" s="92">
        <f t="array" ref="G788">IF(B788="insumo",_xlfn.XLOOKUP($D788,Insumos!$B$1:$B$996,Insumos!$D$1:$D$996),"")</f>
        <v/>
      </c>
      <c r="H788" s="92" t="n">
        <v>59.4</v>
      </c>
      <c r="I788" s="2162" t="n">
        <v>0</v>
      </c>
      <c r="J788" s="2162" t="n">
        <v>0</v>
      </c>
      <c r="K788" s="2162" t="n"/>
    </row>
    <row r="789" outlineLevel="3" ht="15.75" customHeight="1">
      <c r="A789" s="10" t="n">
        <v>3</v>
      </c>
      <c r="B789" s="10" t="inlineStr">
        <is>
          <t>Insumo</t>
        </is>
      </c>
      <c r="C789" s="10" t="inlineStr">
        <is>
          <t>Laje pré-moldada unidirecional enchimento em cerâmica, vigota convencional,</t>
        </is>
      </c>
      <c r="D789" s="10" t="inlineStr">
        <is>
          <t>TABUA NAO APARELHADA *2,5 X 20* CM, EM MACARANDUBA/MASSARANDUBA, ANGELIM OU EQUIVALENTE DA REGIAO - BRUTA</t>
        </is>
      </c>
      <c r="E789" s="11">
        <f t="array" ref="E789">_xlfn.XLOOKUP(D789,Insumos!B:B,Insumos!C:$C)</f>
        <v/>
      </c>
      <c r="F789" s="14" t="n">
        <v>1.87</v>
      </c>
      <c r="G789" s="92">
        <f t="array" ref="G789">IF(B789="insumo",_xlfn.XLOOKUP($D789,Insumos!$B$1:$B$996,Insumos!$D$1:$D$996),"")</f>
        <v/>
      </c>
      <c r="H789" s="92" t="n">
        <v>79.4002</v>
      </c>
      <c r="I789" s="2162" t="n">
        <v>0</v>
      </c>
      <c r="J789" s="2162" t="n">
        <v>0</v>
      </c>
      <c r="K789" s="2162" t="n"/>
    </row>
    <row r="790" outlineLevel="3" ht="15.75" customHeight="1">
      <c r="A790" s="10" t="n">
        <v>1</v>
      </c>
      <c r="B790" s="10" t="inlineStr">
        <is>
          <t>Insumo</t>
        </is>
      </c>
      <c r="C790" s="10" t="inlineStr">
        <is>
          <t>Laje pré-moldada unidirecional enchimento em cerâmica, vigota convencional,</t>
        </is>
      </c>
      <c r="D790" s="10" t="inlineStr">
        <is>
          <t>PREGO DE ACO POLIDO COM CABECA 17 x 27 (2 1/2 x 11)</t>
        </is>
      </c>
      <c r="E790" s="11">
        <f t="array" ref="E790">_xlfn.XLOOKUP(D790,Insumos!B:B,Insumos!C:$C)</f>
        <v/>
      </c>
      <c r="F790" s="14" t="n">
        <v>0.04</v>
      </c>
      <c r="G790" s="92">
        <f t="array" ref="G790">IF(B790="insumo",_xlfn.XLOOKUP($D790,Insumos!$B$1:$B$996,Insumos!$D$1:$D$996),"")</f>
        <v/>
      </c>
      <c r="H790" s="92" t="n">
        <v>0.508</v>
      </c>
      <c r="I790" s="2162" t="n">
        <v>0</v>
      </c>
      <c r="J790" s="2162" t="n">
        <v>0</v>
      </c>
      <c r="K790" s="2162" t="n"/>
    </row>
    <row r="791" outlineLevel="3" ht="15.75" customHeight="1">
      <c r="A791" s="10" t="n">
        <v>1</v>
      </c>
      <c r="B791" s="10" t="inlineStr">
        <is>
          <t>Insumo</t>
        </is>
      </c>
      <c r="C791" s="10" t="inlineStr">
        <is>
          <t>Laje pré-moldada unidirecional enchimento em cerâmica, vigota convencional,</t>
        </is>
      </c>
      <c r="D791" s="10" t="inlineStr">
        <is>
          <t>Serviço de Instalação de Lajes pré-moldadas</t>
        </is>
      </c>
      <c r="E791" s="11">
        <f t="array" ref="E791">_xlfn.XLOOKUP(D791,Insumos!B:B,Insumos!C:$C)</f>
        <v/>
      </c>
      <c r="F791" s="14" t="n">
        <v>1</v>
      </c>
      <c r="G791" s="92">
        <f t="array" ref="G791">IF(B791="insumo",_xlfn.XLOOKUP($D791,Insumos!$B$1:$B$996,Insumos!$D$1:$D$996),"")</f>
        <v/>
      </c>
      <c r="H791" s="92" t="n">
        <v>30</v>
      </c>
      <c r="I791" s="2162" t="n">
        <v>0</v>
      </c>
      <c r="J791" s="2162" t="n">
        <v>0</v>
      </c>
      <c r="K791" s="2162" t="n"/>
    </row>
    <row r="792" outlineLevel="1" ht="15.75" customHeight="1">
      <c r="A792" s="1090" t="n">
        <v>1</v>
      </c>
      <c r="B792" s="1090" t="inlineStr">
        <is>
          <t>Subetapa</t>
        </is>
      </c>
      <c r="C792" s="1090" t="inlineStr">
        <is>
          <t>Laje pré-moldada unidirecional enchimento em cerâmica, vigota convencional,</t>
        </is>
      </c>
      <c r="D792" s="1090" t="inlineStr">
        <is>
          <t>EXTRA</t>
        </is>
      </c>
      <c r="E792" s="1091" t="n"/>
      <c r="F792" s="2160" t="n"/>
      <c r="G792" s="1091" t="n"/>
      <c r="H792" s="1091" t="n">
        <v>0</v>
      </c>
      <c r="I792" s="2160" t="n">
        <v>0</v>
      </c>
      <c r="J792" s="2160" t="n">
        <v>0</v>
      </c>
      <c r="K792" s="2160" t="n"/>
    </row>
    <row r="793" outlineLevel="2" ht="15.75" customHeight="1">
      <c r="A793" s="1067" t="n">
        <v>1</v>
      </c>
      <c r="B793" s="1067" t="inlineStr">
        <is>
          <t>Serviço</t>
        </is>
      </c>
      <c r="C793" s="1067" t="inlineStr">
        <is>
          <t>Lona Plastica para Contrapiso Armado</t>
        </is>
      </c>
      <c r="D793" s="1067" t="inlineStr">
        <is>
          <t>Lona Plastica para Contrapiso Armado</t>
        </is>
      </c>
      <c r="E793" s="1068" t="inlineStr">
        <is>
          <t>M2</t>
        </is>
      </c>
      <c r="F793" s="1067" t="n"/>
      <c r="G793" s="1069">
        <f t="array" ref="G793">IF(B793="insumo",_xlfn.XLOOKUP($D793,Insumos!$B$1:$B$996,Insumos!$D$1:$D$996),"")</f>
        <v/>
      </c>
      <c r="H793" s="1069" t="n">
        <v>2.763</v>
      </c>
      <c r="I793" s="2161" t="n">
        <v>0</v>
      </c>
      <c r="J793" s="2161" t="n">
        <v>0</v>
      </c>
      <c r="K793" s="2161" t="n"/>
    </row>
    <row r="794" outlineLevel="3" ht="15.75" customHeight="1">
      <c r="A794" s="10" t="n">
        <v>9</v>
      </c>
      <c r="B794" s="10" t="inlineStr">
        <is>
          <t>Insumo</t>
        </is>
      </c>
      <c r="C794" s="10" t="inlineStr">
        <is>
          <t>Lona Plastica para Contrapiso Armado</t>
        </is>
      </c>
      <c r="D794" s="10" t="inlineStr">
        <is>
          <t>Lona Preta Plástica 4x100 Metros 25kg - Agroplastic, Tamanho: 120 Micras</t>
        </is>
      </c>
      <c r="E794" s="11">
        <f t="array" ref="E794">_xlfn.XLOOKUP(D794,Insumos!B:B,Insumos!C:$C)</f>
        <v/>
      </c>
      <c r="F794" s="14" t="n">
        <v>1.2</v>
      </c>
      <c r="G794" s="92">
        <f t="array" ref="G794">IF(B794="insumo",_xlfn.XLOOKUP($D794,Insumos!$B$1:$B$996,Insumos!$D$1:$D$996),"")</f>
        <v/>
      </c>
      <c r="H794" s="92" t="n">
        <v>2.763</v>
      </c>
      <c r="I794" s="2162" t="n">
        <v>0</v>
      </c>
      <c r="J794" s="2162" t="n">
        <v>0</v>
      </c>
      <c r="K794" s="2162" t="n"/>
    </row>
    <row r="795" outlineLevel="2" ht="15.75" customHeight="1">
      <c r="A795" s="1067" t="n">
        <v>1</v>
      </c>
      <c r="B795" s="1067" t="inlineStr">
        <is>
          <t>Serviço</t>
        </is>
      </c>
      <c r="C795" s="1067" t="inlineStr">
        <is>
          <t xml:space="preserve">Protenção de cordoalhas para laje protendida Nervurada Tec- Serviço </t>
        </is>
      </c>
      <c r="D795" s="1067" t="inlineStr">
        <is>
          <t xml:space="preserve">Protenção de cordoalhas para laje protendida Nervurada Tec- Serviço </t>
        </is>
      </c>
      <c r="E795" s="1068" t="inlineStr">
        <is>
          <t>M2</t>
        </is>
      </c>
      <c r="F795" s="1067" t="n"/>
      <c r="G795" s="1069">
        <f t="array" ref="G795">IF(B795="insumo",_xlfn.XLOOKUP($D795,Insumos!$B$1:$B$996,Insumos!$D$1:$D$996),"")</f>
        <v/>
      </c>
      <c r="H795" s="1069" t="n">
        <v>11.49984</v>
      </c>
      <c r="I795" s="2161" t="n">
        <v>0</v>
      </c>
      <c r="J795" s="2161" t="n">
        <v>0</v>
      </c>
      <c r="K795" s="2161" t="n"/>
    </row>
    <row r="796" outlineLevel="3" ht="15.75" customHeight="1">
      <c r="A796" s="10" t="n">
        <v>1</v>
      </c>
      <c r="B796" s="10" t="inlineStr">
        <is>
          <t>Insumo</t>
        </is>
      </c>
      <c r="C796" s="10" t="inlineStr">
        <is>
          <t xml:space="preserve">Protenção de cordoalhas para laje protendida Nervurada Tec- Serviço </t>
        </is>
      </c>
      <c r="D796" s="10" t="inlineStr">
        <is>
          <t>Acompanhamento e fiscalização na montagem da Protensão, locação de macaco hidráulico e maçarico</t>
        </is>
      </c>
      <c r="E796" s="11">
        <f t="array" ref="E796">_xlfn.XLOOKUP(D796,Insumos!B:B,Insumos!C:$C)</f>
        <v/>
      </c>
      <c r="F796" s="14" t="n">
        <v>1.936</v>
      </c>
      <c r="G796" s="92">
        <f t="array" ref="G796">IF(B796="insumo",_xlfn.XLOOKUP($D796,Insumos!$B$1:$B$996,Insumos!$D$1:$D$996),"")</f>
        <v/>
      </c>
      <c r="H796" s="92" t="n">
        <v>8.595840000000001</v>
      </c>
      <c r="I796" s="2162" t="n">
        <v>0</v>
      </c>
      <c r="J796" s="2162" t="n">
        <v>0</v>
      </c>
      <c r="K796" s="2162" t="n"/>
    </row>
    <row r="797" outlineLevel="3" ht="15.75" customHeight="1">
      <c r="A797" s="10" t="n">
        <v>1</v>
      </c>
      <c r="B797" s="10" t="inlineStr">
        <is>
          <t>Insumo</t>
        </is>
      </c>
      <c r="C797" s="10" t="inlineStr">
        <is>
          <t xml:space="preserve">Protenção de cordoalhas para laje protendida Nervurada Tec- Serviço </t>
        </is>
      </c>
      <c r="D797" s="10" t="inlineStr">
        <is>
          <t>Corte Final dos Cabos</t>
        </is>
      </c>
      <c r="E797" s="11">
        <f t="array" ref="E797">_xlfn.XLOOKUP(D797,Insumos!B:B,Insumos!C:$C)</f>
        <v/>
      </c>
      <c r="F797" s="14" t="n">
        <v>1.936</v>
      </c>
      <c r="G797" s="92">
        <f t="array" ref="G797">IF(B797="insumo",_xlfn.XLOOKUP($D797,Insumos!$B$1:$B$996,Insumos!$D$1:$D$996),"")</f>
        <v/>
      </c>
      <c r="H797" s="92" t="n">
        <v>0.7744</v>
      </c>
      <c r="I797" s="2162" t="n">
        <v>0</v>
      </c>
      <c r="J797" s="2162" t="n">
        <v>0</v>
      </c>
      <c r="K797" s="2162" t="n"/>
    </row>
    <row r="798" outlineLevel="3" ht="15.75" customHeight="1">
      <c r="A798" s="10" t="n">
        <v>1</v>
      </c>
      <c r="B798" s="10" t="inlineStr">
        <is>
          <t>Insumo</t>
        </is>
      </c>
      <c r="C798" s="10" t="inlineStr">
        <is>
          <t xml:space="preserve">Protenção de cordoalhas para laje protendida Nervurada Tec- Serviço </t>
        </is>
      </c>
      <c r="D798" s="10" t="inlineStr">
        <is>
          <t>Fechamento dos nichos de Protensão</t>
        </is>
      </c>
      <c r="E798" s="11">
        <f t="array" ref="E798">_xlfn.XLOOKUP(D798,Insumos!B:B,Insumos!C:$C)</f>
        <v/>
      </c>
      <c r="F798" s="14" t="n">
        <v>1.936</v>
      </c>
      <c r="G798" s="92">
        <f t="array" ref="G798">IF(B798="insumo",_xlfn.XLOOKUP($D798,Insumos!$B$1:$B$996,Insumos!$D$1:$D$996),"")</f>
        <v/>
      </c>
      <c r="H798" s="92" t="n">
        <v>0.7744</v>
      </c>
      <c r="I798" s="2162" t="n">
        <v>0</v>
      </c>
      <c r="J798" s="2162" t="n">
        <v>0</v>
      </c>
      <c r="K798" s="2162" t="n"/>
    </row>
    <row r="799" outlineLevel="3" ht="15.75" customHeight="1">
      <c r="A799" s="10" t="n">
        <v>1</v>
      </c>
      <c r="B799" s="10" t="inlineStr">
        <is>
          <t>Insumo</t>
        </is>
      </c>
      <c r="C799" s="10" t="inlineStr">
        <is>
          <t xml:space="preserve">Protenção de cordoalhas para laje protendida Nervurada Tec- Serviço </t>
        </is>
      </c>
      <c r="D799" s="10" t="inlineStr">
        <is>
          <t>Compatibilização e elaboração do plano de execução dos materiais EVEHX</t>
        </is>
      </c>
      <c r="E799" s="11">
        <f t="array" ref="E799">_xlfn.XLOOKUP(D799,Insumos!B:B,Insumos!C:$C)</f>
        <v/>
      </c>
      <c r="F799" s="14" t="n">
        <v>1.936</v>
      </c>
      <c r="G799" s="92">
        <f t="array" ref="G799">IF(B799="insumo",_xlfn.XLOOKUP($D799,Insumos!$B$1:$B$996,Insumos!$D$1:$D$996),"")</f>
        <v/>
      </c>
      <c r="H799" s="92" t="n">
        <v>0.3872</v>
      </c>
      <c r="I799" s="2162" t="n">
        <v>0</v>
      </c>
      <c r="J799" s="2162" t="n">
        <v>0</v>
      </c>
      <c r="K799" s="2162" t="n"/>
    </row>
    <row r="800" outlineLevel="3" ht="15.75" customHeight="1">
      <c r="A800" s="10" t="n">
        <v>1</v>
      </c>
      <c r="B800" s="10" t="inlineStr">
        <is>
          <t>Insumo</t>
        </is>
      </c>
      <c r="C800" s="10" t="inlineStr">
        <is>
          <t xml:space="preserve">Protenção de cordoalhas para laje protendida Nervurada Tec- Serviço </t>
        </is>
      </c>
      <c r="D800" s="10" t="inlineStr">
        <is>
          <t>Controle tecnológico da Protensão</t>
        </is>
      </c>
      <c r="E800" s="11">
        <f t="array" ref="E800">_xlfn.XLOOKUP(D800,Insumos!B:B,Insumos!C:$C)</f>
        <v/>
      </c>
      <c r="F800" s="14" t="n">
        <v>1.936</v>
      </c>
      <c r="G800" s="92">
        <f t="array" ref="G800">IF(B800="insumo",_xlfn.XLOOKUP($D800,Insumos!$B$1:$B$996,Insumos!$D$1:$D$996),"")</f>
        <v/>
      </c>
      <c r="H800" s="92" t="n">
        <v>0.968</v>
      </c>
      <c r="I800" s="2162" t="n">
        <v>0</v>
      </c>
      <c r="J800" s="2162" t="n">
        <v>0</v>
      </c>
      <c r="K800" s="2162" t="n"/>
    </row>
    <row r="801" outlineLevel="2" ht="15.75" customHeight="1">
      <c r="A801" s="1067" t="n">
        <v>1</v>
      </c>
      <c r="B801" s="1067" t="inlineStr">
        <is>
          <t>Serviço</t>
        </is>
      </c>
      <c r="C801" s="1067" t="inlineStr">
        <is>
          <t>Protenção de cordoalhas para laje protendida Nervurada Tec - Materiais e acessórios</t>
        </is>
      </c>
      <c r="D801" s="1067" t="inlineStr">
        <is>
          <t>Protenção de cordoalhas para laje protendida Nervurada Tec - Materiais e acessórios</t>
        </is>
      </c>
      <c r="E801" s="1068" t="inlineStr">
        <is>
          <t>M2</t>
        </is>
      </c>
      <c r="F801" s="1067" t="n"/>
      <c r="G801" s="1069">
        <f t="array" ref="G801">IF(B801="insumo",_xlfn.XLOOKUP($D801,Insumos!$B$1:$B$996,Insumos!$D$1:$D$996),"")</f>
        <v/>
      </c>
      <c r="H801" s="1069" t="n">
        <v>11.47875</v>
      </c>
      <c r="I801" s="2161" t="n">
        <v>0</v>
      </c>
      <c r="J801" s="2161" t="n">
        <v>0</v>
      </c>
      <c r="K801" s="2161" t="n"/>
    </row>
    <row r="802" outlineLevel="3" ht="15.75" customHeight="1">
      <c r="A802" s="10" t="n">
        <v>3</v>
      </c>
      <c r="B802" s="10" t="inlineStr">
        <is>
          <t>Insumo</t>
        </is>
      </c>
      <c r="C802" s="10" t="inlineStr">
        <is>
          <t>Protenção de cordoalhas para laje protendida Nervurada Tec - Materiais e acessórios</t>
        </is>
      </c>
      <c r="D802" s="10" t="inlineStr">
        <is>
          <t>Ancoragem base 1/2" - EHX 0063</t>
        </is>
      </c>
      <c r="E802" s="11">
        <f t="array" ref="E802">_xlfn.XLOOKUP(D802,Insumos!B:B,Insumos!C:$C)</f>
        <v/>
      </c>
      <c r="F802" s="14" t="n">
        <v>0.253</v>
      </c>
      <c r="G802" s="92">
        <f t="array" ref="G802">IF(B802="insumo",_xlfn.XLOOKUP($D802,Insumos!$B$1:$B$996,Insumos!$D$1:$D$996),"")</f>
        <v/>
      </c>
      <c r="H802" s="92" t="n">
        <v>3.1625</v>
      </c>
      <c r="I802" s="2162" t="n">
        <v>0</v>
      </c>
      <c r="J802" s="2162" t="n">
        <v>0</v>
      </c>
      <c r="K802" s="2162" t="n"/>
    </row>
    <row r="803" outlineLevel="3" ht="15.75" customHeight="1">
      <c r="A803" s="10" t="n">
        <v>3</v>
      </c>
      <c r="B803" s="10" t="inlineStr">
        <is>
          <t>Insumo</t>
        </is>
      </c>
      <c r="C803" s="10" t="inlineStr">
        <is>
          <t>Protenção de cordoalhas para laje protendida Nervurada Tec - Materiais e acessórios</t>
        </is>
      </c>
      <c r="D803" s="10" t="inlineStr">
        <is>
          <t>Cunha 1/2" BI Partida - EHX 0036</t>
        </is>
      </c>
      <c r="E803" s="11">
        <f t="array" ref="E803">_xlfn.XLOOKUP(D803,Insumos!B:B,Insumos!C:$C)</f>
        <v/>
      </c>
      <c r="F803" s="14" t="n">
        <v>0.25</v>
      </c>
      <c r="G803" s="92">
        <f t="array" ref="G803">IF(B803="insumo",_xlfn.XLOOKUP($D803,Insumos!$B$1:$B$996,Insumos!$D$1:$D$996),"")</f>
        <v/>
      </c>
      <c r="H803" s="92" t="n">
        <v>2.2825</v>
      </c>
      <c r="I803" s="2162" t="n">
        <v>0</v>
      </c>
      <c r="J803" s="2162" t="n">
        <v>0</v>
      </c>
      <c r="K803" s="2162" t="n"/>
    </row>
    <row r="804" outlineLevel="3" ht="15.75" customHeight="1">
      <c r="A804" s="10" t="n">
        <v>3</v>
      </c>
      <c r="B804" s="10" t="inlineStr">
        <is>
          <t>Insumo</t>
        </is>
      </c>
      <c r="C804" s="10" t="inlineStr">
        <is>
          <t>Protenção de cordoalhas para laje protendida Nervurada Tec - Materiais e acessórios</t>
        </is>
      </c>
      <c r="D804" s="10" t="inlineStr">
        <is>
          <t>Pocket Former 1/2 - EHX 0009</t>
        </is>
      </c>
      <c r="E804" s="11">
        <f t="array" ref="E804">_xlfn.XLOOKUP(D804,Insumos!B:B,Insumos!C:$C)</f>
        <v/>
      </c>
      <c r="F804" s="14" t="n">
        <v>0.015</v>
      </c>
      <c r="G804" s="92">
        <f t="array" ref="G804">IF(B804="insumo",_xlfn.XLOOKUP($D804,Insumos!$B$1:$B$996,Insumos!$D$1:$D$996),"")</f>
        <v/>
      </c>
      <c r="H804" s="92" t="n">
        <v>0.04275</v>
      </c>
      <c r="I804" s="2162" t="n">
        <v>0</v>
      </c>
      <c r="J804" s="2162" t="n">
        <v>0</v>
      </c>
      <c r="K804" s="2162" t="n"/>
    </row>
    <row r="805" outlineLevel="3" ht="15.75" customHeight="1">
      <c r="A805" s="10" t="n">
        <v>3</v>
      </c>
      <c r="B805" s="10" t="inlineStr">
        <is>
          <t>Insumo</t>
        </is>
      </c>
      <c r="C805" s="10" t="inlineStr">
        <is>
          <t>Protenção de cordoalhas para laje protendida Nervurada Tec - Materiais e acessórios</t>
        </is>
      </c>
      <c r="D805" s="10" t="inlineStr">
        <is>
          <t>Adaptador Ancor. (AP2)B Chupeta-EHX 0027</t>
        </is>
      </c>
      <c r="E805" s="11">
        <f t="array" ref="E805">_xlfn.XLOOKUP(D805,Insumos!B:B,Insumos!C:$C)</f>
        <v/>
      </c>
      <c r="F805" s="14" t="n">
        <v>0.015</v>
      </c>
      <c r="G805" s="92">
        <f t="array" ref="G805">IF(B805="insumo",_xlfn.XLOOKUP($D805,Insumos!$B$1:$B$996,Insumos!$D$1:$D$996),"")</f>
        <v/>
      </c>
      <c r="H805" s="92" t="n">
        <v>0.0213</v>
      </c>
      <c r="I805" s="2162" t="n">
        <v>0</v>
      </c>
      <c r="J805" s="2162" t="n">
        <v>0</v>
      </c>
      <c r="K805" s="2162" t="n"/>
    </row>
    <row r="806" outlineLevel="3" ht="15.75" customHeight="1">
      <c r="A806" s="10" t="n">
        <v>3</v>
      </c>
      <c r="B806" s="10" t="inlineStr">
        <is>
          <t>Insumo</t>
        </is>
      </c>
      <c r="C806" s="10" t="inlineStr">
        <is>
          <t>Protenção de cordoalhas para laje protendida Nervurada Tec - Materiais e acessórios</t>
        </is>
      </c>
      <c r="D806" s="10" t="inlineStr">
        <is>
          <t>Pt-Plug Ø12,7 - 3,8cm</t>
        </is>
      </c>
      <c r="E806" s="11">
        <f t="array" ref="E806">_xlfn.XLOOKUP(D806,Insumos!B:B,Insumos!C:$C)</f>
        <v/>
      </c>
      <c r="F806" s="14" t="n">
        <v>0.015</v>
      </c>
      <c r="G806" s="92">
        <f t="array" ref="G806">IF(B806="insumo",_xlfn.XLOOKUP($D806,Insumos!$B$1:$B$996,Insumos!$D$1:$D$996),"")</f>
        <v/>
      </c>
      <c r="H806" s="92" t="n">
        <v>0.0852</v>
      </c>
      <c r="I806" s="2162" t="n">
        <v>0</v>
      </c>
      <c r="J806" s="2162" t="n">
        <v>0</v>
      </c>
      <c r="K806" s="2162" t="n"/>
    </row>
    <row r="807" outlineLevel="3" ht="15.75" customHeight="1">
      <c r="A807" s="10" t="n">
        <v>3</v>
      </c>
      <c r="B807" s="10" t="inlineStr">
        <is>
          <t>Insumo</t>
        </is>
      </c>
      <c r="C807" s="10" t="inlineStr">
        <is>
          <t>Protenção de cordoalhas para laje protendida Nervurada Tec - Materiais e acessórios</t>
        </is>
      </c>
      <c r="D807" s="10" t="inlineStr">
        <is>
          <t>Tirante Plast - EHX 0621</t>
        </is>
      </c>
      <c r="E807" s="11">
        <f t="array" ref="E807">_xlfn.XLOOKUP(D807,Insumos!B:B,Insumos!C:$C)</f>
        <v/>
      </c>
      <c r="F807" s="14" t="n">
        <v>0.015</v>
      </c>
      <c r="G807" s="92">
        <f t="array" ref="G807">IF(B807="insumo",_xlfn.XLOOKUP($D807,Insumos!$B$1:$B$996,Insumos!$D$1:$D$996),"")</f>
        <v/>
      </c>
      <c r="H807" s="92" t="n">
        <v>0.0345</v>
      </c>
      <c r="I807" s="2162" t="n">
        <v>0</v>
      </c>
      <c r="J807" s="2162" t="n">
        <v>0</v>
      </c>
      <c r="K807" s="2162" t="n"/>
    </row>
    <row r="808" outlineLevel="3" ht="15.75" customHeight="1">
      <c r="A808" s="10" t="n">
        <v>3</v>
      </c>
      <c r="B808" s="10" t="inlineStr">
        <is>
          <t>Insumo</t>
        </is>
      </c>
      <c r="C808" s="10" t="inlineStr">
        <is>
          <t>Protenção de cordoalhas para laje protendida Nervurada Tec - Materiais e acessórios</t>
        </is>
      </c>
      <c r="D808" s="10" t="inlineStr">
        <is>
          <t>Apoio Metálico EHX 0072</t>
        </is>
      </c>
      <c r="E808" s="11">
        <f t="array" ref="E808">_xlfn.XLOOKUP(D808,Insumos!B:B,Insumos!C:$C)</f>
        <v/>
      </c>
      <c r="F808" s="14" t="n">
        <v>1.3</v>
      </c>
      <c r="G808" s="92">
        <f t="array" ref="G808">IF(B808="insumo",_xlfn.XLOOKUP($D808,Insumos!$B$1:$B$996,Insumos!$D$1:$D$996),"")</f>
        <v/>
      </c>
      <c r="H808" s="92" t="n">
        <v>4.42</v>
      </c>
      <c r="I808" s="2162" t="n">
        <v>0</v>
      </c>
      <c r="J808" s="2162" t="n">
        <v>0</v>
      </c>
      <c r="K808" s="2162" t="n"/>
    </row>
    <row r="809" outlineLevel="3" ht="15.75" customHeight="1">
      <c r="A809" s="10" t="n">
        <v>3</v>
      </c>
      <c r="B809" s="10" t="inlineStr">
        <is>
          <t>Insumo</t>
        </is>
      </c>
      <c r="C809" s="10" t="inlineStr">
        <is>
          <t>Protenção de cordoalhas para laje protendida Nervurada Tec - Materiais e acessórios</t>
        </is>
      </c>
      <c r="D809" s="10" t="inlineStr">
        <is>
          <t>Industrialização dos cabos (Corte, enrolação, pré-blocagem e identificação por cores)</t>
        </is>
      </c>
      <c r="E809" s="11">
        <f t="array" ref="E809">_xlfn.XLOOKUP(D809,Insumos!B:B,Insumos!C:$C)</f>
        <v/>
      </c>
      <c r="F809" s="14" t="n">
        <v>1.3</v>
      </c>
      <c r="G809" s="92">
        <f t="array" ref="G809">IF(B809="insumo",_xlfn.XLOOKUP($D809,Insumos!$B$1:$B$996,Insumos!$D$1:$D$996),"")</f>
        <v/>
      </c>
      <c r="H809" s="92" t="n">
        <v>1.43</v>
      </c>
      <c r="I809" s="2162" t="n">
        <v>0</v>
      </c>
      <c r="J809" s="2162" t="n">
        <v>0</v>
      </c>
      <c r="K809" s="2162" t="n"/>
    </row>
    <row r="810" outlineLevel="2" ht="15.75" customHeight="1">
      <c r="A810" s="1067" t="n">
        <v>2</v>
      </c>
      <c r="B810" s="1067" t="inlineStr">
        <is>
          <t>Serviço</t>
        </is>
      </c>
      <c r="C810" s="1067" t="inlineStr">
        <is>
          <t>Locação de cubetas para laje nervurada</t>
        </is>
      </c>
      <c r="D810" s="1067" t="inlineStr">
        <is>
          <t>Locação de cubetas para laje nervurada</t>
        </is>
      </c>
      <c r="E810" s="1068" t="inlineStr">
        <is>
          <t>M3</t>
        </is>
      </c>
      <c r="F810" s="1067" t="n"/>
      <c r="G810" s="1069">
        <f t="array" ref="G810">IF(B810="insumo",_xlfn.XLOOKUP($D810,Insumos!$B$1:$B$996,Insumos!$D$1:$D$996),"")</f>
        <v/>
      </c>
      <c r="H810" s="1069" t="n">
        <v>44.255376</v>
      </c>
      <c r="I810" s="2161" t="n">
        <v>0</v>
      </c>
      <c r="J810" s="2161" t="n">
        <v>0</v>
      </c>
      <c r="K810" s="2161" t="n"/>
    </row>
    <row r="811" outlineLevel="3" ht="15.75" customHeight="1">
      <c r="A811" s="10" t="n">
        <v>2</v>
      </c>
      <c r="B811" s="10" t="inlineStr">
        <is>
          <t>Insumo</t>
        </is>
      </c>
      <c r="C811" s="10" t="inlineStr">
        <is>
          <t>Locação de cubetas para laje nervurada</t>
        </is>
      </c>
      <c r="D811" s="10" t="inlineStr">
        <is>
          <t xml:space="preserve">LOCACAO DE FORMA PLASTICA PARA LAJE NERVURADA, *60* X *60* X *16* CM       </t>
        </is>
      </c>
      <c r="E811" s="11">
        <f t="array" ref="E811">_xlfn.XLOOKUP(D811,Insumos!B:B,Insumos!C:$C)</f>
        <v/>
      </c>
      <c r="F811" s="14">
        <f>ROUNDUP(1/(0.6*0.6),2)</f>
        <v/>
      </c>
      <c r="G811" s="92">
        <f t="array" ref="G811">IF(B811="insumo",_xlfn.XLOOKUP($D811,Insumos!$B$1:$B$996,Insumos!$D$1:$D$996),"")</f>
        <v/>
      </c>
      <c r="H811" s="92" t="n">
        <v>14.751792</v>
      </c>
      <c r="I811" s="2162" t="n">
        <v>0</v>
      </c>
      <c r="J811" s="2162" t="n">
        <v>0</v>
      </c>
      <c r="K811" s="2162" t="n"/>
    </row>
    <row r="812" outlineLevel="2" ht="15.75" customHeight="1">
      <c r="A812" s="1067" t="n">
        <v>2</v>
      </c>
      <c r="B812" s="1067" t="inlineStr">
        <is>
          <t>Serviço</t>
        </is>
      </c>
      <c r="C812" s="1067" t="inlineStr">
        <is>
          <t>Manutenção de cubetas proprias</t>
        </is>
      </c>
      <c r="D812" s="1067" t="inlineStr">
        <is>
          <t>Manutenção de cubetas proprias</t>
        </is>
      </c>
      <c r="E812" s="1068" t="inlineStr">
        <is>
          <t>M3</t>
        </is>
      </c>
      <c r="F812" s="1067" t="n"/>
      <c r="G812" s="1069">
        <f t="array" ref="G812">IF(B812="insumo",_xlfn.XLOOKUP($D812,Insumos!$B$1:$B$996,Insumos!$D$1:$D$996),"")</f>
        <v/>
      </c>
      <c r="H812" s="1069" t="n">
        <v>118298.43</v>
      </c>
      <c r="I812" s="2161" t="n">
        <v>0</v>
      </c>
      <c r="J812" s="2161" t="n">
        <v>0</v>
      </c>
      <c r="K812" s="2161" t="n"/>
    </row>
    <row r="813" outlineLevel="3" ht="15.75" customHeight="1">
      <c r="A813" s="10" t="n">
        <v>2</v>
      </c>
      <c r="B813" s="10" t="inlineStr">
        <is>
          <t>Insumo</t>
        </is>
      </c>
      <c r="C813" s="10" t="inlineStr">
        <is>
          <t>Manutenção de cubetas proprias</t>
        </is>
      </c>
      <c r="D813" s="10">
        <f>D812</f>
        <v/>
      </c>
      <c r="E813" s="11">
        <f t="array" ref="E813">_xlfn.XLOOKUP(D813,Insumos!B:B,Insumos!C:$C)</f>
        <v/>
      </c>
      <c r="F813" s="14" t="n">
        <v>1</v>
      </c>
      <c r="G813" s="92">
        <f t="array" ref="G813">IF(B813="insumo",_xlfn.XLOOKUP($D813,Insumos!$B$1:$B$996,Insumos!$D$1:$D$996),"")</f>
        <v/>
      </c>
      <c r="H813" s="92" t="n">
        <v>39432.81</v>
      </c>
      <c r="I813" s="2162" t="n">
        <v>0</v>
      </c>
      <c r="J813" s="2162" t="n">
        <v>0</v>
      </c>
      <c r="K813" s="2162" t="n"/>
    </row>
    <row r="814" outlineLevel="2" ht="12.75" customHeight="1">
      <c r="A814" s="1071" t="n">
        <v>1</v>
      </c>
      <c r="B814" s="1071" t="inlineStr">
        <is>
          <t>Serviço</t>
        </is>
      </c>
      <c r="C814" s="1071" t="inlineStr">
        <is>
          <t>Monocordoalha engraxada CP - 190 RB (12,7mm) - Materiais e acessórios</t>
        </is>
      </c>
      <c r="D814" s="1071" t="inlineStr">
        <is>
          <t>Monocordoalha engraxada CP - 190 RB (12,7mm) - Materiais e acessórios</t>
        </is>
      </c>
      <c r="E814" s="1072" t="inlineStr">
        <is>
          <t>Kg</t>
        </is>
      </c>
      <c r="F814" s="1071" t="n"/>
      <c r="G814" s="1073">
        <f t="array" ref="G814">IF(B814="insumo",_xlfn.XLOOKUP($D814,Insumos!$B$1:$B$996,Insumos!$D$1:$D$996),"")</f>
        <v/>
      </c>
      <c r="H814" s="1073" t="n">
        <v>125.072312252964</v>
      </c>
      <c r="I814" s="2163" t="n">
        <v>0</v>
      </c>
      <c r="J814" s="2163" t="n">
        <v>0</v>
      </c>
      <c r="K814" s="2163" t="n"/>
    </row>
    <row r="815" outlineLevel="3" ht="12.75" customHeight="1">
      <c r="A815" s="82" t="n">
        <v>3</v>
      </c>
      <c r="B815" s="82" t="inlineStr">
        <is>
          <t>Insumo</t>
        </is>
      </c>
      <c r="C815" s="82" t="inlineStr">
        <is>
          <t>Monocordoalha engraxada CP - 190 RB (12,7mm) - Materiais e acessórios</t>
        </is>
      </c>
      <c r="D815" s="82" t="inlineStr">
        <is>
          <t>Ancoragem base 1/2" - EHX 0063</t>
        </is>
      </c>
      <c r="E815" s="11">
        <f t="array" ref="E815">_xlfn.XLOOKUP(D815,Insumos!B:B,Insumos!C:$C)</f>
        <v/>
      </c>
      <c r="F815" s="2164" t="n">
        <v>1</v>
      </c>
      <c r="G815" s="92">
        <f t="array" ref="G815">IF(B815="insumo",_xlfn.XLOOKUP($D815,Insumos!$B$1:$B$996,Insumos!$D$1:$D$996),"")</f>
        <v/>
      </c>
      <c r="H815" s="92" t="n">
        <v>12.5</v>
      </c>
      <c r="I815" s="2165" t="n">
        <v>0</v>
      </c>
      <c r="J815" s="2165" t="n">
        <v>0</v>
      </c>
      <c r="K815" s="2165" t="n"/>
    </row>
    <row r="816" outlineLevel="3" ht="12.75" customHeight="1">
      <c r="A816" s="82" t="n">
        <v>3</v>
      </c>
      <c r="B816" s="82" t="inlineStr">
        <is>
          <t>Insumo</t>
        </is>
      </c>
      <c r="C816" s="82" t="inlineStr">
        <is>
          <t>Monocordoalha engraxada CP - 190 RB (12,7mm) - Materiais e acessórios</t>
        </is>
      </c>
      <c r="D816" s="82" t="inlineStr">
        <is>
          <t>Cunha 1/2" BI Partida - EHX 0036</t>
        </is>
      </c>
      <c r="E816" s="11">
        <f t="array" ref="E816">_xlfn.XLOOKUP(D816,Insumos!B:B,Insumos!C:$C)</f>
        <v/>
      </c>
      <c r="F816" s="2164" t="n">
        <v>1</v>
      </c>
      <c r="G816" s="92">
        <f t="array" ref="G816">IF(B816="insumo",_xlfn.XLOOKUP($D816,Insumos!$B$1:$B$996,Insumos!$D$1:$D$996),"")</f>
        <v/>
      </c>
      <c r="H816" s="92" t="n">
        <v>9.130000000000001</v>
      </c>
      <c r="I816" s="2165" t="n">
        <v>0</v>
      </c>
      <c r="J816" s="2165" t="n">
        <v>0</v>
      </c>
      <c r="K816" s="2165" t="n"/>
    </row>
    <row r="817" outlineLevel="3" ht="12.75" customHeight="1">
      <c r="A817" s="82" t="n">
        <v>3</v>
      </c>
      <c r="B817" s="82" t="inlineStr">
        <is>
          <t>Insumo</t>
        </is>
      </c>
      <c r="C817" s="82" t="inlineStr">
        <is>
          <t>Monocordoalha engraxada CP - 190 RB (12,7mm) - Materiais e acessórios</t>
        </is>
      </c>
      <c r="D817" s="82" t="inlineStr">
        <is>
          <t>Pocket Former 1/2 - EHX 0009</t>
        </is>
      </c>
      <c r="E817" s="11">
        <f t="array" ref="E817">_xlfn.XLOOKUP(D817,Insumos!B:B,Insumos!C:$C)</f>
        <v/>
      </c>
      <c r="F817" s="2164" t="n">
        <v>4.743083003952568</v>
      </c>
      <c r="G817" s="92">
        <f t="array" ref="G817">IF(B817="insumo",_xlfn.XLOOKUP($D817,Insumos!$B$1:$B$996,Insumos!$D$1:$D$996),"")</f>
        <v/>
      </c>
      <c r="H817" s="92" t="n">
        <v>13.5177865612648</v>
      </c>
      <c r="I817" s="2165" t="n">
        <v>0</v>
      </c>
      <c r="J817" s="2165" t="n">
        <v>0</v>
      </c>
      <c r="K817" s="2165" t="n"/>
    </row>
    <row r="818" outlineLevel="3" ht="12.75" customHeight="1">
      <c r="A818" s="82" t="n">
        <v>3</v>
      </c>
      <c r="B818" s="82" t="inlineStr">
        <is>
          <t>Insumo</t>
        </is>
      </c>
      <c r="C818" s="82" t="inlineStr">
        <is>
          <t>Monocordoalha engraxada CP - 190 RB (12,7mm) - Materiais e acessórios</t>
        </is>
      </c>
      <c r="D818" s="82" t="inlineStr">
        <is>
          <t>Adaptador Ancor. (AP2)B Chupeta-EHX 0027</t>
        </is>
      </c>
      <c r="E818" s="11">
        <f t="array" ref="E818">_xlfn.XLOOKUP(D818,Insumos!B:B,Insumos!C:$C)</f>
        <v/>
      </c>
      <c r="F818" s="2164" t="n">
        <v>4.743083003952568</v>
      </c>
      <c r="G818" s="92">
        <f t="array" ref="G818">IF(B818="insumo",_xlfn.XLOOKUP($D818,Insumos!$B$1:$B$996,Insumos!$D$1:$D$996),"")</f>
        <v/>
      </c>
      <c r="H818" s="92" t="n">
        <v>6.73517786561265</v>
      </c>
      <c r="I818" s="2165" t="n">
        <v>0</v>
      </c>
      <c r="J818" s="2165" t="n">
        <v>0</v>
      </c>
      <c r="K818" s="2165" t="n"/>
    </row>
    <row r="819" outlineLevel="3" ht="12.75" customHeight="1">
      <c r="A819" s="82" t="n">
        <v>2</v>
      </c>
      <c r="B819" s="82" t="inlineStr">
        <is>
          <t>Insumo</t>
        </is>
      </c>
      <c r="C819" s="82" t="inlineStr">
        <is>
          <t>Monocordoalha engraxada CP - 190 RB (12,7mm) - Materiais e acessórios</t>
        </is>
      </c>
      <c r="D819" s="82" t="inlineStr">
        <is>
          <t>Monocordoalha engraxada CP - 190 RB (12,7mm)</t>
        </is>
      </c>
      <c r="E819" s="11">
        <f t="array" ref="E819">_xlfn.XLOOKUP(D819,Insumos!B:B,Insumos!C:$C)</f>
        <v/>
      </c>
      <c r="F819" s="2164" t="n">
        <v>1.05</v>
      </c>
      <c r="G819" s="92">
        <f t="array" ref="G819">IF(B819="insumo",_xlfn.XLOOKUP($D819,Insumos!$B$1:$B$996,Insumos!$D$1:$D$996),"")</f>
        <v/>
      </c>
      <c r="H819" s="92" t="n">
        <v>16.275</v>
      </c>
      <c r="I819" s="2165" t="n">
        <v>0</v>
      </c>
      <c r="J819" s="2165" t="n">
        <v>0</v>
      </c>
      <c r="K819" s="2165" t="n"/>
    </row>
    <row r="820" outlineLevel="3" ht="12.75" customHeight="1">
      <c r="A820" s="82" t="n">
        <v>3</v>
      </c>
      <c r="B820" s="82" t="inlineStr">
        <is>
          <t>Insumo</t>
        </is>
      </c>
      <c r="C820" s="82" t="inlineStr">
        <is>
          <t>Monocordoalha engraxada CP - 190 RB (12,7mm) - Materiais e acessórios</t>
        </is>
      </c>
      <c r="D820" s="82" t="inlineStr">
        <is>
          <t>Pt-Plug Ø12,7 - 3,8cm</t>
        </is>
      </c>
      <c r="E820" s="11">
        <f t="array" ref="E820">_xlfn.XLOOKUP(D820,Insumos!B:B,Insumos!C:$C)</f>
        <v/>
      </c>
      <c r="F820" s="2164" t="n">
        <v>7.652173913043478</v>
      </c>
      <c r="G820" s="92">
        <f t="array" ref="G820">IF(B820="insumo",_xlfn.XLOOKUP($D820,Insumos!$B$1:$B$996,Insumos!$D$1:$D$996),"")</f>
        <v/>
      </c>
      <c r="H820" s="92" t="n">
        <v>43.464347826087</v>
      </c>
      <c r="I820" s="2165" t="n">
        <v>0</v>
      </c>
      <c r="J820" s="2165" t="n">
        <v>0</v>
      </c>
      <c r="K820" s="2165" t="n"/>
    </row>
    <row r="821" outlineLevel="3" ht="12.75" customHeight="1">
      <c r="A821" s="82" t="n">
        <v>3</v>
      </c>
      <c r="B821" s="82" t="inlineStr">
        <is>
          <t>Insumo</t>
        </is>
      </c>
      <c r="C821" s="82" t="inlineStr">
        <is>
          <t>Monocordoalha engraxada CP - 190 RB (12,7mm) - Materiais e acessórios</t>
        </is>
      </c>
      <c r="D821" s="82" t="inlineStr">
        <is>
          <t>Tirante Plast - EHX 0621</t>
        </is>
      </c>
      <c r="E821" s="11">
        <f t="array" ref="E821">_xlfn.XLOOKUP(D821,Insumos!B:B,Insumos!C:$C)</f>
        <v/>
      </c>
      <c r="F821" s="2164" t="n">
        <v>7.652173913043478</v>
      </c>
      <c r="G821" s="92">
        <f t="array" ref="G821">IF(B821="insumo",_xlfn.XLOOKUP($D821,Insumos!$B$1:$B$996,Insumos!$D$1:$D$996),"")</f>
        <v/>
      </c>
      <c r="H821" s="92" t="n">
        <v>17.6</v>
      </c>
      <c r="I821" s="2165" t="n">
        <v>0</v>
      </c>
      <c r="J821" s="2165" t="n">
        <v>0</v>
      </c>
      <c r="K821" s="2165" t="n"/>
    </row>
    <row r="822" outlineLevel="3" ht="12.75" customHeight="1">
      <c r="A822" s="82" t="n">
        <v>3</v>
      </c>
      <c r="B822" s="82" t="inlineStr">
        <is>
          <t>Insumo</t>
        </is>
      </c>
      <c r="C822" s="82" t="inlineStr">
        <is>
          <t>Monocordoalha engraxada CP - 190 RB (12,7mm) - Materiais e acessórios</t>
        </is>
      </c>
      <c r="D822" s="82" t="inlineStr">
        <is>
          <t>Apoio Metálico EHX 0072</t>
        </is>
      </c>
      <c r="E822" s="11">
        <f t="array" ref="E822">_xlfn.XLOOKUP(D822,Insumos!B:B,Insumos!C:$C)</f>
        <v/>
      </c>
      <c r="F822" s="2164" t="n">
        <v>1.3</v>
      </c>
      <c r="G822" s="92">
        <f t="array" ref="G822">IF(B822="insumo",_xlfn.XLOOKUP($D822,Insumos!$B$1:$B$996,Insumos!$D$1:$D$996),"")</f>
        <v/>
      </c>
      <c r="H822" s="92" t="n">
        <v>4.42</v>
      </c>
      <c r="I822" s="2165" t="n">
        <v>0</v>
      </c>
      <c r="J822" s="2165" t="n">
        <v>0</v>
      </c>
      <c r="K822" s="2165" t="n"/>
    </row>
    <row r="823" outlineLevel="3" ht="12.75" customHeight="1">
      <c r="A823" s="82" t="n">
        <v>3</v>
      </c>
      <c r="B823" s="82" t="inlineStr">
        <is>
          <t>Insumo</t>
        </is>
      </c>
      <c r="C823" s="82" t="inlineStr">
        <is>
          <t>Monocordoalha engraxada CP - 190 RB (12,7mm) - Materiais e acessórios</t>
        </is>
      </c>
      <c r="D823" s="82" t="inlineStr">
        <is>
          <t>Industrialização dos cabos (Corte, enrolação, pré-blocagem e identificação por cores)</t>
        </is>
      </c>
      <c r="E823" s="11">
        <f t="array" ref="E823">_xlfn.XLOOKUP(D823,Insumos!B:B,Insumos!C:$C)</f>
        <v/>
      </c>
      <c r="F823" s="2164" t="n">
        <v>1.3</v>
      </c>
      <c r="G823" s="92">
        <f t="array" ref="G823">IF(B823="insumo",_xlfn.XLOOKUP($D823,Insumos!$B$1:$B$996,Insumos!$D$1:$D$996),"")</f>
        <v/>
      </c>
      <c r="H823" s="92" t="n">
        <v>1.43</v>
      </c>
      <c r="I823" s="2165" t="n">
        <v>0</v>
      </c>
      <c r="J823" s="2165" t="n">
        <v>0</v>
      </c>
      <c r="K823" s="2165" t="n"/>
    </row>
    <row r="824" outlineLevel="2" ht="12.75" customHeight="1">
      <c r="A824" s="1071" t="n">
        <v>1</v>
      </c>
      <c r="B824" s="1071" t="inlineStr">
        <is>
          <t>Serviço</t>
        </is>
      </c>
      <c r="C824" s="1071" t="inlineStr">
        <is>
          <t>Monocordoalha engraxada CP - 190 RB (12,7mm)</t>
        </is>
      </c>
      <c r="D824" s="1071" t="inlineStr">
        <is>
          <t>Monocordoalha engraxada CP - 190 RB (12,7mm)</t>
        </is>
      </c>
      <c r="E824" s="1072" t="inlineStr">
        <is>
          <t>Kg</t>
        </is>
      </c>
      <c r="F824" s="1071" t="n"/>
      <c r="G824" s="1073">
        <f t="array" ref="G824">IF(B824="insumo",_xlfn.XLOOKUP($D824,Insumos!$B$1:$B$996,Insumos!$D$1:$D$996),"")</f>
        <v/>
      </c>
      <c r="H824" s="1073" t="n">
        <v>16.275</v>
      </c>
      <c r="I824" s="2163" t="n">
        <v>0</v>
      </c>
      <c r="J824" s="2163" t="n">
        <v>0</v>
      </c>
      <c r="K824" s="2163" t="n"/>
    </row>
    <row r="825" outlineLevel="3" ht="12.75" customHeight="1">
      <c r="A825" s="82" t="n">
        <v>2</v>
      </c>
      <c r="B825" s="82" t="inlineStr">
        <is>
          <t>Insumo</t>
        </is>
      </c>
      <c r="C825" s="82" t="inlineStr">
        <is>
          <t>Monocordoalha engraxada CP - 190 RB (12,7mm)</t>
        </is>
      </c>
      <c r="D825" s="82" t="inlineStr">
        <is>
          <t>Monocordoalha engraxada CP - 190 RB (12,7mm)</t>
        </is>
      </c>
      <c r="E825" s="11">
        <f t="array" ref="E825">_xlfn.XLOOKUP(D825,Insumos!B:B,Insumos!C:$C)</f>
        <v/>
      </c>
      <c r="F825" s="2164" t="n">
        <v>1.05</v>
      </c>
      <c r="G825" s="92">
        <f t="array" ref="G825">IF(B825="insumo",_xlfn.XLOOKUP($D825,Insumos!$B$1:$B$996,Insumos!$D$1:$D$996),"")</f>
        <v/>
      </c>
      <c r="H825" s="92" t="n">
        <v>16.275</v>
      </c>
      <c r="I825" s="2165" t="n">
        <v>0</v>
      </c>
      <c r="J825" s="2165" t="n">
        <v>0</v>
      </c>
      <c r="K825" s="2165" t="n"/>
    </row>
    <row r="826" outlineLevel="2" ht="12.75" customHeight="1">
      <c r="A826" s="1071" t="n">
        <v>1</v>
      </c>
      <c r="B826" s="1071" t="inlineStr">
        <is>
          <t>Serviço</t>
        </is>
      </c>
      <c r="C826" s="1071" t="inlineStr">
        <is>
          <t>Materiais e acessórios de monocordoalha</t>
        </is>
      </c>
      <c r="D826" s="1071" t="inlineStr">
        <is>
          <t>Materiais e acessórios de monocordoalha</t>
        </is>
      </c>
      <c r="E826" s="1072" t="inlineStr">
        <is>
          <t>UM</t>
        </is>
      </c>
      <c r="F826" s="1071" t="n"/>
      <c r="G826" s="1073">
        <f t="array" ref="G826">IF(B826="insumo",_xlfn.XLOOKUP($D826,Insumos!$B$1:$B$996,Insumos!$D$1:$D$996),"")</f>
        <v/>
      </c>
      <c r="H826" s="1073" t="n">
        <v>57.725</v>
      </c>
      <c r="I826" s="2163" t="n">
        <v>0</v>
      </c>
      <c r="J826" s="2163" t="n">
        <v>0</v>
      </c>
      <c r="K826" s="2163" t="n"/>
    </row>
    <row r="827" outlineLevel="3" ht="12.75" customHeight="1">
      <c r="A827" s="82" t="n">
        <v>3</v>
      </c>
      <c r="B827" s="82" t="inlineStr">
        <is>
          <t>Insumo</t>
        </is>
      </c>
      <c r="C827" s="82" t="inlineStr">
        <is>
          <t>Materiais e acessórios de monocordoalha</t>
        </is>
      </c>
      <c r="D827" s="82" t="inlineStr">
        <is>
          <t>Ancoragem base 1/2" - EHX 0063</t>
        </is>
      </c>
      <c r="E827" s="11">
        <f t="array" ref="E827">_xlfn.XLOOKUP(D827,Insumos!B:B,Insumos!C:$C)</f>
        <v/>
      </c>
      <c r="F827" s="2164" t="n">
        <v>1</v>
      </c>
      <c r="G827" s="92">
        <f t="array" ref="G827">IF(B827="insumo",_xlfn.XLOOKUP($D827,Insumos!$B$1:$B$996,Insumos!$D$1:$D$996),"")</f>
        <v/>
      </c>
      <c r="H827" s="92" t="n">
        <v>12.5</v>
      </c>
      <c r="I827" s="2165" t="n">
        <v>0</v>
      </c>
      <c r="J827" s="2165" t="n">
        <v>0</v>
      </c>
      <c r="K827" s="2165" t="n"/>
    </row>
    <row r="828" outlineLevel="3" ht="12.75" customHeight="1">
      <c r="A828" s="82" t="n">
        <v>3</v>
      </c>
      <c r="B828" s="82" t="inlineStr">
        <is>
          <t>Insumo</t>
        </is>
      </c>
      <c r="C828" s="82" t="inlineStr">
        <is>
          <t>Materiais e acessórios de monocordoalha</t>
        </is>
      </c>
      <c r="D828" s="82" t="inlineStr">
        <is>
          <t>Cunha 1/2" BI Partida - EHX 0036</t>
        </is>
      </c>
      <c r="E828" s="11">
        <f t="array" ref="E828">_xlfn.XLOOKUP(D828,Insumos!B:B,Insumos!C:$C)</f>
        <v/>
      </c>
      <c r="F828" s="2164" t="n">
        <v>1</v>
      </c>
      <c r="G828" s="92">
        <f t="array" ref="G828">IF(B828="insumo",_xlfn.XLOOKUP($D828,Insumos!$B$1:$B$996,Insumos!$D$1:$D$996),"")</f>
        <v/>
      </c>
      <c r="H828" s="92" t="n">
        <v>9.130000000000001</v>
      </c>
      <c r="I828" s="2165" t="n">
        <v>0</v>
      </c>
      <c r="J828" s="2165" t="n">
        <v>0</v>
      </c>
      <c r="K828" s="2165" t="n"/>
    </row>
    <row r="829" outlineLevel="3" ht="12.75" customHeight="1">
      <c r="A829" s="82" t="n">
        <v>3</v>
      </c>
      <c r="B829" s="82" t="inlineStr">
        <is>
          <t>Insumo</t>
        </is>
      </c>
      <c r="C829" s="82" t="inlineStr">
        <is>
          <t>Materiais e acessórios de monocordoalha</t>
        </is>
      </c>
      <c r="D829" s="82" t="inlineStr">
        <is>
          <t>Pocket Former 1/2 - EHX 0009</t>
        </is>
      </c>
      <c r="E829" s="11">
        <f t="array" ref="E829">_xlfn.XLOOKUP(D829,Insumos!B:B,Insumos!C:$C)</f>
        <v/>
      </c>
      <c r="F829" s="2164" t="n">
        <v>0.5</v>
      </c>
      <c r="G829" s="92">
        <f t="array" ref="G829">IF(B829="insumo",_xlfn.XLOOKUP($D829,Insumos!$B$1:$B$996,Insumos!$D$1:$D$996),"")</f>
        <v/>
      </c>
      <c r="H829" s="92" t="n">
        <v>1.425</v>
      </c>
      <c r="I829" s="2165" t="n">
        <v>0</v>
      </c>
      <c r="J829" s="2165" t="n">
        <v>0</v>
      </c>
      <c r="K829" s="2165" t="n"/>
    </row>
    <row r="830" outlineLevel="3" ht="12.75" customHeight="1">
      <c r="A830" s="82" t="n">
        <v>3</v>
      </c>
      <c r="B830" s="82" t="inlineStr">
        <is>
          <t>Insumo</t>
        </is>
      </c>
      <c r="C830" s="82" t="inlineStr">
        <is>
          <t>Materiais e acessórios de monocordoalha</t>
        </is>
      </c>
      <c r="D830" s="82" t="inlineStr">
        <is>
          <t>Adaptador Ancor. (AP2)B Chupeta-EHX 0027</t>
        </is>
      </c>
      <c r="E830" s="11">
        <f t="array" ref="E830">_xlfn.XLOOKUP(D830,Insumos!B:B,Insumos!C:$C)</f>
        <v/>
      </c>
      <c r="F830" s="2164" t="n">
        <v>0.5</v>
      </c>
      <c r="G830" s="92">
        <f t="array" ref="G830">IF(B830="insumo",_xlfn.XLOOKUP($D830,Insumos!$B$1:$B$996,Insumos!$D$1:$D$996),"")</f>
        <v/>
      </c>
      <c r="H830" s="92" t="n">
        <v>0.71</v>
      </c>
      <c r="I830" s="2165" t="n">
        <v>0</v>
      </c>
      <c r="J830" s="2165" t="n">
        <v>0</v>
      </c>
      <c r="K830" s="2165" t="n"/>
    </row>
    <row r="831" outlineLevel="3" ht="12.75" customHeight="1">
      <c r="A831" s="82" t="n">
        <v>3</v>
      </c>
      <c r="B831" s="82" t="inlineStr">
        <is>
          <t>Insumo</t>
        </is>
      </c>
      <c r="C831" s="82" t="inlineStr">
        <is>
          <t>Materiais e acessórios de monocordoalha</t>
        </is>
      </c>
      <c r="D831" s="82" t="inlineStr">
        <is>
          <t>Pt-Plug Ø12,7 - 3,8cm</t>
        </is>
      </c>
      <c r="E831" s="11">
        <f t="array" ref="E831">_xlfn.XLOOKUP(D831,Insumos!B:B,Insumos!C:$C)</f>
        <v/>
      </c>
      <c r="F831" s="2164" t="n">
        <v>0.5</v>
      </c>
      <c r="G831" s="92">
        <f t="array" ref="G831">IF(B831="insumo",_xlfn.XLOOKUP($D831,Insumos!$B$1:$B$996,Insumos!$D$1:$D$996),"")</f>
        <v/>
      </c>
      <c r="H831" s="92" t="n">
        <v>2.84</v>
      </c>
      <c r="I831" s="2165" t="n">
        <v>0</v>
      </c>
      <c r="J831" s="2165" t="n">
        <v>0</v>
      </c>
      <c r="K831" s="2165" t="n"/>
    </row>
    <row r="832" outlineLevel="3" ht="12.75" customHeight="1">
      <c r="A832" s="82" t="n">
        <v>3</v>
      </c>
      <c r="B832" s="82" t="inlineStr">
        <is>
          <t>Insumo</t>
        </is>
      </c>
      <c r="C832" s="82" t="inlineStr">
        <is>
          <t>Materiais e acessórios de monocordoalha</t>
        </is>
      </c>
      <c r="D832" s="82" t="inlineStr">
        <is>
          <t>Tirante Plast - EHX 0621</t>
        </is>
      </c>
      <c r="E832" s="11">
        <f t="array" ref="E832">_xlfn.XLOOKUP(D832,Insumos!B:B,Insumos!C:$C)</f>
        <v/>
      </c>
      <c r="F832" s="2164" t="n">
        <v>0.5</v>
      </c>
      <c r="G832" s="92">
        <f t="array" ref="G832">IF(B832="insumo",_xlfn.XLOOKUP($D832,Insumos!$B$1:$B$996,Insumos!$D$1:$D$996),"")</f>
        <v/>
      </c>
      <c r="H832" s="92" t="n">
        <v>1.15</v>
      </c>
      <c r="I832" s="2165" t="n">
        <v>0</v>
      </c>
      <c r="J832" s="2165" t="n">
        <v>0</v>
      </c>
      <c r="K832" s="2165" t="n"/>
    </row>
    <row r="833" outlineLevel="3" ht="12.75" customHeight="1">
      <c r="A833" s="82" t="n">
        <v>3</v>
      </c>
      <c r="B833" s="82" t="inlineStr">
        <is>
          <t>Insumo</t>
        </is>
      </c>
      <c r="C833" s="82" t="inlineStr">
        <is>
          <t>Materiais e acessórios de monocordoalha</t>
        </is>
      </c>
      <c r="D833" s="82" t="inlineStr">
        <is>
          <t>Apoio Metálico EHX 0072</t>
        </is>
      </c>
      <c r="E833" s="11">
        <f t="array" ref="E833">_xlfn.XLOOKUP(D833,Insumos!B:B,Insumos!C:$C)</f>
        <v/>
      </c>
      <c r="F833" s="2164" t="n">
        <v>6.66</v>
      </c>
      <c r="G833" s="92">
        <f t="array" ref="G833">IF(B833="insumo",_xlfn.XLOOKUP($D833,Insumos!$B$1:$B$996,Insumos!$D$1:$D$996),"")</f>
        <v/>
      </c>
      <c r="H833" s="92" t="n">
        <v>22.644</v>
      </c>
      <c r="I833" s="2165" t="n">
        <v>0</v>
      </c>
      <c r="J833" s="2165" t="n">
        <v>0</v>
      </c>
      <c r="K833" s="2165" t="n"/>
    </row>
    <row r="834" outlineLevel="3" ht="12.75" customHeight="1">
      <c r="A834" s="82" t="n">
        <v>3</v>
      </c>
      <c r="B834" s="82" t="inlineStr">
        <is>
          <t>Insumo</t>
        </is>
      </c>
      <c r="C834" s="82" t="inlineStr">
        <is>
          <t>Materiais e acessórios de monocordoalha</t>
        </is>
      </c>
      <c r="D834" s="82" t="inlineStr">
        <is>
          <t>Industrialização dos cabos (Corte, enrolação, pré-blocagem e identificação por cores)</t>
        </is>
      </c>
      <c r="E834" s="11">
        <f t="array" ref="E834">_xlfn.XLOOKUP(D834,Insumos!B:B,Insumos!C:$C)</f>
        <v/>
      </c>
      <c r="F834" s="2164" t="n">
        <v>6.66</v>
      </c>
      <c r="G834" s="92">
        <f t="array" ref="G834">IF(B834="insumo",_xlfn.XLOOKUP($D834,Insumos!$B$1:$B$996,Insumos!$D$1:$D$996),"")</f>
        <v/>
      </c>
      <c r="H834" s="92" t="n">
        <v>7.326</v>
      </c>
      <c r="I834" s="2165" t="n">
        <v>0</v>
      </c>
      <c r="J834" s="2165" t="n">
        <v>0</v>
      </c>
      <c r="K834" s="2165" t="n"/>
    </row>
    <row r="835" outlineLevel="2" ht="12.75" customHeight="1">
      <c r="A835" s="1071" t="n">
        <v>2</v>
      </c>
      <c r="B835" s="1071" t="inlineStr">
        <is>
          <t>Serviço</t>
        </is>
      </c>
      <c r="C835" s="1071" t="inlineStr">
        <is>
          <t>Locação de cubetas para laje nervurada</t>
        </is>
      </c>
      <c r="D835" s="1071" t="inlineStr">
        <is>
          <t>Locação de cubetas para laje nervurada</t>
        </is>
      </c>
      <c r="E835" s="1072" t="inlineStr">
        <is>
          <t>UM</t>
        </is>
      </c>
      <c r="F835" s="1071" t="n"/>
      <c r="G835" s="1073">
        <f t="array" ref="G835">IF(B835="insumo",_xlfn.XLOOKUP($D835,Insumos!$B$1:$B$996,Insumos!$D$1:$D$996),"")</f>
        <v/>
      </c>
      <c r="H835" s="1073" t="n">
        <v>14.751792</v>
      </c>
      <c r="I835" s="2163" t="n">
        <v>0</v>
      </c>
      <c r="J835" s="2163" t="n">
        <v>0</v>
      </c>
      <c r="K835" s="2163" t="n"/>
    </row>
    <row r="836" outlineLevel="3" ht="12.75" customHeight="1">
      <c r="A836" s="82" t="n">
        <v>2</v>
      </c>
      <c r="B836" s="82" t="inlineStr">
        <is>
          <t>Insumo</t>
        </is>
      </c>
      <c r="C836" s="82" t="inlineStr">
        <is>
          <t>Locação de cubetas para laje nervurada</t>
        </is>
      </c>
      <c r="D836" s="82" t="inlineStr">
        <is>
          <t xml:space="preserve">LOCACAO DE FORMA PLASTICA PARA LAJE NERVURADA, *60* X *60* X *16* CM       </t>
        </is>
      </c>
      <c r="E836" s="11">
        <f t="array" ref="E836">_xlfn.XLOOKUP(D836,Insumos!B:B,Insumos!C:$C)</f>
        <v/>
      </c>
      <c r="F836" s="2164">
        <f>ROUNDUP(1/(0.6*0.6),2)</f>
        <v/>
      </c>
      <c r="G836" s="92">
        <f t="array" ref="G836">IF(B836="insumo",_xlfn.XLOOKUP($D836,Insumos!$B$1:$B$996,Insumos!$D$1:$D$996),"")</f>
        <v/>
      </c>
      <c r="H836" s="92" t="n">
        <v>14.751792</v>
      </c>
      <c r="I836" s="2165" t="n">
        <v>0</v>
      </c>
      <c r="J836" s="2165" t="n">
        <v>0</v>
      </c>
      <c r="K836" s="2165" t="n"/>
    </row>
    <row r="837" outlineLevel="2" ht="12.75" customHeight="1">
      <c r="A837" s="1071" t="n">
        <v>2</v>
      </c>
      <c r="B837" s="1071" t="inlineStr">
        <is>
          <t>Serviço</t>
        </is>
      </c>
      <c r="C837" s="1071" t="inlineStr">
        <is>
          <t>Manutenção de cubetas proprias</t>
        </is>
      </c>
      <c r="D837" s="1071" t="inlineStr">
        <is>
          <t>Manutenção de cubetas proprias</t>
        </is>
      </c>
      <c r="E837" s="1072" t="inlineStr">
        <is>
          <t>M3</t>
        </is>
      </c>
      <c r="F837" s="1071" t="n"/>
      <c r="G837" s="1073">
        <f t="array" ref="G837">IF(B837="insumo",_xlfn.XLOOKUP($D837,Insumos!$B$1:$B$996,Insumos!$D$1:$D$996),"")</f>
        <v/>
      </c>
      <c r="H837" s="1073" t="n">
        <v>39432.81</v>
      </c>
      <c r="I837" s="2163" t="n">
        <v>0</v>
      </c>
      <c r="J837" s="2163" t="n">
        <v>0</v>
      </c>
      <c r="K837" s="2163" t="n"/>
    </row>
    <row r="838" outlineLevel="3" ht="12.75" customHeight="1">
      <c r="A838" s="82" t="n">
        <v>2</v>
      </c>
      <c r="B838" s="82" t="inlineStr">
        <is>
          <t>Insumo</t>
        </is>
      </c>
      <c r="C838" s="82" t="inlineStr">
        <is>
          <t>Manutenção de cubetas proprias</t>
        </is>
      </c>
      <c r="D838" s="82">
        <f>D837</f>
        <v/>
      </c>
      <c r="E838" s="11">
        <f t="array" ref="E838">_xlfn.XLOOKUP(D838,Insumos!B:B,Insumos!C:$C)</f>
        <v/>
      </c>
      <c r="F838" s="2164" t="n">
        <v>1</v>
      </c>
      <c r="G838" s="92">
        <f t="array" ref="G838">IF(B838="insumo",_xlfn.XLOOKUP($D838,Insumos!$B$1:$B$996,Insumos!$D$1:$D$996),"")</f>
        <v/>
      </c>
      <c r="H838" s="92" t="n">
        <v>39432.81</v>
      </c>
      <c r="I838" s="2165" t="n">
        <v>0</v>
      </c>
      <c r="J838" s="2165" t="n">
        <v>0</v>
      </c>
      <c r="K838" s="2165" t="n"/>
    </row>
    <row r="839" outlineLevel="2" ht="15.75" customHeight="1">
      <c r="A839" s="1067" t="n">
        <v>1</v>
      </c>
      <c r="B839" s="1067" t="inlineStr">
        <is>
          <t>Serviço</t>
        </is>
      </c>
      <c r="C839" s="1067" t="inlineStr">
        <is>
          <t>Locação de escoramento metálico pe direito simples</t>
        </is>
      </c>
      <c r="D839" s="1067" t="inlineStr">
        <is>
          <t>Locação de escoramento metálico pe direito simples</t>
        </is>
      </c>
      <c r="E839" s="1068" t="inlineStr">
        <is>
          <t>M2</t>
        </is>
      </c>
      <c r="F839" s="1075" t="n"/>
      <c r="G839" s="1069">
        <f t="array" ref="G839">IF(B839="insumo",_xlfn.XLOOKUP($D839,Insumos!$B$1:$B$996,Insumos!$D$1:$D$996),"")</f>
        <v/>
      </c>
      <c r="H839" s="1069" t="n">
        <v>36.4250265061707</v>
      </c>
      <c r="I839" s="2161" t="n">
        <v>16241.65</v>
      </c>
      <c r="J839" s="2161" t="n">
        <v>591602.531753947</v>
      </c>
      <c r="K839" s="2161" t="n"/>
    </row>
    <row r="840" outlineLevel="3" ht="15.75" customHeight="1">
      <c r="A840" s="10" t="n">
        <v>1</v>
      </c>
      <c r="B840" s="10" t="inlineStr">
        <is>
          <t>Insumo</t>
        </is>
      </c>
      <c r="C840" s="10" t="inlineStr">
        <is>
          <t>Locação de escoramento metálico pe direito simples</t>
        </is>
      </c>
      <c r="D840" s="10" t="inlineStr">
        <is>
          <t>LOCACAO DE ESCORA METALICA TELESCOPICA, COM ALTURA REGULAVEL DE *1,80* A *3,20* M</t>
        </is>
      </c>
      <c r="E840" s="11">
        <f t="array" ref="E840">_xlfn.XLOOKUP(D840,Insumos!B:B,Insumos!C:$C)</f>
        <v/>
      </c>
      <c r="F840" s="14" t="n">
        <v>1</v>
      </c>
      <c r="G840" s="92">
        <f t="array" ref="G840">IF(B840="insumo",_xlfn.XLOOKUP($D840,Insumos!$B$1:$B$996,Insumos!$D$1:$D$996),"")</f>
        <v/>
      </c>
      <c r="H840" s="92" t="n">
        <v>36.4250265061707</v>
      </c>
      <c r="I840" s="2162" t="n">
        <v>16241.65</v>
      </c>
      <c r="J840" s="2162" t="n">
        <v>591602.531753947</v>
      </c>
      <c r="K840" s="2162" t="n"/>
    </row>
    <row r="841" outlineLevel="2" ht="15.75" customHeight="1">
      <c r="A841" s="1067" t="n">
        <v>1</v>
      </c>
      <c r="B841" s="1067" t="inlineStr">
        <is>
          <t>Serviço</t>
        </is>
      </c>
      <c r="C841" s="1067" t="inlineStr">
        <is>
          <t>Locação topográfica de lajes</t>
        </is>
      </c>
      <c r="D841" s="1067" t="inlineStr">
        <is>
          <t>Locação topográfica de lajes</t>
        </is>
      </c>
      <c r="E841" s="1068" t="inlineStr">
        <is>
          <t>DIAS</t>
        </is>
      </c>
      <c r="F841" s="1067" t="n"/>
      <c r="G841" s="1069">
        <f t="array" ref="G841">IF(B841="insumo",_xlfn.XLOOKUP($D841,Insumos!$B$1:$B$996,Insumos!$D$1:$D$996),"")</f>
        <v/>
      </c>
      <c r="H841" s="1069" t="n">
        <v>1300</v>
      </c>
      <c r="I841" s="2161" t="n">
        <v>0</v>
      </c>
      <c r="J841" s="2161" t="n">
        <v>0</v>
      </c>
      <c r="K841" s="2161" t="n"/>
    </row>
    <row r="842" outlineLevel="3" ht="15.75" customHeight="1">
      <c r="A842" s="10" t="n">
        <v>1</v>
      </c>
      <c r="B842" s="10" t="inlineStr">
        <is>
          <t>Insumo</t>
        </is>
      </c>
      <c r="C842" s="10" t="inlineStr">
        <is>
          <t>Locação topográfica de lajes</t>
        </is>
      </c>
      <c r="D842" s="10" t="inlineStr">
        <is>
          <t>Diária de topógrafo</t>
        </is>
      </c>
      <c r="E842" s="11">
        <f t="array" ref="E842">_xlfn.XLOOKUP(D842,Insumos!B:B,Insumos!C:$C)</f>
        <v/>
      </c>
      <c r="F842" s="14" t="n">
        <v>1</v>
      </c>
      <c r="G842" s="92">
        <f t="array" ref="G842">IF(B842="insumo",_xlfn.XLOOKUP($D842,Insumos!$B$1:$B$996,Insumos!$D$1:$D$996),"")</f>
        <v/>
      </c>
      <c r="H842" s="92" t="n">
        <v>1300</v>
      </c>
      <c r="I842" s="2162" t="n">
        <v>0</v>
      </c>
      <c r="J842" s="2162" t="n">
        <v>0</v>
      </c>
      <c r="K842" s="2162" t="n"/>
    </row>
    <row r="843" outlineLevel="2" ht="15.75" customHeight="1">
      <c r="A843" s="1067" t="n">
        <v>1</v>
      </c>
      <c r="B843" s="1067" t="inlineStr">
        <is>
          <t>Serviço</t>
        </is>
      </c>
      <c r="C843" s="1067" t="inlineStr">
        <is>
          <t>Sistema de Ancoragem Provisória e definitiva</t>
        </is>
      </c>
      <c r="D843" s="1067" t="inlineStr">
        <is>
          <t>Sistema de Ancoragem Provisória e definitiva</t>
        </is>
      </c>
      <c r="E843" s="1068" t="inlineStr">
        <is>
          <t>VB</t>
        </is>
      </c>
      <c r="F843" s="1067" t="n"/>
      <c r="G843" s="1069">
        <f t="array" ref="G843">IF(B843="insumo",_xlfn.XLOOKUP($D843,Insumos!$B$1:$B$996,Insumos!$D$1:$D$996),"")</f>
        <v/>
      </c>
      <c r="H843" s="1069" t="n">
        <v>15000</v>
      </c>
      <c r="I843" s="2161" t="n">
        <v>0</v>
      </c>
      <c r="J843" s="2161" t="n">
        <v>0</v>
      </c>
      <c r="K843" s="2161" t="n"/>
    </row>
    <row r="844" outlineLevel="3" ht="15.75" customHeight="1">
      <c r="A844" s="10" t="n">
        <v>1</v>
      </c>
      <c r="B844" s="10" t="inlineStr">
        <is>
          <t>Insumo</t>
        </is>
      </c>
      <c r="C844" s="10" t="inlineStr">
        <is>
          <t>Sistema de Ancoragem Provisória e definitiva</t>
        </is>
      </c>
      <c r="D844" s="10" t="inlineStr">
        <is>
          <t>Sistema de Ancoragem Provisória e definitiva</t>
        </is>
      </c>
      <c r="E844" s="11">
        <f t="array" ref="E844">_xlfn.XLOOKUP(D844,Insumos!B:B,Insumos!C:$C)</f>
        <v/>
      </c>
      <c r="F844" s="14" t="n">
        <v>1</v>
      </c>
      <c r="G844" s="92">
        <f t="array" ref="G844">IF(B844="insumo",_xlfn.XLOOKUP($D844,Insumos!$B$1:$B$996,Insumos!$D$1:$D$996),"")</f>
        <v/>
      </c>
      <c r="H844" s="92" t="n">
        <v>15000</v>
      </c>
      <c r="I844" s="2162" t="n">
        <v>0</v>
      </c>
      <c r="J844" s="2162" t="n">
        <v>0</v>
      </c>
      <c r="K844" s="2162" t="n"/>
    </row>
    <row r="845" outlineLevel="2" ht="15.75" customHeight="1">
      <c r="A845" s="1067" t="n">
        <v>1</v>
      </c>
      <c r="B845" s="1067" t="inlineStr">
        <is>
          <t>Serviço</t>
        </is>
      </c>
      <c r="C845" s="1067" t="inlineStr">
        <is>
          <t>Serviço de Perfuração de vigas e lajes</t>
        </is>
      </c>
      <c r="D845" s="1067" t="inlineStr">
        <is>
          <t>Serviço de Perfuração de vigas e lajes</t>
        </is>
      </c>
      <c r="E845" s="1068" t="inlineStr">
        <is>
          <t>VB</t>
        </is>
      </c>
      <c r="F845" s="1075" t="n"/>
      <c r="G845" s="1069">
        <f t="array" ref="G845">IF(B845="insumo",_xlfn.XLOOKUP($D845,Insumos!$B$1:$B$996,Insumos!$D$1:$D$996),"")</f>
        <v/>
      </c>
      <c r="H845" s="1069" t="n">
        <v>93981.53049999999</v>
      </c>
      <c r="I845" s="2161" t="n">
        <v>0</v>
      </c>
      <c r="J845" s="2161" t="n">
        <v>0</v>
      </c>
      <c r="K845" s="2161" t="n"/>
    </row>
    <row r="846" outlineLevel="3" ht="15.75" customHeight="1">
      <c r="A846" s="10" t="n">
        <v>1</v>
      </c>
      <c r="B846" s="10" t="inlineStr">
        <is>
          <t>Insumo</t>
        </is>
      </c>
      <c r="C846" s="10" t="inlineStr">
        <is>
          <t>Serviço de Perfuração de vigas e lajes</t>
        </is>
      </c>
      <c r="D846" s="10" t="inlineStr">
        <is>
          <t>Serviço de Perfuração de vigas e lajes</t>
        </is>
      </c>
      <c r="E846" s="11">
        <f t="array" ref="E846">_xlfn.XLOOKUP(D846,Insumos!B:B,Insumos!C:$C)</f>
        <v/>
      </c>
      <c r="F846" s="14" t="n">
        <v>1</v>
      </c>
      <c r="G846" s="92">
        <f t="array" ref="G846">IF(B846="insumo",_xlfn.XLOOKUP($D846,Insumos!$B$1:$B$996,Insumos!$D$1:$D$996),"")</f>
        <v/>
      </c>
      <c r="H846" s="92" t="n">
        <v>93981.53049999999</v>
      </c>
      <c r="I846" s="2162" t="n">
        <v>0</v>
      </c>
      <c r="J846" s="2162" t="n">
        <v>0</v>
      </c>
      <c r="K846" s="2162" t="n"/>
    </row>
    <row r="847" outlineLevel="2" ht="15.75" customHeight="1">
      <c r="A847" s="1067" t="n">
        <v>1</v>
      </c>
      <c r="B847" s="1067" t="inlineStr">
        <is>
          <t>Serviço</t>
        </is>
      </c>
      <c r="C847" s="1067" t="inlineStr">
        <is>
          <t>Escoramento de fôrmas para Lajes com escoras de Madeira incluindo travamento, 4 utilizações.</t>
        </is>
      </c>
      <c r="D847" s="1067" t="inlineStr">
        <is>
          <t>Escoramento de fôrmas para Lajes com escoras de Madeira incluindo travamento, 4 utilizações.</t>
        </is>
      </c>
      <c r="E847" s="1068" t="inlineStr">
        <is>
          <t>M3</t>
        </is>
      </c>
      <c r="F847" s="1067" t="n"/>
      <c r="G847" s="1069">
        <f t="array" ref="G847">IF(B847="insumo",_xlfn.XLOOKUP($D847,Insumos!$B$1:$B$996,Insumos!$D$1:$D$996),"")</f>
        <v/>
      </c>
      <c r="H847" s="1069" t="n">
        <v>11.49611955</v>
      </c>
      <c r="I847" s="2161" t="n">
        <v>0</v>
      </c>
      <c r="J847" s="2161" t="n">
        <v>0</v>
      </c>
      <c r="K847" s="2161" t="n"/>
    </row>
    <row r="848" outlineLevel="3" ht="15.75" customHeight="1">
      <c r="A848" s="10" t="n">
        <v>40</v>
      </c>
      <c r="B848" s="10" t="inlineStr">
        <is>
          <t>Insumo</t>
        </is>
      </c>
      <c r="C848" s="10" t="inlineStr">
        <is>
          <t>Escoramento de fôrmas para Lajes com escoras de Madeira incluindo travamento, 4 utilizações.</t>
        </is>
      </c>
      <c r="D848" s="10" t="inlineStr">
        <is>
          <t>PREGO DE ACO POLIDO COM CABECA 17 X 21 (2 X 11)</t>
        </is>
      </c>
      <c r="E848" s="11">
        <f t="array" ref="E848">_xlfn.XLOOKUP(D848,Insumos!B:B,Insumos!C:$C)</f>
        <v/>
      </c>
      <c r="F848" s="14" t="n">
        <v>0.023535</v>
      </c>
      <c r="G848" s="92">
        <f t="array" ref="G848">IF(B848="insumo",_xlfn.XLOOKUP($D848,Insumos!$B$1:$B$996,Insumos!$D$1:$D$996),"")</f>
        <v/>
      </c>
      <c r="H848" s="92" t="n">
        <v>0.42668955</v>
      </c>
      <c r="I848" s="2162" t="n">
        <v>0</v>
      </c>
      <c r="J848" s="2162" t="n">
        <v>0</v>
      </c>
      <c r="K848" s="2162" t="n"/>
    </row>
    <row r="849" outlineLevel="3" ht="15.75" customHeight="1">
      <c r="A849" s="10" t="n">
        <v>3</v>
      </c>
      <c r="B849" s="10" t="inlineStr">
        <is>
          <t>Insumo</t>
        </is>
      </c>
      <c r="C849" s="10" t="inlineStr">
        <is>
          <t>Escoramento de fôrmas para Lajes com escoras de Madeira incluindo travamento, 4 utilizações.</t>
        </is>
      </c>
      <c r="D849" s="10" t="inlineStr">
        <is>
          <t>TABUA NAO APARELHADA *2,5 X 20* CM, EM MACARANDUBA/MASSARANDUBA, ANGELIM OU EQUIVALENTE DA REGIAO - BRUTA</t>
        </is>
      </c>
      <c r="E849" s="11">
        <f t="array" ref="E849">_xlfn.XLOOKUP(D849,Insumos!B:B,Insumos!C:$C)</f>
        <v/>
      </c>
      <c r="F849" s="14" t="n">
        <v>0.143</v>
      </c>
      <c r="G849" s="92">
        <f t="array" ref="G849">IF(B849="insumo",_xlfn.XLOOKUP($D849,Insumos!$B$1:$B$996,Insumos!$D$1:$D$996),"")</f>
        <v/>
      </c>
      <c r="H849" s="92" t="n">
        <v>6.07178</v>
      </c>
      <c r="I849" s="2162" t="n">
        <v>0</v>
      </c>
      <c r="J849" s="2162" t="n">
        <v>0</v>
      </c>
      <c r="K849" s="2162" t="n"/>
    </row>
    <row r="850" outlineLevel="3" ht="16.5" customHeight="1">
      <c r="A850" s="10" t="n">
        <v>25</v>
      </c>
      <c r="B850" s="10" t="inlineStr">
        <is>
          <t>Insumo</t>
        </is>
      </c>
      <c r="C850" s="10" t="inlineStr">
        <is>
          <t>Escoramento de fôrmas para Lajes com escoras de Madeira incluindo travamento, 4 utilizações.</t>
        </is>
      </c>
      <c r="D850" s="10" t="inlineStr">
        <is>
          <t>MADEIRA PINUS/SIMILAR - PONTALETE 75X75MM NBR 11700/15696</t>
        </is>
      </c>
      <c r="E850" s="11">
        <f t="array" ref="E850">_xlfn.XLOOKUP(D850,Insumos!B:B,Insumos!C:$C)</f>
        <v/>
      </c>
      <c r="F850" s="14" t="n">
        <v>0.7139500000000001</v>
      </c>
      <c r="G850" s="92">
        <f t="array" ref="G850">IF(B850="insumo",_xlfn.XLOOKUP($D850,Insumos!$B$1:$B$996,Insumos!$D$1:$D$996),"")</f>
        <v/>
      </c>
      <c r="H850" s="92" t="n">
        <v>4.99765</v>
      </c>
      <c r="I850" s="2162" t="n">
        <v>0</v>
      </c>
      <c r="J850" s="2162" t="n">
        <v>0</v>
      </c>
      <c r="K850" s="2162" t="n"/>
    </row>
    <row r="851" outlineLevel="1" ht="15.75" customHeight="1">
      <c r="A851" s="1090" t="n">
        <v>6</v>
      </c>
      <c r="B851" s="1090" t="inlineStr">
        <is>
          <t>Subetapa</t>
        </is>
      </c>
      <c r="C851" s="1090" t="inlineStr">
        <is>
          <t>Escoramento de fôrmas para Lajes com escoras de Madeira incluindo travamento, 4 utilizações.</t>
        </is>
      </c>
      <c r="D851" s="1090" t="inlineStr">
        <is>
          <t>MÃO DE OBRA</t>
        </is>
      </c>
      <c r="E851" s="1091" t="n"/>
      <c r="F851" s="2160" t="n"/>
      <c r="G851" s="1091" t="n"/>
      <c r="H851" s="1091" t="n">
        <v>0</v>
      </c>
      <c r="I851" s="2160" t="n">
        <v>0</v>
      </c>
      <c r="J851" s="2160" t="n">
        <v>0</v>
      </c>
      <c r="K851" s="2160" t="n"/>
    </row>
    <row r="852" outlineLevel="2" ht="15.75" customHeight="1">
      <c r="A852" s="1067" t="n">
        <v>1</v>
      </c>
      <c r="B852" s="1067" t="inlineStr">
        <is>
          <t>Serviço</t>
        </is>
      </c>
      <c r="C852" s="1067" t="inlineStr">
        <is>
          <t>Mão de obra para execução de supraestrutura de concreto armado</t>
        </is>
      </c>
      <c r="D852" s="1067" t="inlineStr">
        <is>
          <t>Mão de obra para execução de supraestrutura de concreto armado</t>
        </is>
      </c>
      <c r="E852" s="1068" t="inlineStr">
        <is>
          <t>M2</t>
        </is>
      </c>
      <c r="F852" s="1067" t="n"/>
      <c r="G852" s="1069">
        <f t="array" ref="G852">IF(B852="insumo",_xlfn.XLOOKUP($D852,Insumos!$B$1:$B$996,Insumos!$D$1:$D$996),"")</f>
        <v/>
      </c>
      <c r="H852" s="1069" t="n">
        <v>290</v>
      </c>
      <c r="I852" s="2161" t="n">
        <v>16</v>
      </c>
      <c r="J852" s="2161" t="n">
        <v>4640</v>
      </c>
      <c r="K852" s="2161" t="n"/>
    </row>
    <row r="853" outlineLevel="3" ht="15.75" customHeight="1">
      <c r="A853" s="10" t="n">
        <v>1</v>
      </c>
      <c r="B853" s="10" t="inlineStr">
        <is>
          <t>Insumo</t>
        </is>
      </c>
      <c r="C853" s="10" t="inlineStr">
        <is>
          <t>Mão de obra para execução de supraestrutura de concreto armado</t>
        </is>
      </c>
      <c r="D853" s="10" t="inlineStr">
        <is>
          <t>Mão de obra para execução de supraestrutura de concreto armado</t>
        </is>
      </c>
      <c r="E853" s="11">
        <f t="array" ref="E853">_xlfn.XLOOKUP(D853,Insumos!B:B,Insumos!C:$C)</f>
        <v/>
      </c>
      <c r="F853" s="14" t="n">
        <v>1</v>
      </c>
      <c r="G853" s="92">
        <f t="array" ref="G853">IF(B853="insumo",_xlfn.XLOOKUP($D853,Insumos!$B$1:$B$996,Insumos!$D$1:$D$996),"")</f>
        <v/>
      </c>
      <c r="H853" s="92" t="n">
        <v>290</v>
      </c>
      <c r="I853" s="2162" t="n">
        <v>16</v>
      </c>
      <c r="J853" s="2162" t="n">
        <v>4640</v>
      </c>
      <c r="K853" s="2162" t="n"/>
    </row>
    <row r="854" outlineLevel="2" ht="15.75" customHeight="1">
      <c r="A854" s="1067" t="n">
        <v>1</v>
      </c>
      <c r="B854" s="1067" t="inlineStr">
        <is>
          <t>Serviço</t>
        </is>
      </c>
      <c r="C854" s="1067" t="inlineStr">
        <is>
          <t>Mão de Obra Polimento de piso</t>
        </is>
      </c>
      <c r="D854" s="1067" t="inlineStr">
        <is>
          <t>Mão de Obra Polimento de piso</t>
        </is>
      </c>
      <c r="E854" s="1068" t="inlineStr">
        <is>
          <t>M2</t>
        </is>
      </c>
      <c r="F854" s="1067" t="n"/>
      <c r="G854" s="1069">
        <f t="array" ref="G854">IF(B854="insumo",_xlfn.XLOOKUP($D854,Insumos!$B$1:$B$996,Insumos!$D$1:$D$996),"")</f>
        <v/>
      </c>
      <c r="H854" s="1069" t="n">
        <v>25</v>
      </c>
      <c r="I854" s="2161" t="n">
        <v>0</v>
      </c>
      <c r="J854" s="2161" t="n">
        <v>0</v>
      </c>
      <c r="K854" s="2161" t="n"/>
    </row>
    <row r="855" outlineLevel="3" ht="15.75" customHeight="1">
      <c r="A855" s="10" t="n">
        <v>1</v>
      </c>
      <c r="B855" s="10" t="inlineStr">
        <is>
          <t>Insumo</t>
        </is>
      </c>
      <c r="C855" s="10" t="inlineStr">
        <is>
          <t>Mão de Obra Polimento de piso</t>
        </is>
      </c>
      <c r="D855" s="10" t="inlineStr">
        <is>
          <t>Mão de Obra Polimento de piso</t>
        </is>
      </c>
      <c r="E855" s="11">
        <f t="array" ref="E855">_xlfn.XLOOKUP(D855,Insumos!B:B,Insumos!C:$C)</f>
        <v/>
      </c>
      <c r="F855" s="14" t="n">
        <v>1</v>
      </c>
      <c r="G855" s="92">
        <f t="array" ref="G855">IF(B855="insumo",_xlfn.XLOOKUP($D855,Insumos!$B$1:$B$996,Insumos!$D$1:$D$996),"")</f>
        <v/>
      </c>
      <c r="H855" s="92" t="n">
        <v>25</v>
      </c>
      <c r="I855" s="2162" t="n">
        <v>0</v>
      </c>
      <c r="J855" s="2162" t="n">
        <v>0</v>
      </c>
      <c r="K855" s="2162" t="n"/>
    </row>
    <row r="856" ht="15.75" customHeight="1">
      <c r="A856" s="7" t="n">
        <v>1</v>
      </c>
      <c r="B856" s="7" t="inlineStr">
        <is>
          <t>Etapa</t>
        </is>
      </c>
      <c r="C856" s="7" t="inlineStr">
        <is>
          <t>Mão de Obra Polimento de piso</t>
        </is>
      </c>
      <c r="D856" s="7" t="inlineStr">
        <is>
          <t>ALVENARIAS E VEDAÇÕES</t>
        </is>
      </c>
      <c r="E856" s="8" t="n"/>
      <c r="F856" s="2159" t="n"/>
      <c r="G856" s="91">
        <f t="array" ref="G856">IF(B856="insumo",_xlfn.XLOOKUP($D856,Insumos!$B$1:$B$996,Insumos!$D$1:$D$996),"")</f>
        <v/>
      </c>
      <c r="H856" s="91" t="n">
        <v>0</v>
      </c>
      <c r="I856" s="2159" t="n">
        <v>0</v>
      </c>
      <c r="J856" s="2159" t="n">
        <v>0</v>
      </c>
      <c r="K856" s="2159" t="n"/>
    </row>
    <row r="857" outlineLevel="1" ht="15.75" customHeight="1">
      <c r="A857" s="1090" t="n">
        <v>1</v>
      </c>
      <c r="B857" s="1090" t="inlineStr">
        <is>
          <t>Subetapa</t>
        </is>
      </c>
      <c r="C857" s="1090" t="inlineStr">
        <is>
          <t>Mão de Obra Polimento de piso</t>
        </is>
      </c>
      <c r="D857" s="1090" t="inlineStr">
        <is>
          <t>CERAMICO</t>
        </is>
      </c>
      <c r="E857" s="1091" t="n"/>
      <c r="F857" s="2160" t="n"/>
      <c r="G857" s="1091" t="n"/>
      <c r="H857" s="1091" t="n">
        <v>0</v>
      </c>
      <c r="I857" s="2160" t="n">
        <v>0</v>
      </c>
      <c r="J857" s="2160" t="n">
        <v>0</v>
      </c>
      <c r="K857" s="2160" t="n"/>
    </row>
    <row r="858" outlineLevel="2" ht="15.75" customHeight="1">
      <c r="A858" s="1067" t="n">
        <v>1</v>
      </c>
      <c r="B858" s="1067" t="inlineStr">
        <is>
          <t>Serviço</t>
        </is>
      </c>
      <c r="C858" s="1067" t="inlineStr">
        <is>
          <t>Alvenaria de vedacao de blocos ceramicos de 9x19x19cm com argamassa industrializada de assentamento</t>
        </is>
      </c>
      <c r="D858" s="1067" t="inlineStr">
        <is>
          <t>Alvenaria de vedacao de blocos ceramicos de 9x19x19cm com argamassa industrializada de assentamento</t>
        </is>
      </c>
      <c r="E858" s="1068" t="inlineStr">
        <is>
          <t>M2</t>
        </is>
      </c>
      <c r="F858" s="1067" t="n"/>
      <c r="G858" s="1069">
        <f t="array" ref="G858">IF(B858="insumo",_xlfn.XLOOKUP($D858,Insumos!$B$1:$B$996,Insumos!$D$1:$D$996),"")</f>
        <v/>
      </c>
      <c r="H858" s="1069" t="n">
        <v>36.22</v>
      </c>
      <c r="I858" s="2161" t="n">
        <v>0</v>
      </c>
      <c r="J858" s="2161" t="n">
        <v>0</v>
      </c>
      <c r="K858" s="2161" t="n"/>
    </row>
    <row r="859" outlineLevel="3" ht="15.75" customHeight="1">
      <c r="A859" s="10" t="n">
        <v>2</v>
      </c>
      <c r="B859" s="10" t="inlineStr">
        <is>
          <t>Insumo</t>
        </is>
      </c>
      <c r="C859" s="10" t="inlineStr">
        <is>
          <t>Alvenaria de vedacao de blocos ceramicos de 9x19x19cm com argamassa industrializada de assentamento</t>
        </is>
      </c>
      <c r="D859" s="10" t="inlineStr">
        <is>
          <t>BLOCO CERÂMICO - 9X19X19cm</t>
        </is>
      </c>
      <c r="E859" s="11">
        <f t="array" ref="E859">_xlfn.XLOOKUP(D859,Insumos!B:B,Insumos!C:$C)</f>
        <v/>
      </c>
      <c r="F859" s="14">
        <f>ROUNDUP(1/(0.19*0.19),)</f>
        <v/>
      </c>
      <c r="G859" s="92">
        <f t="array" ref="G859">IF(B859="insumo",_xlfn.XLOOKUP($D859,Insumos!$B$1:$B$996,Insumos!$D$1:$D$996),"")</f>
        <v/>
      </c>
      <c r="H859" s="92" t="n">
        <v>27.72</v>
      </c>
      <c r="I859" s="2162" t="n">
        <v>0</v>
      </c>
      <c r="J859" s="2162" t="n">
        <v>0</v>
      </c>
      <c r="K859" s="2162" t="n"/>
    </row>
    <row r="860" outlineLevel="3" ht="15.75" customHeight="1">
      <c r="A860" s="10" t="n">
        <v>27</v>
      </c>
      <c r="B860" s="10" t="inlineStr">
        <is>
          <t>Insumo</t>
        </is>
      </c>
      <c r="C860" s="10" t="inlineStr">
        <is>
          <t>Alvenaria de vedacao de blocos ceramicos de 9x19x19cm com argamassa industrializada de assentamento</t>
        </is>
      </c>
      <c r="D860" s="10" t="inlineStr">
        <is>
          <t>ARGAMASSA INDUSTRIALIZADA MULTIUSO, PARA REVESTIMENTO INTERNO E EXTERNO E ASSENTAMENTO DE BLOCOS DIVERSOS</t>
        </is>
      </c>
      <c r="E860" s="11">
        <f t="array" ref="E860">_xlfn.XLOOKUP(D860,Insumos!B:B,Insumos!C:$C)</f>
        <v/>
      </c>
      <c r="F860" s="14" t="n">
        <v>0.02</v>
      </c>
      <c r="G860" s="92">
        <f t="array" ref="G860">IF(B860="insumo",_xlfn.XLOOKUP($D860,Insumos!$B$1:$B$996,Insumos!$D$1:$D$996),"")</f>
        <v/>
      </c>
      <c r="H860" s="92" t="n">
        <v>8.5</v>
      </c>
      <c r="I860" s="2162" t="n">
        <v>0</v>
      </c>
      <c r="J860" s="2162" t="n">
        <v>0</v>
      </c>
      <c r="K860" s="2162" t="n"/>
    </row>
    <row r="861" outlineLevel="2" ht="15.75" customHeight="1">
      <c r="A861" s="1067" t="n">
        <v>1</v>
      </c>
      <c r="B861" s="1067" t="inlineStr">
        <is>
          <t>Serviço</t>
        </is>
      </c>
      <c r="C861" s="1067" t="inlineStr">
        <is>
          <t>Alvenaria de vedacao de blocos ceramicos de 11,5x19x19cm com argamassa industrializada de assentamento</t>
        </is>
      </c>
      <c r="D861" s="1067" t="inlineStr">
        <is>
          <t>Alvenaria de vedacao de blocos ceramicos de 11,5x19x19cm com argamassa industrializada de assentamento</t>
        </is>
      </c>
      <c r="E861" s="1068" t="inlineStr">
        <is>
          <t>M2</t>
        </is>
      </c>
      <c r="F861" s="1067" t="n"/>
      <c r="G861" s="1069">
        <f t="array" ref="G861">IF(B861="insumo",_xlfn.XLOOKUP($D861,Insumos!$B$1:$B$996,Insumos!$D$1:$D$996),"")</f>
        <v/>
      </c>
      <c r="H861" s="1069" t="n">
        <v>43.22</v>
      </c>
      <c r="I861" s="2161" t="n">
        <v>0</v>
      </c>
      <c r="J861" s="2161" t="n">
        <v>0</v>
      </c>
      <c r="K861" s="2161" t="n"/>
    </row>
    <row r="862" outlineLevel="3" ht="15.75" customHeight="1">
      <c r="A862" s="10" t="n">
        <v>1</v>
      </c>
      <c r="B862" s="10" t="inlineStr">
        <is>
          <t>Insumo</t>
        </is>
      </c>
      <c r="C862" s="10" t="inlineStr">
        <is>
          <t>Alvenaria de vedacao de blocos ceramicos de 11,5x19x19cm com argamassa industrializada de assentamento</t>
        </is>
      </c>
      <c r="D862" s="10" t="inlineStr">
        <is>
          <t>BLOCO CERÂMICO - 11,5X19X19cm</t>
        </is>
      </c>
      <c r="E862" s="11">
        <f t="array" ref="E862">_xlfn.XLOOKUP(D862,Insumos!B:B,Insumos!C:$C)</f>
        <v/>
      </c>
      <c r="F862" s="14">
        <f>ROUNDUP(1/(0.19*0.19),)</f>
        <v/>
      </c>
      <c r="G862" s="92">
        <f t="array" ref="G862">IF(B862="insumo",_xlfn.XLOOKUP($D862,Insumos!$B$1:$B$996,Insumos!$D$1:$D$996),"")</f>
        <v/>
      </c>
      <c r="H862" s="92" t="n">
        <v>34.72</v>
      </c>
      <c r="I862" s="2162" t="n">
        <v>0</v>
      </c>
      <c r="J862" s="2162" t="n">
        <v>0</v>
      </c>
      <c r="K862" s="2162" t="n"/>
    </row>
    <row r="863" outlineLevel="3" ht="15.75" customHeight="1">
      <c r="A863" s="10" t="n">
        <v>27</v>
      </c>
      <c r="B863" s="10" t="inlineStr">
        <is>
          <t>Insumo</t>
        </is>
      </c>
      <c r="C863" s="10" t="inlineStr">
        <is>
          <t>Alvenaria de vedacao de blocos ceramicos de 11,5x19x19cm com argamassa industrializada de assentamento</t>
        </is>
      </c>
      <c r="D863" s="10" t="inlineStr">
        <is>
          <t>ARGAMASSA INDUSTRIALIZADA MULTIUSO, PARA REVESTIMENTO INTERNO E EXTERNO E ASSENTAMENTO DE BLOCOS DIVERSOS</t>
        </is>
      </c>
      <c r="E863" s="11">
        <f t="array" ref="E863">_xlfn.XLOOKUP(D863,Insumos!B:B,Insumos!C:$C)</f>
        <v/>
      </c>
      <c r="F863" s="14" t="n">
        <v>0.02</v>
      </c>
      <c r="G863" s="92">
        <f t="array" ref="G863">IF(B863="insumo",_xlfn.XLOOKUP($D863,Insumos!$B$1:$B$996,Insumos!$D$1:$D$996),"")</f>
        <v/>
      </c>
      <c r="H863" s="92" t="n">
        <v>8.5</v>
      </c>
      <c r="I863" s="2162" t="n">
        <v>0</v>
      </c>
      <c r="J863" s="2162" t="n">
        <v>0</v>
      </c>
      <c r="K863" s="2162" t="n"/>
    </row>
    <row r="864" outlineLevel="2" ht="15.75" customHeight="1">
      <c r="A864" s="1067" t="n">
        <v>1</v>
      </c>
      <c r="B864" s="1067" t="inlineStr">
        <is>
          <t>Serviço</t>
        </is>
      </c>
      <c r="C864" s="1067" t="inlineStr">
        <is>
          <t>Alvenaria de vedacao de blocos ceramicos de 14x19x19cm com argamassa industrializada de assentamento</t>
        </is>
      </c>
      <c r="D864" s="1067" t="inlineStr">
        <is>
          <t>Alvenaria de vedacao de blocos ceramicos de 14x19x19cm com argamassa industrializada de assentamento</t>
        </is>
      </c>
      <c r="E864" s="1068" t="inlineStr">
        <is>
          <t>M2</t>
        </is>
      </c>
      <c r="F864" s="1067" t="n"/>
      <c r="G864" s="1069">
        <f t="array" ref="G864">IF(B864="insumo",_xlfn.XLOOKUP($D864,Insumos!$B$1:$B$996,Insumos!$D$1:$D$996),"")</f>
        <v/>
      </c>
      <c r="H864" s="1069" t="n">
        <v>81.3</v>
      </c>
      <c r="I864" s="2161" t="n">
        <v>0</v>
      </c>
      <c r="J864" s="2161" t="n">
        <v>0</v>
      </c>
      <c r="K864" s="2161" t="n"/>
    </row>
    <row r="865" outlineLevel="3" ht="15.75" customHeight="1">
      <c r="A865" s="10" t="n">
        <v>2</v>
      </c>
      <c r="B865" s="10" t="inlineStr">
        <is>
          <t>Insumo</t>
        </is>
      </c>
      <c r="C865" s="10" t="inlineStr">
        <is>
          <t>Alvenaria de vedacao de blocos ceramicos de 14x19x19cm com argamassa industrializada de assentamento</t>
        </is>
      </c>
      <c r="D865" s="10" t="inlineStr">
        <is>
          <t>BLOCO CERÂMICO - 14X19X19cm</t>
        </is>
      </c>
      <c r="E865" s="11">
        <f t="array" ref="E865">_xlfn.XLOOKUP(D865,Insumos!B:B,Insumos!C:$C)</f>
        <v/>
      </c>
      <c r="F865" s="14">
        <f>ROUNDUP(1/(0.19*0.19),)</f>
        <v/>
      </c>
      <c r="G865" s="92">
        <f t="array" ref="G865">IF(B865="insumo",_xlfn.XLOOKUP($D865,Insumos!$B$1:$B$996,Insumos!$D$1:$D$996),"")</f>
        <v/>
      </c>
      <c r="H865" s="92" t="n">
        <v>72.8</v>
      </c>
      <c r="I865" s="2162" t="n">
        <v>0</v>
      </c>
      <c r="J865" s="2162" t="n">
        <v>0</v>
      </c>
      <c r="K865" s="2162" t="n"/>
    </row>
    <row r="866" outlineLevel="3" ht="15.75" customHeight="1">
      <c r="A866" s="10" t="n">
        <v>27</v>
      </c>
      <c r="B866" s="10" t="inlineStr">
        <is>
          <t>Insumo</t>
        </is>
      </c>
      <c r="C866" s="10" t="inlineStr">
        <is>
          <t>Alvenaria de vedacao de blocos ceramicos de 14x19x19cm com argamassa industrializada de assentamento</t>
        </is>
      </c>
      <c r="D866" s="10" t="inlineStr">
        <is>
          <t>ARGAMASSA INDUSTRIALIZADA MULTIUSO, PARA REVESTIMENTO INTERNO E EXTERNO E ASSENTAMENTO DE BLOCOS DIVERSOS</t>
        </is>
      </c>
      <c r="E866" s="11">
        <f t="array" ref="E866">_xlfn.XLOOKUP(D866,Insumos!B:B,Insumos!C:$C)</f>
        <v/>
      </c>
      <c r="F866" s="14" t="n">
        <v>0.02</v>
      </c>
      <c r="G866" s="92">
        <f t="array" ref="G866">IF(B866="insumo",_xlfn.XLOOKUP($D866,Insumos!$B$1:$B$996,Insumos!$D$1:$D$996),"")</f>
        <v/>
      </c>
      <c r="H866" s="92" t="n">
        <v>8.5</v>
      </c>
      <c r="I866" s="2162" t="n">
        <v>0</v>
      </c>
      <c r="J866" s="2162" t="n">
        <v>0</v>
      </c>
      <c r="K866" s="2162" t="n"/>
    </row>
    <row r="867" outlineLevel="2" ht="15.75" customHeight="1">
      <c r="A867" s="1067" t="n">
        <v>1</v>
      </c>
      <c r="B867" s="1067" t="inlineStr">
        <is>
          <t>Serviço</t>
        </is>
      </c>
      <c r="C867" s="1067" t="inlineStr">
        <is>
          <t>Alvenaria de vedacao de blocos ceramicos furados na horizontal de 14x19x39cm (espessura 9cm) com argamassa industrializada de assentamento</t>
        </is>
      </c>
      <c r="D867" s="1067" t="inlineStr">
        <is>
          <t>Alvenaria de vedacao de blocos ceramicos furados na horizontal de 14x19x39cm (espessura 9cm) com argamassa industrializada de assentamento</t>
        </is>
      </c>
      <c r="E867" s="1068" t="inlineStr">
        <is>
          <t>M2</t>
        </is>
      </c>
      <c r="F867" s="1067" t="n"/>
      <c r="G867" s="1069">
        <f t="array" ref="G867">IF(B867="insumo",_xlfn.XLOOKUP($D867,Insumos!$B$1:$B$996,Insumos!$D$1:$D$996),"")</f>
        <v/>
      </c>
      <c r="H867" s="1069" t="n">
        <v>28.1</v>
      </c>
      <c r="I867" s="2161" t="n">
        <v>0</v>
      </c>
      <c r="J867" s="2161" t="n">
        <v>0</v>
      </c>
      <c r="K867" s="2161" t="n"/>
    </row>
    <row r="868" outlineLevel="3" ht="15.75" customHeight="1">
      <c r="A868" s="10" t="n">
        <v>2</v>
      </c>
      <c r="B868" s="10" t="inlineStr">
        <is>
          <t>Insumo</t>
        </is>
      </c>
      <c r="C868" s="10" t="inlineStr">
        <is>
          <t>Alvenaria de vedacao de blocos ceramicos furados na horizontal de 14x19x39cm (espessura 9cm) com argamassa industrializada de assentamento</t>
        </is>
      </c>
      <c r="D868" s="10" t="inlineStr">
        <is>
          <t>BLOCO CERÂMICO - 14X19X39cm</t>
        </is>
      </c>
      <c r="E868" s="11">
        <f t="array" ref="E868">_xlfn.XLOOKUP(D868,Insumos!B:B,Insumos!C:$C)</f>
        <v/>
      </c>
      <c r="F868" s="14">
        <f>ROUNDUP(1/(0.19*0.39),)</f>
        <v/>
      </c>
      <c r="G868" s="92">
        <f t="array" ref="G868">IF(B868="insumo",_xlfn.XLOOKUP($D868,Insumos!$B$1:$B$996,Insumos!$D$1:$D$996),"")</f>
        <v/>
      </c>
      <c r="H868" s="92" t="n">
        <v>19.6</v>
      </c>
      <c r="I868" s="2162" t="n">
        <v>0</v>
      </c>
      <c r="J868" s="2162" t="n">
        <v>0</v>
      </c>
      <c r="K868" s="2162" t="n"/>
    </row>
    <row r="869" outlineLevel="3" ht="15.75" customHeight="1">
      <c r="A869" s="10" t="n">
        <v>27</v>
      </c>
      <c r="B869" s="10" t="inlineStr">
        <is>
          <t>Insumo</t>
        </is>
      </c>
      <c r="C869" s="10" t="inlineStr">
        <is>
          <t>Alvenaria de vedacao de blocos ceramicos furados na horizontal de 14x19x39cm (espessura 9cm) com argamassa industrializada de assentamento</t>
        </is>
      </c>
      <c r="D869" s="10" t="inlineStr">
        <is>
          <t>ARGAMASSA INDUSTRIALIZADA MULTIUSO, PARA REVESTIMENTO INTERNO E EXTERNO E ASSENTAMENTO DE BLOCOS DIVERSOS</t>
        </is>
      </c>
      <c r="E869" s="11">
        <f t="array" ref="E869">_xlfn.XLOOKUP(D869,Insumos!B:B,Insumos!C:$C)</f>
        <v/>
      </c>
      <c r="F869" s="14" t="n">
        <v>0.02</v>
      </c>
      <c r="G869" s="92">
        <f t="array" ref="G869">IF(B869="insumo",_xlfn.XLOOKUP($D869,Insumos!$B$1:$B$996,Insumos!$D$1:$D$996),"")</f>
        <v/>
      </c>
      <c r="H869" s="92" t="n">
        <v>8.5</v>
      </c>
      <c r="I869" s="2162" t="n">
        <v>0</v>
      </c>
      <c r="J869" s="2162" t="n">
        <v>0</v>
      </c>
      <c r="K869" s="2162" t="n"/>
    </row>
    <row r="870" outlineLevel="2" ht="15.75" customHeight="1">
      <c r="A870" s="1067" t="n">
        <v>1</v>
      </c>
      <c r="B870" s="1067" t="inlineStr">
        <is>
          <t>Serviço</t>
        </is>
      </c>
      <c r="C870" s="1067" t="inlineStr">
        <is>
          <t>Alvenaria de vedacao de blocos ceramicos de 9x19x29cm com argamassa industrializada de assentamento</t>
        </is>
      </c>
      <c r="D870" s="1067" t="inlineStr">
        <is>
          <t>Alvenaria de vedacao de blocos ceramicos de 9x19x29cm com argamassa industrializada de assentamento</t>
        </is>
      </c>
      <c r="E870" s="1068" t="inlineStr">
        <is>
          <t>M2</t>
        </is>
      </c>
      <c r="F870" s="1067" t="n"/>
      <c r="G870" s="1069">
        <f t="array" ref="G870">IF(B870="insumo",_xlfn.XLOOKUP($D870,Insumos!$B$1:$B$996,Insumos!$D$1:$D$996),"")</f>
        <v/>
      </c>
      <c r="H870" s="1069" t="n">
        <v>30.92</v>
      </c>
      <c r="I870" s="2161" t="n">
        <v>0</v>
      </c>
      <c r="J870" s="2161" t="n">
        <v>0</v>
      </c>
      <c r="K870" s="2161" t="n"/>
    </row>
    <row r="871" outlineLevel="3" ht="15.75" customHeight="1">
      <c r="A871" s="10" t="n">
        <v>1</v>
      </c>
      <c r="B871" s="10" t="inlineStr">
        <is>
          <t>Insumo</t>
        </is>
      </c>
      <c r="C871" s="10" t="inlineStr">
        <is>
          <t>Alvenaria de vedacao de blocos ceramicos de 9x19x29cm com argamassa industrializada de assentamento</t>
        </is>
      </c>
      <c r="D871" s="10" t="inlineStr">
        <is>
          <t>BLOCO DE VEDACAO CERAMICO 09X19X29 CM</t>
        </is>
      </c>
      <c r="E871" s="11">
        <f t="array" ref="E871">_xlfn.XLOOKUP(D871,Insumos!B:B,Insumos!C:$C)</f>
        <v/>
      </c>
      <c r="F871" s="14">
        <f>ROUNDUP(1/(0.19*0.29),)</f>
        <v/>
      </c>
      <c r="G871" s="92">
        <f t="array" ref="G871">IF(B871="insumo",_xlfn.XLOOKUP($D871,Insumos!$B$1:$B$996,Insumos!$D$1:$D$996),"")</f>
        <v/>
      </c>
      <c r="H871" s="92" t="n">
        <v>22.42</v>
      </c>
      <c r="I871" s="2162" t="n">
        <v>0</v>
      </c>
      <c r="J871" s="2162" t="n">
        <v>0</v>
      </c>
      <c r="K871" s="2162" t="n"/>
    </row>
    <row r="872" outlineLevel="3" ht="15.75" customHeight="1">
      <c r="A872" s="10" t="n">
        <v>27</v>
      </c>
      <c r="B872" s="10" t="inlineStr">
        <is>
          <t>Insumo</t>
        </is>
      </c>
      <c r="C872" s="10" t="inlineStr">
        <is>
          <t>Alvenaria de vedacao de blocos ceramicos de 9x19x29cm com argamassa industrializada de assentamento</t>
        </is>
      </c>
      <c r="D872" s="10" t="inlineStr">
        <is>
          <t>ARGAMASSA INDUSTRIALIZADA MULTIUSO, PARA REVESTIMENTO INTERNO E EXTERNO E ASSENTAMENTO DE BLOCOS DIVERSOS</t>
        </is>
      </c>
      <c r="E872" s="11">
        <f t="array" ref="E872">_xlfn.XLOOKUP(D872,Insumos!B:B,Insumos!C:$C)</f>
        <v/>
      </c>
      <c r="F872" s="14" t="n">
        <v>0.02</v>
      </c>
      <c r="G872" s="92">
        <f t="array" ref="G872">IF(B872="insumo",_xlfn.XLOOKUP($D872,Insumos!$B$1:$B$996,Insumos!$D$1:$D$996),"")</f>
        <v/>
      </c>
      <c r="H872" s="92" t="n">
        <v>8.5</v>
      </c>
      <c r="I872" s="2162" t="n">
        <v>0</v>
      </c>
      <c r="J872" s="2162" t="n">
        <v>0</v>
      </c>
      <c r="K872" s="2162" t="n"/>
    </row>
    <row r="873" outlineLevel="2" ht="15.75" customHeight="1">
      <c r="A873" s="1067" t="n">
        <v>1</v>
      </c>
      <c r="B873" s="1067" t="inlineStr">
        <is>
          <t>Serviço</t>
        </is>
      </c>
      <c r="C873" s="1067" t="inlineStr">
        <is>
          <t>Alvenaria de vedacao de blocos ceramicos de 11.5x19x29cm com argamassa industrializada de assentamento</t>
        </is>
      </c>
      <c r="D873" s="1067" t="inlineStr">
        <is>
          <t>Alvenaria de vedacao de blocos ceramicos de 11.5x19x29cm com argamassa industrializada de assentamento</t>
        </is>
      </c>
      <c r="E873" s="1068" t="inlineStr">
        <is>
          <t>M2</t>
        </is>
      </c>
      <c r="F873" s="1067" t="n"/>
      <c r="G873" s="1069">
        <f t="array" ref="G873">IF(B873="insumo",_xlfn.XLOOKUP($D873,Insumos!$B$1:$B$996,Insumos!$D$1:$D$996),"")</f>
        <v/>
      </c>
      <c r="H873" s="1069" t="n">
        <v>35.67</v>
      </c>
      <c r="I873" s="2161" t="n">
        <v>0</v>
      </c>
      <c r="J873" s="2161" t="n">
        <v>0</v>
      </c>
      <c r="K873" s="2161" t="n"/>
    </row>
    <row r="874" outlineLevel="3" ht="15.75" customHeight="1">
      <c r="A874" s="10" t="n">
        <v>1</v>
      </c>
      <c r="B874" s="10" t="inlineStr">
        <is>
          <t>Insumo</t>
        </is>
      </c>
      <c r="C874" s="10" t="inlineStr">
        <is>
          <t>Alvenaria de vedacao de blocos ceramicos de 11.5x19x29cm com argamassa industrializada de assentamento</t>
        </is>
      </c>
      <c r="D874" s="10" t="inlineStr">
        <is>
          <t>BLOCO DE VEDACAO CERAMICO 11,5X19X29 CM</t>
        </is>
      </c>
      <c r="E874" s="11">
        <f t="array" ref="E874">_xlfn.XLOOKUP(D874,Insumos!B:B,Insumos!C:$C)</f>
        <v/>
      </c>
      <c r="F874" s="14">
        <f>ROUNDUP(1/(0.19*0.29),)</f>
        <v/>
      </c>
      <c r="G874" s="92">
        <f t="array" ref="G874">IF(B874="insumo",_xlfn.XLOOKUP($D874,Insumos!$B$1:$B$996,Insumos!$D$1:$D$996),"")</f>
        <v/>
      </c>
      <c r="H874" s="92" t="n">
        <v>27.17</v>
      </c>
      <c r="I874" s="2162" t="n">
        <v>0</v>
      </c>
      <c r="J874" s="2162" t="n">
        <v>0</v>
      </c>
      <c r="K874" s="2162" t="n"/>
    </row>
    <row r="875" outlineLevel="3" ht="15.75" customHeight="1">
      <c r="A875" s="10" t="n">
        <v>27</v>
      </c>
      <c r="B875" s="10" t="inlineStr">
        <is>
          <t>Insumo</t>
        </is>
      </c>
      <c r="C875" s="10" t="inlineStr">
        <is>
          <t>Alvenaria de vedacao de blocos ceramicos de 11.5x19x29cm com argamassa industrializada de assentamento</t>
        </is>
      </c>
      <c r="D875" s="10" t="inlineStr">
        <is>
          <t>ARGAMASSA INDUSTRIALIZADA MULTIUSO, PARA REVESTIMENTO INTERNO E EXTERNO E ASSENTAMENTO DE BLOCOS DIVERSOS</t>
        </is>
      </c>
      <c r="E875" s="11">
        <f t="array" ref="E875">_xlfn.XLOOKUP(D875,Insumos!B:B,Insumos!C:$C)</f>
        <v/>
      </c>
      <c r="F875" s="14" t="n">
        <v>0.02</v>
      </c>
      <c r="G875" s="92">
        <f t="array" ref="G875">IF(B875="insumo",_xlfn.XLOOKUP($D875,Insumos!$B$1:$B$996,Insumos!$D$1:$D$996),"")</f>
        <v/>
      </c>
      <c r="H875" s="92" t="n">
        <v>8.5</v>
      </c>
      <c r="I875" s="2162" t="n">
        <v>0</v>
      </c>
      <c r="J875" s="2162" t="n">
        <v>0</v>
      </c>
      <c r="K875" s="2162" t="n"/>
    </row>
    <row r="876" outlineLevel="2" ht="15.75" customHeight="1">
      <c r="A876" s="1067" t="n">
        <v>1</v>
      </c>
      <c r="B876" s="1067" t="inlineStr">
        <is>
          <t>Serviço</t>
        </is>
      </c>
      <c r="C876" s="1067" t="inlineStr">
        <is>
          <t>Alvenaria de vedacao de blocos ceramicos de 14x19x29cm com argamassa industrializada de assentamento</t>
        </is>
      </c>
      <c r="D876" s="1067" t="inlineStr">
        <is>
          <t>Alvenaria de vedacao de blocos ceramicos de 14x19x29cm com argamassa industrializada de assentamento</t>
        </is>
      </c>
      <c r="E876" s="1068" t="inlineStr">
        <is>
          <t>M2</t>
        </is>
      </c>
      <c r="F876" s="1067" t="n"/>
      <c r="G876" s="1069">
        <f t="array" ref="G876">IF(B876="insumo",_xlfn.XLOOKUP($D876,Insumos!$B$1:$B$996,Insumos!$D$1:$D$996),"")</f>
        <v/>
      </c>
      <c r="H876" s="1069" t="n">
        <v>41.18</v>
      </c>
      <c r="I876" s="2161" t="n">
        <v>0</v>
      </c>
      <c r="J876" s="2161" t="n">
        <v>0</v>
      </c>
      <c r="K876" s="2161" t="n"/>
    </row>
    <row r="877" outlineLevel="3" ht="15.75" customHeight="1">
      <c r="A877" s="10" t="n">
        <v>1</v>
      </c>
      <c r="B877" s="10" t="inlineStr">
        <is>
          <t>Insumo</t>
        </is>
      </c>
      <c r="C877" s="10" t="inlineStr">
        <is>
          <t>Alvenaria de vedacao de blocos ceramicos de 14x19x29cm com argamassa industrializada de assentamento</t>
        </is>
      </c>
      <c r="D877" s="10" t="inlineStr">
        <is>
          <t>BLOCO DE VEDACAO CERAMICO 14X19X29 CM</t>
        </is>
      </c>
      <c r="E877" s="11">
        <f t="array" ref="E877">_xlfn.XLOOKUP(D877,Insumos!B:B,Insumos!C:$C)</f>
        <v/>
      </c>
      <c r="F877" s="14">
        <f>ROUNDUP(1/(0.19*0.29),)</f>
        <v/>
      </c>
      <c r="G877" s="92">
        <f t="array" ref="G877">IF(B877="insumo",_xlfn.XLOOKUP($D877,Insumos!$B$1:$B$996,Insumos!$D$1:$D$996),"")</f>
        <v/>
      </c>
      <c r="H877" s="92" t="n">
        <v>32.68</v>
      </c>
      <c r="I877" s="2162" t="n">
        <v>0</v>
      </c>
      <c r="J877" s="2162" t="n">
        <v>0</v>
      </c>
      <c r="K877" s="2162" t="n"/>
    </row>
    <row r="878" outlineLevel="3" ht="15.75" customHeight="1">
      <c r="A878" s="10" t="n">
        <v>27</v>
      </c>
      <c r="B878" s="10" t="inlineStr">
        <is>
          <t>Insumo</t>
        </is>
      </c>
      <c r="C878" s="10" t="inlineStr">
        <is>
          <t>Alvenaria de vedacao de blocos ceramicos de 14x19x29cm com argamassa industrializada de assentamento</t>
        </is>
      </c>
      <c r="D878" s="10" t="inlineStr">
        <is>
          <t>ARGAMASSA INDUSTRIALIZADA MULTIUSO, PARA REVESTIMENTO INTERNO E EXTERNO E ASSENTAMENTO DE BLOCOS DIVERSOS</t>
        </is>
      </c>
      <c r="E878" s="11">
        <f t="array" ref="E878">_xlfn.XLOOKUP(D878,Insumos!B:B,Insumos!C:$C)</f>
        <v/>
      </c>
      <c r="F878" s="14" t="n">
        <v>0.02</v>
      </c>
      <c r="G878" s="92">
        <f t="array" ref="G878">IF(B878="insumo",_xlfn.XLOOKUP($D878,Insumos!$B$1:$B$996,Insumos!$D$1:$D$996),"")</f>
        <v/>
      </c>
      <c r="H878" s="92" t="n">
        <v>8.5</v>
      </c>
      <c r="I878" s="2162" t="n">
        <v>0</v>
      </c>
      <c r="J878" s="2162" t="n">
        <v>0</v>
      </c>
      <c r="K878" s="2162" t="n"/>
    </row>
    <row r="879" outlineLevel="2" ht="12.75" customHeight="1">
      <c r="A879" s="1071" t="n">
        <v>1</v>
      </c>
      <c r="B879" s="1071" t="inlineStr">
        <is>
          <t>Serviço</t>
        </is>
      </c>
      <c r="C879" s="1071" t="inlineStr">
        <is>
          <t>Alvenaria de vedacao de blocos ceramico de 19x19x19cm com argamassa industrializada de assentamento</t>
        </is>
      </c>
      <c r="D879" s="1071" t="inlineStr">
        <is>
          <t>Alvenaria de vedacao de blocos ceramico de 19x19x19cm com argamassa industrializada de assentamento</t>
        </is>
      </c>
      <c r="E879" s="1072" t="inlineStr">
        <is>
          <t>M2</t>
        </is>
      </c>
      <c r="F879" s="1071" t="n"/>
      <c r="G879" s="1073">
        <f t="array" ref="G879">IF(B879="insumo",_xlfn.XLOOKUP($D879,Insumos!$B$1:$B$996,Insumos!$D$1:$D$996),"")</f>
        <v/>
      </c>
      <c r="H879" s="1073" t="n">
        <v>53.02</v>
      </c>
      <c r="I879" s="2163" t="n">
        <v>0</v>
      </c>
      <c r="J879" s="2163" t="n">
        <v>0</v>
      </c>
      <c r="K879" s="2163" t="n"/>
    </row>
    <row r="880" outlineLevel="3" ht="12.75" customHeight="1">
      <c r="A880" s="82" t="n">
        <v>2</v>
      </c>
      <c r="B880" s="82" t="inlineStr">
        <is>
          <t>Insumo</t>
        </is>
      </c>
      <c r="C880" s="82" t="inlineStr">
        <is>
          <t>Alvenaria de vedacao de blocos ceramico de 19x19x19cm com argamassa industrializada de assentamento</t>
        </is>
      </c>
      <c r="D880" s="82" t="inlineStr">
        <is>
          <t>BLOCO CERÂMICO - 19X19X19cm</t>
        </is>
      </c>
      <c r="E880" s="11">
        <f t="array" ref="E880">_xlfn.XLOOKUP(D880,Insumos!B:B,Insumos!C:$C)</f>
        <v/>
      </c>
      <c r="F880" s="2164">
        <f>ROUNDUP(1/(0.19*0.19),)</f>
        <v/>
      </c>
      <c r="G880" s="92">
        <f t="array" ref="G880">IF(B880="insumo",_xlfn.XLOOKUP($D880,Insumos!$B$1:$B$996,Insumos!$D$1:$D$996),"")</f>
        <v/>
      </c>
      <c r="H880" s="92" t="n">
        <v>44.52</v>
      </c>
      <c r="I880" s="2165" t="n">
        <v>0</v>
      </c>
      <c r="J880" s="2165" t="n">
        <v>0</v>
      </c>
      <c r="K880" s="2165" t="n"/>
    </row>
    <row r="881" outlineLevel="3" ht="12.75" customHeight="1">
      <c r="A881" s="82" t="n">
        <v>27</v>
      </c>
      <c r="B881" s="82" t="inlineStr">
        <is>
          <t>Insumo</t>
        </is>
      </c>
      <c r="C881" s="82" t="inlineStr">
        <is>
          <t>Alvenaria de vedacao de blocos ceramico de 19x19x19cm com argamassa industrializada de assentamento</t>
        </is>
      </c>
      <c r="D881" s="82" t="inlineStr">
        <is>
          <t>ARGAMASSA INDUSTRIALIZADA MULTIUSO, PARA REVESTIMENTO INTERNO E EXTERNO E ASSENTAMENTO DE BLOCOS DIVERSOS</t>
        </is>
      </c>
      <c r="E881" s="11">
        <f t="array" ref="E881">_xlfn.XLOOKUP(D881,Insumos!B:B,Insumos!C:$C)</f>
        <v/>
      </c>
      <c r="F881" s="2164" t="n">
        <v>0.02</v>
      </c>
      <c r="G881" s="92">
        <f t="array" ref="G881">IF(B881="insumo",_xlfn.XLOOKUP($D881,Insumos!$B$1:$B$996,Insumos!$D$1:$D$996),"")</f>
        <v/>
      </c>
      <c r="H881" s="92" t="n">
        <v>8.5</v>
      </c>
      <c r="I881" s="2165" t="n">
        <v>0</v>
      </c>
      <c r="J881" s="2165" t="n">
        <v>0</v>
      </c>
      <c r="K881" s="2165" t="n"/>
    </row>
    <row r="882" outlineLevel="2" ht="12.75" customHeight="1">
      <c r="A882" s="1071" t="n">
        <v>1</v>
      </c>
      <c r="B882" s="1071" t="inlineStr">
        <is>
          <t>Serviço</t>
        </is>
      </c>
      <c r="C882" s="1071" t="inlineStr">
        <is>
          <t>Alvenaria de vedacao de blocos ceramicos de 19x19x29cm com argamassa industrializada de assentamento</t>
        </is>
      </c>
      <c r="D882" s="1071" t="inlineStr">
        <is>
          <t>Alvenaria de vedacao de blocos ceramicos de 19x19x29cm com argamassa industrializada de assentamento</t>
        </is>
      </c>
      <c r="E882" s="1072" t="inlineStr">
        <is>
          <t>M2</t>
        </is>
      </c>
      <c r="F882" s="1071" t="n"/>
      <c r="G882" s="1073">
        <f t="array" ref="G882">IF(B882="insumo",_xlfn.XLOOKUP($D882,Insumos!$B$1:$B$996,Insumos!$D$1:$D$996),"")</f>
        <v/>
      </c>
      <c r="H882" s="1073" t="n">
        <v>52.8514285714286</v>
      </c>
      <c r="I882" s="2163" t="n">
        <v>0</v>
      </c>
      <c r="J882" s="2163" t="n">
        <v>0</v>
      </c>
      <c r="K882" s="2163" t="n"/>
    </row>
    <row r="883" outlineLevel="3" ht="12.75" customHeight="1">
      <c r="A883" s="82" t="n">
        <v>1</v>
      </c>
      <c r="B883" s="82" t="inlineStr">
        <is>
          <t>Insumo</t>
        </is>
      </c>
      <c r="C883" s="82" t="inlineStr">
        <is>
          <t>Alvenaria de vedacao de blocos ceramicos de 19x19x29cm com argamassa industrializada de assentamento</t>
        </is>
      </c>
      <c r="D883" s="82" t="inlineStr">
        <is>
          <t>BLOCO DE VEDACAO CERAMICO 19X19X29 CM</t>
        </is>
      </c>
      <c r="E883" s="11">
        <f t="array" ref="E883">_xlfn.XLOOKUP(D883,Insumos!B:B,Insumos!C:$C)</f>
        <v/>
      </c>
      <c r="F883" s="2164">
        <f>ROUNDUP(1/(0.19*0.29),)</f>
        <v/>
      </c>
      <c r="G883" s="92">
        <f t="array" ref="G883">IF(B883="insumo",_xlfn.XLOOKUP($D883,Insumos!$B$1:$B$996,Insumos!$D$1:$D$996),"")</f>
        <v/>
      </c>
      <c r="H883" s="92" t="n">
        <v>44.3514285714286</v>
      </c>
      <c r="I883" s="2165" t="n">
        <v>0</v>
      </c>
      <c r="J883" s="2165" t="n">
        <v>0</v>
      </c>
      <c r="K883" s="2165" t="n"/>
    </row>
    <row r="884" outlineLevel="3" ht="12.75" customHeight="1">
      <c r="A884" s="82" t="n">
        <v>27</v>
      </c>
      <c r="B884" s="82" t="inlineStr">
        <is>
          <t>Insumo</t>
        </is>
      </c>
      <c r="C884" s="82" t="inlineStr">
        <is>
          <t>Alvenaria de vedacao de blocos ceramicos de 19x19x29cm com argamassa industrializada de assentamento</t>
        </is>
      </c>
      <c r="D884" s="82" t="inlineStr">
        <is>
          <t>ARGAMASSA INDUSTRIALIZADA MULTIUSO, PARA REVESTIMENTO INTERNO E EXTERNO E ASSENTAMENTO DE BLOCOS DIVERSOS</t>
        </is>
      </c>
      <c r="E884" s="11">
        <f t="array" ref="E884">_xlfn.XLOOKUP(D884,Insumos!B:B,Insumos!C:$C)</f>
        <v/>
      </c>
      <c r="F884" s="2164" t="n">
        <v>0.02</v>
      </c>
      <c r="G884" s="92">
        <f t="array" ref="G884">IF(B884="insumo",_xlfn.XLOOKUP($D884,Insumos!$B$1:$B$996,Insumos!$D$1:$D$996),"")</f>
        <v/>
      </c>
      <c r="H884" s="92" t="n">
        <v>8.5</v>
      </c>
      <c r="I884" s="2165" t="n">
        <v>0</v>
      </c>
      <c r="J884" s="2165" t="n">
        <v>0</v>
      </c>
      <c r="K884" s="2165" t="n"/>
    </row>
    <row r="885" outlineLevel="2" ht="12.75" customHeight="1">
      <c r="A885" s="1071" t="n">
        <v>1</v>
      </c>
      <c r="B885" s="1071" t="inlineStr">
        <is>
          <t>Serviço</t>
        </is>
      </c>
      <c r="C885" s="1071" t="inlineStr">
        <is>
          <t>Alvenaria de vedacao de blocos ceramicos de 9x19x39cm com argamassa industrializada de assentamento</t>
        </is>
      </c>
      <c r="D885" s="1071" t="inlineStr">
        <is>
          <t>Alvenaria de vedacao de blocos ceramicos de 9x19x39cm com argamassa industrializada de assentamento</t>
        </is>
      </c>
      <c r="E885" s="1072" t="inlineStr">
        <is>
          <t>M2</t>
        </is>
      </c>
      <c r="F885" s="1071" t="n"/>
      <c r="G885" s="1073">
        <f t="array" ref="G885">IF(B885="insumo",_xlfn.XLOOKUP($D885,Insumos!$B$1:$B$996,Insumos!$D$1:$D$996),"")</f>
        <v/>
      </c>
      <c r="H885" s="1073" t="n">
        <v>22.36</v>
      </c>
      <c r="I885" s="2163" t="e">
        <v>#REF!</v>
      </c>
      <c r="J885" s="2163" t="e">
        <v>#REF!</v>
      </c>
      <c r="K885" s="2163" t="n"/>
    </row>
    <row r="886" outlineLevel="3" ht="12.75" customHeight="1">
      <c r="A886" s="82" t="n">
        <v>1</v>
      </c>
      <c r="B886" s="82" t="inlineStr">
        <is>
          <t>Insumo</t>
        </is>
      </c>
      <c r="C886" s="82" t="inlineStr">
        <is>
          <t>Alvenaria de vedacao de blocos ceramicos de 9x19x39cm com argamassa industrializada de assentamento</t>
        </is>
      </c>
      <c r="D886" s="82" t="inlineStr">
        <is>
          <t>BLOCO CERÂMICO - 9X19X39cm</t>
        </is>
      </c>
      <c r="E886" s="11">
        <f t="array" ref="E886">_xlfn.XLOOKUP(D886,Insumos!B:B,Insumos!C:$C)</f>
        <v/>
      </c>
      <c r="F886" s="2164">
        <f>ROUNDUP(1/(0.19*0.39),)</f>
        <v/>
      </c>
      <c r="G886" s="92">
        <f t="array" ref="G886">IF(B886="insumo",_xlfn.XLOOKUP($D886,Insumos!$B$1:$B$996,Insumos!$D$1:$D$996),"")</f>
        <v/>
      </c>
      <c r="H886" s="92" t="n">
        <v>13.86</v>
      </c>
      <c r="I886" s="2165" t="e">
        <v>#REF!</v>
      </c>
      <c r="J886" s="2165" t="e">
        <v>#REF!</v>
      </c>
      <c r="K886" s="2165" t="n"/>
    </row>
    <row r="887" outlineLevel="3" ht="12.75" customHeight="1">
      <c r="A887" s="82" t="n">
        <v>27</v>
      </c>
      <c r="B887" s="82" t="inlineStr">
        <is>
          <t>Insumo</t>
        </is>
      </c>
      <c r="C887" s="82" t="inlineStr">
        <is>
          <t>Alvenaria de vedacao de blocos ceramicos de 9x19x39cm com argamassa industrializada de assentamento</t>
        </is>
      </c>
      <c r="D887" s="82" t="inlineStr">
        <is>
          <t>ARGAMASSA INDUSTRIALIZADA MULTIUSO, PARA REVESTIMENTO INTERNO E EXTERNO E ASSENTAMENTO DE BLOCOS DIVERSOS</t>
        </is>
      </c>
      <c r="E887" s="11">
        <f t="array" ref="E887">_xlfn.XLOOKUP(D887,Insumos!B:B,Insumos!C:$C)</f>
        <v/>
      </c>
      <c r="F887" s="2164" t="n">
        <v>0.02</v>
      </c>
      <c r="G887" s="92">
        <f t="array" ref="G887">IF(B887="insumo",_xlfn.XLOOKUP($D887,Insumos!$B$1:$B$996,Insumos!$D$1:$D$996),"")</f>
        <v/>
      </c>
      <c r="H887" s="92" t="n">
        <v>8.5</v>
      </c>
      <c r="I887" s="2165" t="e">
        <v>#REF!</v>
      </c>
      <c r="J887" s="2165" t="e">
        <v>#REF!</v>
      </c>
      <c r="K887" s="2165" t="n"/>
    </row>
    <row r="888" outlineLevel="2" ht="12.75" customHeight="1">
      <c r="A888" s="1071" t="n">
        <v>1</v>
      </c>
      <c r="B888" s="1071" t="inlineStr">
        <is>
          <t>Serviço</t>
        </is>
      </c>
      <c r="C888" s="1071" t="inlineStr">
        <is>
          <t>Alvenaria de vedacao de blocos ceramicos de 11,5x19x39cm com argamassa industrializada de assentamento</t>
        </is>
      </c>
      <c r="D888" s="1071" t="inlineStr">
        <is>
          <t>Alvenaria de vedacao de blocos ceramicos de 11,5x19x39cm com argamassa industrializada de assentamento</t>
        </is>
      </c>
      <c r="E888" s="1072" t="inlineStr">
        <is>
          <t>M2</t>
        </is>
      </c>
      <c r="F888" s="1071" t="n"/>
      <c r="G888" s="1073">
        <f t="array" ref="G888">IF(B888="insumo",_xlfn.XLOOKUP($D888,Insumos!$B$1:$B$996,Insumos!$D$1:$D$996),"")</f>
        <v/>
      </c>
      <c r="H888" s="1073" t="n">
        <v>24.6</v>
      </c>
      <c r="I888" s="2163" t="e">
        <v>#REF!</v>
      </c>
      <c r="J888" s="2163" t="e">
        <v>#REF!</v>
      </c>
      <c r="K888" s="2163" t="n"/>
    </row>
    <row r="889" outlineLevel="3" ht="12.75" customHeight="1">
      <c r="A889" s="82" t="n">
        <v>1</v>
      </c>
      <c r="B889" s="82" t="inlineStr">
        <is>
          <t>Insumo</t>
        </is>
      </c>
      <c r="C889" s="82" t="inlineStr">
        <is>
          <t>Alvenaria de vedacao de blocos ceramicos de 11,5x19x39cm com argamassa industrializada de assentamento</t>
        </is>
      </c>
      <c r="D889" s="82" t="inlineStr">
        <is>
          <t>BLOCO CERÂMICO - 11,5X19X39cm</t>
        </is>
      </c>
      <c r="E889" s="11">
        <f t="array" ref="E889">_xlfn.XLOOKUP(D889,Insumos!B:B,Insumos!C:$C)</f>
        <v/>
      </c>
      <c r="F889" s="2164">
        <f>ROUNDUP(1/(0.19*0.39),)</f>
        <v/>
      </c>
      <c r="G889" s="92">
        <f t="array" ref="G889">IF(B889="insumo",_xlfn.XLOOKUP($D889,Insumos!$B$1:$B$996,Insumos!$D$1:$D$996),"")</f>
        <v/>
      </c>
      <c r="H889" s="92" t="n">
        <v>16.1</v>
      </c>
      <c r="I889" s="2165" t="e">
        <v>#REF!</v>
      </c>
      <c r="J889" s="2165" t="e">
        <v>#REF!</v>
      </c>
      <c r="K889" s="2165" t="n"/>
    </row>
    <row r="890" outlineLevel="3" ht="12.75" customHeight="1">
      <c r="A890" s="82" t="n">
        <v>27</v>
      </c>
      <c r="B890" s="82" t="inlineStr">
        <is>
          <t>Insumo</t>
        </is>
      </c>
      <c r="C890" s="82" t="inlineStr">
        <is>
          <t>Alvenaria de vedacao de blocos ceramicos de 11,5x19x39cm com argamassa industrializada de assentamento</t>
        </is>
      </c>
      <c r="D890" s="82" t="inlineStr">
        <is>
          <t>ARGAMASSA INDUSTRIALIZADA MULTIUSO, PARA REVESTIMENTO INTERNO E EXTERNO E ASSENTAMENTO DE BLOCOS DIVERSOS</t>
        </is>
      </c>
      <c r="E890" s="11">
        <f t="array" ref="E890">_xlfn.XLOOKUP(D890,Insumos!B:B,Insumos!C:$C)</f>
        <v/>
      </c>
      <c r="F890" s="2164" t="n">
        <v>0.02</v>
      </c>
      <c r="G890" s="92">
        <f t="array" ref="G890">IF(B890="insumo",_xlfn.XLOOKUP($D890,Insumos!$B$1:$B$996,Insumos!$D$1:$D$996),"")</f>
        <v/>
      </c>
      <c r="H890" s="92" t="n">
        <v>8.5</v>
      </c>
      <c r="I890" s="2165" t="e">
        <v>#REF!</v>
      </c>
      <c r="J890" s="2165" t="e">
        <v>#REF!</v>
      </c>
      <c r="K890" s="2165" t="n"/>
    </row>
    <row r="891" outlineLevel="2" ht="12.75" customHeight="1">
      <c r="A891" s="1071" t="n">
        <v>1</v>
      </c>
      <c r="B891" s="1071" t="inlineStr">
        <is>
          <t>Serviço</t>
        </is>
      </c>
      <c r="C891" s="1071" t="inlineStr">
        <is>
          <t>Alvenaria de vedacao de blocos ceramicos de 14x19x39cm com argamassa industrializada de assentamento</t>
        </is>
      </c>
      <c r="D891" s="1071" t="inlineStr">
        <is>
          <t>Alvenaria de vedacao de blocos ceramicos de 14x19x39cm com argamassa industrializada de assentamento</t>
        </is>
      </c>
      <c r="E891" s="1072" t="inlineStr">
        <is>
          <t>M2</t>
        </is>
      </c>
      <c r="F891" s="1071" t="n"/>
      <c r="G891" s="1073">
        <f t="array" ref="G891">IF(B891="insumo",_xlfn.XLOOKUP($D891,Insumos!$B$1:$B$996,Insumos!$D$1:$D$996),"")</f>
        <v/>
      </c>
      <c r="H891" s="1073" t="n">
        <v>28.1</v>
      </c>
      <c r="I891" s="2163" t="n">
        <v>0</v>
      </c>
      <c r="J891" s="2163" t="n">
        <v>0</v>
      </c>
      <c r="K891" s="2163" t="n"/>
    </row>
    <row r="892" outlineLevel="3" ht="12.75" customHeight="1">
      <c r="A892" s="82" t="n">
        <v>2</v>
      </c>
      <c r="B892" s="82" t="inlineStr">
        <is>
          <t>Insumo</t>
        </is>
      </c>
      <c r="C892" s="82" t="inlineStr">
        <is>
          <t>Alvenaria de vedacao de blocos ceramicos de 14x19x39cm com argamassa industrializada de assentamento</t>
        </is>
      </c>
      <c r="D892" s="82" t="inlineStr">
        <is>
          <t>BLOCO CERÂMICO - 14X19X39cm</t>
        </is>
      </c>
      <c r="E892" s="11">
        <f t="array" ref="E892">_xlfn.XLOOKUP(D892,Insumos!B:B,Insumos!C:$C)</f>
        <v/>
      </c>
      <c r="F892" s="2164">
        <f>ROUNDUP(1/(0.19*0.39),)</f>
        <v/>
      </c>
      <c r="G892" s="92">
        <f t="array" ref="G892">IF(B892="insumo",_xlfn.XLOOKUP($D892,Insumos!$B$1:$B$996,Insumos!$D$1:$D$996),"")</f>
        <v/>
      </c>
      <c r="H892" s="92" t="n">
        <v>19.6</v>
      </c>
      <c r="I892" s="2165" t="n">
        <v>0</v>
      </c>
      <c r="J892" s="2165" t="n">
        <v>0</v>
      </c>
      <c r="K892" s="2165" t="n"/>
    </row>
    <row r="893" outlineLevel="3" ht="12.75" customHeight="1">
      <c r="A893" s="82" t="n">
        <v>27</v>
      </c>
      <c r="B893" s="82" t="inlineStr">
        <is>
          <t>Insumo</t>
        </is>
      </c>
      <c r="C893" s="82" t="inlineStr">
        <is>
          <t>Alvenaria de vedacao de blocos ceramicos de 14x19x39cm com argamassa industrializada de assentamento</t>
        </is>
      </c>
      <c r="D893" s="82" t="inlineStr">
        <is>
          <t>ARGAMASSA INDUSTRIALIZADA MULTIUSO, PARA REVESTIMENTO INTERNO E EXTERNO E ASSENTAMENTO DE BLOCOS DIVERSOS</t>
        </is>
      </c>
      <c r="E893" s="11">
        <f t="array" ref="E893">_xlfn.XLOOKUP(D893,Insumos!B:B,Insumos!C:$C)</f>
        <v/>
      </c>
      <c r="F893" s="2164" t="n">
        <v>0.02</v>
      </c>
      <c r="G893" s="92">
        <f t="array" ref="G893">IF(B893="insumo",_xlfn.XLOOKUP($D893,Insumos!$B$1:$B$996,Insumos!$D$1:$D$996),"")</f>
        <v/>
      </c>
      <c r="H893" s="92" t="n">
        <v>8.5</v>
      </c>
      <c r="I893" s="2165" t="n">
        <v>0</v>
      </c>
      <c r="J893" s="2165" t="n">
        <v>0</v>
      </c>
      <c r="K893" s="2165" t="n"/>
    </row>
    <row r="894" outlineLevel="2" ht="12.75" customHeight="1">
      <c r="A894" s="1071" t="n">
        <v>1</v>
      </c>
      <c r="B894" s="1071" t="inlineStr">
        <is>
          <t>Serviço</t>
        </is>
      </c>
      <c r="C894" s="1071" t="inlineStr">
        <is>
          <t>Alvenaria de vedacao de blocos ceramicos de 19x19x39cm com argamassa industrializada de assentamento</t>
        </is>
      </c>
      <c r="D894" s="1071" t="inlineStr">
        <is>
          <t>Alvenaria de vedacao de blocos ceramicos de 19x19x39cm com argamassa industrializada de assentamento</t>
        </is>
      </c>
      <c r="E894" s="1072" t="inlineStr">
        <is>
          <t>M2</t>
        </is>
      </c>
      <c r="F894" s="1071" t="n"/>
      <c r="G894" s="1073">
        <f t="array" ref="G894">IF(B894="insumo",_xlfn.XLOOKUP($D894,Insumos!$B$1:$B$996,Insumos!$D$1:$D$996),"")</f>
        <v/>
      </c>
      <c r="H894" s="1073" t="n">
        <v>35.1</v>
      </c>
      <c r="I894" s="2163" t="e">
        <v>#REF!</v>
      </c>
      <c r="J894" s="2163" t="e">
        <v>#REF!</v>
      </c>
      <c r="K894" s="2163" t="n"/>
    </row>
    <row r="895" outlineLevel="3" ht="12.75" customHeight="1">
      <c r="A895" s="82" t="n">
        <v>1</v>
      </c>
      <c r="B895" s="82" t="inlineStr">
        <is>
          <t>Insumo</t>
        </is>
      </c>
      <c r="C895" s="82" t="inlineStr">
        <is>
          <t>Alvenaria de vedacao de blocos ceramicos de 19x19x39cm com argamassa industrializada de assentamento</t>
        </is>
      </c>
      <c r="D895" s="82" t="inlineStr">
        <is>
          <t>BLOCO CERÂMICO - 19X19X39cm</t>
        </is>
      </c>
      <c r="E895" s="11">
        <f t="array" ref="E895">_xlfn.XLOOKUP(D895,Insumos!B:B,Insumos!C:$C)</f>
        <v/>
      </c>
      <c r="F895" s="2164">
        <f>ROUNDUP(1/(0.19*0.39),)</f>
        <v/>
      </c>
      <c r="G895" s="92">
        <f t="array" ref="G895">IF(B895="insumo",_xlfn.XLOOKUP($D895,Insumos!$B$1:$B$996,Insumos!$D$1:$D$996),"")</f>
        <v/>
      </c>
      <c r="H895" s="92" t="n">
        <v>26.6</v>
      </c>
      <c r="I895" s="2165" t="e">
        <v>#REF!</v>
      </c>
      <c r="J895" s="2165" t="e">
        <v>#REF!</v>
      </c>
      <c r="K895" s="2165" t="n"/>
    </row>
    <row r="896" outlineLevel="3" ht="12.75" customHeight="1">
      <c r="A896" s="82" t="n">
        <v>27</v>
      </c>
      <c r="B896" s="82" t="inlineStr">
        <is>
          <t>Insumo</t>
        </is>
      </c>
      <c r="C896" s="82" t="inlineStr">
        <is>
          <t>Alvenaria de vedacao de blocos ceramicos de 19x19x39cm com argamassa industrializada de assentamento</t>
        </is>
      </c>
      <c r="D896" s="82" t="inlineStr">
        <is>
          <t>ARGAMASSA INDUSTRIALIZADA MULTIUSO, PARA REVESTIMENTO INTERNO E EXTERNO E ASSENTAMENTO DE BLOCOS DIVERSOS</t>
        </is>
      </c>
      <c r="E896" s="11">
        <f t="array" ref="E896">_xlfn.XLOOKUP(D896,Insumos!B:B,Insumos!C:$C)</f>
        <v/>
      </c>
      <c r="F896" s="2164" t="n">
        <v>0.02</v>
      </c>
      <c r="G896" s="92">
        <f t="array" ref="G896">IF(B896="insumo",_xlfn.XLOOKUP($D896,Insumos!$B$1:$B$996,Insumos!$D$1:$D$996),"")</f>
        <v/>
      </c>
      <c r="H896" s="92" t="n">
        <v>8.5</v>
      </c>
      <c r="I896" s="2165" t="e">
        <v>#REF!</v>
      </c>
      <c r="J896" s="2165" t="e">
        <v>#REF!</v>
      </c>
      <c r="K896" s="2165" t="n"/>
    </row>
    <row r="897" outlineLevel="2" ht="15.75" customHeight="1">
      <c r="A897" s="1067" t="n">
        <v>1</v>
      </c>
      <c r="B897" s="1067" t="inlineStr">
        <is>
          <t>Serviço</t>
        </is>
      </c>
      <c r="C897" s="1067" t="inlineStr">
        <is>
          <t>Alvenaria de vedacao de blocos ceramicos maciço de 5,5 cm x 11,5 cm x 24 cm (espessura 5cm) com argamassa industrializada de assentamento</t>
        </is>
      </c>
      <c r="D897" s="1067" t="inlineStr">
        <is>
          <t>Alvenaria de vedacao de blocos ceramicos maciço de 5,5 cm x 11,5 cm x 24 cm (espessura 5cm) com argamassa industrializada de assentamento</t>
        </is>
      </c>
      <c r="E897" s="1068" t="inlineStr">
        <is>
          <t>M2</t>
        </is>
      </c>
      <c r="F897" s="1067" t="n"/>
      <c r="G897" s="1069">
        <f t="array" ref="G897">IF(B897="insumo",_xlfn.XLOOKUP($D897,Insumos!$B$1:$B$996,Insumos!$D$1:$D$996),"")</f>
        <v/>
      </c>
      <c r="H897" s="1069" t="n">
        <v>47.35</v>
      </c>
      <c r="I897" s="2161" t="n">
        <v>0</v>
      </c>
      <c r="J897" s="2161" t="n">
        <v>0</v>
      </c>
      <c r="K897" s="2161" t="n"/>
    </row>
    <row r="898" outlineLevel="3" ht="15.75" customHeight="1">
      <c r="A898" s="10" t="n">
        <v>1</v>
      </c>
      <c r="B898" s="10" t="inlineStr">
        <is>
          <t>Insumo</t>
        </is>
      </c>
      <c r="C898" s="10" t="inlineStr">
        <is>
          <t>Alvenaria de vedacao de blocos ceramicos maciço de 5,5 cm x 11,5 cm x 24 cm (espessura 5cm) com argamassa industrializada de assentamento</t>
        </is>
      </c>
      <c r="D898" s="10" t="inlineStr">
        <is>
          <t>BLOCO DE VEDACAO CERAMICO MACIÇO 5,5X11,5X24 CM</t>
        </is>
      </c>
      <c r="E898" s="11">
        <f t="array" ref="E898">_xlfn.XLOOKUP(D898,Insumos!B:B,Insumos!C:$C)</f>
        <v/>
      </c>
      <c r="F898" s="14">
        <f>ROUNDUP(1/(0.115*0.24),)</f>
        <v/>
      </c>
      <c r="G898" s="92">
        <f t="array" ref="G898">IF(B898="insumo",_xlfn.XLOOKUP($D898,Insumos!$B$1:$B$996,Insumos!$D$1:$D$996),"")</f>
        <v/>
      </c>
      <c r="H898" s="92" t="n">
        <v>38.85</v>
      </c>
      <c r="I898" s="2162" t="n">
        <v>0</v>
      </c>
      <c r="J898" s="2162" t="n">
        <v>0</v>
      </c>
      <c r="K898" s="2162" t="n"/>
    </row>
    <row r="899" outlineLevel="3" ht="15.75" customHeight="1">
      <c r="A899" s="10" t="n">
        <v>27</v>
      </c>
      <c r="B899" s="10" t="inlineStr">
        <is>
          <t>Insumo</t>
        </is>
      </c>
      <c r="C899" s="10" t="inlineStr">
        <is>
          <t>Alvenaria de vedacao de blocos ceramicos maciço de 5,5 cm x 11,5 cm x 24 cm (espessura 5cm) com argamassa industrializada de assentamento</t>
        </is>
      </c>
      <c r="D899" s="10" t="inlineStr">
        <is>
          <t>ARGAMASSA INDUSTRIALIZADA MULTIUSO, PARA REVESTIMENTO INTERNO E EXTERNO E ASSENTAMENTO DE BLOCOS DIVERSOS</t>
        </is>
      </c>
      <c r="E899" s="11">
        <f t="array" ref="E899">_xlfn.XLOOKUP(D899,Insumos!B:B,Insumos!C:$C)</f>
        <v/>
      </c>
      <c r="F899" s="14" t="n">
        <v>0.02</v>
      </c>
      <c r="G899" s="92">
        <f t="array" ref="G899">IF(B899="insumo",_xlfn.XLOOKUP($D899,Insumos!$B$1:$B$996,Insumos!$D$1:$D$996),"")</f>
        <v/>
      </c>
      <c r="H899" s="92" t="n">
        <v>8.5</v>
      </c>
      <c r="I899" s="2162" t="n">
        <v>0</v>
      </c>
      <c r="J899" s="2162" t="n">
        <v>0</v>
      </c>
      <c r="K899" s="2162" t="n"/>
    </row>
    <row r="900" outlineLevel="2" ht="15.75" customHeight="1">
      <c r="A900" s="1067" t="n">
        <v>1</v>
      </c>
      <c r="B900" s="1067" t="inlineStr">
        <is>
          <t>Serviço</t>
        </is>
      </c>
      <c r="C900" s="1067" t="inlineStr">
        <is>
          <t>Alvenaria de vedacao de blocos ceramicos de 19x19x19cm com argamassa industrializada de assentamento</t>
        </is>
      </c>
      <c r="D900" s="1067" t="inlineStr">
        <is>
          <t>Alvenaria de vedacao de blocos ceramicos de 19x19x19cm com argamassa industrializada de assentamento</t>
        </is>
      </c>
      <c r="E900" s="1068" t="inlineStr">
        <is>
          <t>M2</t>
        </is>
      </c>
      <c r="F900" s="1067" t="n"/>
      <c r="G900" s="1069">
        <f t="array" ref="G900">IF(B900="insumo",_xlfn.XLOOKUP($D900,Insumos!$B$1:$B$996,Insumos!$D$1:$D$996),"")</f>
        <v/>
      </c>
      <c r="H900" s="1069" t="n">
        <v>53.02</v>
      </c>
      <c r="I900" s="2161" t="n">
        <v>0</v>
      </c>
      <c r="J900" s="2161" t="n">
        <v>0</v>
      </c>
      <c r="K900" s="2161" t="n"/>
    </row>
    <row r="901" outlineLevel="3" ht="15.75" customHeight="1">
      <c r="A901" s="10" t="n">
        <v>2</v>
      </c>
      <c r="B901" s="10" t="inlineStr">
        <is>
          <t>Insumo</t>
        </is>
      </c>
      <c r="C901" s="10" t="inlineStr">
        <is>
          <t>Alvenaria de vedacao de blocos ceramicos de 19x19x19cm com argamassa industrializada de assentamento</t>
        </is>
      </c>
      <c r="D901" s="10" t="inlineStr">
        <is>
          <t>BLOCO CERÂMICO - 19X19X19cm</t>
        </is>
      </c>
      <c r="E901" s="11">
        <f t="array" ref="E901">_xlfn.XLOOKUP(D901,Insumos!B:B,Insumos!C:$C)</f>
        <v/>
      </c>
      <c r="F901" s="14">
        <f>ROUNDUP(1/(0.19*0.19),)</f>
        <v/>
      </c>
      <c r="G901" s="92">
        <f t="array" ref="G901">IF(B901="insumo",_xlfn.XLOOKUP($D901,Insumos!$B$1:$B$996,Insumos!$D$1:$D$996),"")</f>
        <v/>
      </c>
      <c r="H901" s="92" t="n">
        <v>44.52</v>
      </c>
      <c r="I901" s="2162" t="n">
        <v>0</v>
      </c>
      <c r="J901" s="2162" t="n">
        <v>0</v>
      </c>
      <c r="K901" s="2162" t="n"/>
    </row>
    <row r="902" outlineLevel="3" ht="15.75" customHeight="1">
      <c r="A902" s="10" t="n">
        <v>17</v>
      </c>
      <c r="B902" s="10" t="inlineStr">
        <is>
          <t>Insumo</t>
        </is>
      </c>
      <c r="C902" s="10" t="inlineStr">
        <is>
          <t>Alvenaria de vedacao de blocos ceramicos de 19x19x19cm com argamassa industrializada de assentamento</t>
        </is>
      </c>
      <c r="D902" s="10" t="inlineStr">
        <is>
          <t>ARGAMASSA ESTABILIZADA PARA ASSENTAMENTO</t>
        </is>
      </c>
      <c r="E902" s="11">
        <f t="array" ref="E902">_xlfn.XLOOKUP(D902,Insumos!B:B,Insumos!C:$C)</f>
        <v/>
      </c>
      <c r="F902" s="14" t="n">
        <v>0.02</v>
      </c>
      <c r="G902" s="92">
        <f t="array" ref="G902">IF(B902="insumo",_xlfn.XLOOKUP($D902,Insumos!$B$1:$B$996,Insumos!$D$1:$D$996),"")</f>
        <v/>
      </c>
      <c r="H902" s="92" t="n">
        <v>8.5</v>
      </c>
      <c r="I902" s="2162" t="n">
        <v>0</v>
      </c>
      <c r="J902" s="2162" t="n">
        <v>0</v>
      </c>
      <c r="K902" s="2162" t="n"/>
    </row>
    <row r="903" outlineLevel="2" ht="15.75" customHeight="1">
      <c r="A903" s="1067" t="n">
        <v>1</v>
      </c>
      <c r="B903" s="1067" t="inlineStr">
        <is>
          <t>Serviço</t>
        </is>
      </c>
      <c r="C903" s="1067" t="inlineStr">
        <is>
          <t>Fechamento de Shaft em Alvenaria convencional de 9x19x19cm</t>
        </is>
      </c>
      <c r="D903" s="1067" t="inlineStr">
        <is>
          <t>Fechamento de Shaft em Alvenaria convencional de 9x19x19cm</t>
        </is>
      </c>
      <c r="E903" s="1068" t="inlineStr">
        <is>
          <t>M2</t>
        </is>
      </c>
      <c r="F903" s="1067" t="n"/>
      <c r="G903" s="1069">
        <f t="array" ref="G903">IF(B903="insumo",_xlfn.XLOOKUP($D903,Insumos!$B$1:$B$996,Insumos!$D$1:$D$996),"")</f>
        <v/>
      </c>
      <c r="H903" s="1069" t="n">
        <v>39.985454</v>
      </c>
      <c r="I903" s="2161" t="n">
        <v>0</v>
      </c>
      <c r="J903" s="2161" t="n">
        <v>0</v>
      </c>
      <c r="K903" s="2161" t="n"/>
    </row>
    <row r="904" outlineLevel="3" ht="15.75" customHeight="1">
      <c r="A904" s="10" t="n">
        <v>2</v>
      </c>
      <c r="B904" s="10" t="inlineStr">
        <is>
          <t>Insumo</t>
        </is>
      </c>
      <c r="C904" s="10" t="inlineStr">
        <is>
          <t>Fechamento de Shaft em Alvenaria convencional de 9x19x19cm</t>
        </is>
      </c>
      <c r="D904" s="10" t="inlineStr">
        <is>
          <t>BLOCO CERÂMICO - 9X19X19cm</t>
        </is>
      </c>
      <c r="E904" s="11">
        <f t="array" ref="E904">_xlfn.XLOOKUP(D904,Insumos!B:B,Insumos!C:$C)</f>
        <v/>
      </c>
      <c r="F904" s="14">
        <f>ROUNDUP(1/(0.19*0.19),)</f>
        <v/>
      </c>
      <c r="G904" s="92">
        <f t="array" ref="G904">IF(B904="insumo",_xlfn.XLOOKUP($D904,Insumos!$B$1:$B$996,Insumos!$D$1:$D$996),"")</f>
        <v/>
      </c>
      <c r="H904" s="92" t="n">
        <v>27.72</v>
      </c>
      <c r="I904" s="2162" t="n">
        <v>0</v>
      </c>
      <c r="J904" s="2162" t="n">
        <v>0</v>
      </c>
      <c r="K904" s="2162" t="n"/>
    </row>
    <row r="905" outlineLevel="3" ht="15.75" customHeight="1">
      <c r="A905" s="10" t="n">
        <v>27</v>
      </c>
      <c r="B905" s="10" t="inlineStr">
        <is>
          <t>Insumo</t>
        </is>
      </c>
      <c r="C905" s="10" t="inlineStr">
        <is>
          <t>Fechamento de Shaft em Alvenaria convencional de 9x19x19cm</t>
        </is>
      </c>
      <c r="D905" s="10" t="inlineStr">
        <is>
          <t>ARGAMASSA INDUSTRIALIZADA MULTIUSO, PARA REVESTIMENTO INTERNO E EXTERNO E ASSENTAMENTO DE BLOCOS DIVERSOS</t>
        </is>
      </c>
      <c r="E905" s="11">
        <f t="array" ref="E905">_xlfn.XLOOKUP(D905,Insumos!B:B,Insumos!C:$C)</f>
        <v/>
      </c>
      <c r="F905" s="14" t="n">
        <v>0.02</v>
      </c>
      <c r="G905" s="92">
        <f t="array" ref="G905">IF(B905="insumo",_xlfn.XLOOKUP($D905,Insumos!$B$1:$B$996,Insumos!$D$1:$D$996),"")</f>
        <v/>
      </c>
      <c r="H905" s="92" t="n">
        <v>8.5</v>
      </c>
      <c r="I905" s="2162" t="n">
        <v>0</v>
      </c>
      <c r="J905" s="2162" t="n">
        <v>0</v>
      </c>
      <c r="K905" s="2162" t="n"/>
    </row>
    <row r="906" outlineLevel="3" ht="15.75" customHeight="1">
      <c r="A906" s="10" t="n">
        <v>95</v>
      </c>
      <c r="B906" s="10" t="inlineStr">
        <is>
          <t>Insumo</t>
        </is>
      </c>
      <c r="C906" s="10" t="inlineStr">
        <is>
          <t>Fechamento de Shaft em Alvenaria convencional de 9x19x19cm</t>
        </is>
      </c>
      <c r="D906" s="10" t="inlineStr">
        <is>
          <t>MASSA DE REJUNTE EM PO PARA DRYWALL, A BASE DE GESSO, SECAGEM RAPIDA, PARA TRATAMENTO DE JUNTAS DE CHAPA DE GESSO (NECESSITA ADICAO DE AGUA)</t>
        </is>
      </c>
      <c r="E906" s="11">
        <f t="array" ref="E906">_xlfn.XLOOKUP(D906,Insumos!B:B,Insumos!C:$C)</f>
        <v/>
      </c>
      <c r="F906" s="14" t="n">
        <v>1.0978</v>
      </c>
      <c r="G906" s="92">
        <f t="array" ref="G906">IF(B906="insumo",_xlfn.XLOOKUP($D906,Insumos!$B$1:$B$996,Insumos!$D$1:$D$996),"")</f>
        <v/>
      </c>
      <c r="H906" s="92" t="n">
        <v>3.765454</v>
      </c>
      <c r="I906" s="2162" t="n">
        <v>0</v>
      </c>
      <c r="J906" s="2162" t="n">
        <v>0</v>
      </c>
      <c r="K906" s="2162" t="n"/>
    </row>
    <row r="907" outlineLevel="1" ht="15.75" customHeight="1">
      <c r="A907" s="1090" t="n">
        <v>5</v>
      </c>
      <c r="B907" s="1090" t="inlineStr">
        <is>
          <t>Subetapa</t>
        </is>
      </c>
      <c r="C907" s="1090" t="inlineStr">
        <is>
          <t>Fechamento de Shaft em Alvenaria convencional de 9x19x19cm</t>
        </is>
      </c>
      <c r="D907" s="1090" t="inlineStr">
        <is>
          <t>CONCRETO</t>
        </is>
      </c>
      <c r="E907" s="1091" t="n"/>
      <c r="F907" s="2160" t="n"/>
      <c r="G907" s="1091" t="n"/>
      <c r="H907" s="1091" t="n">
        <v>0</v>
      </c>
      <c r="I907" s="2160" t="n">
        <v>0</v>
      </c>
      <c r="J907" s="2160" t="n">
        <v>0</v>
      </c>
      <c r="K907" s="2160" t="n"/>
    </row>
    <row r="908" outlineLevel="2" ht="15.75" customHeight="1">
      <c r="A908" s="1067" t="n">
        <v>1</v>
      </c>
      <c r="B908" s="1067" t="inlineStr">
        <is>
          <t>Serviço</t>
        </is>
      </c>
      <c r="C908" s="1067" t="inlineStr">
        <is>
          <t>Alvenaria de vedação de blocos de concreto de 09x19x39cm, com argamassa estabilizada</t>
        </is>
      </c>
      <c r="D908" s="1067" t="inlineStr">
        <is>
          <t>Alvenaria de vedação de blocos de concreto de 09x19x39cm, com argamassa estabilizada</t>
        </is>
      </c>
      <c r="E908" s="1068" t="inlineStr">
        <is>
          <t>M2</t>
        </is>
      </c>
      <c r="F908" s="1067" t="n"/>
      <c r="G908" s="1069">
        <f t="array" ref="G908">IF(B908="insumo",_xlfn.XLOOKUP($D908,Insumos!$B$1:$B$996,Insumos!$D$1:$D$996),"")</f>
        <v/>
      </c>
      <c r="H908" s="1069" t="n">
        <v>46.3</v>
      </c>
      <c r="I908" s="2161" t="n">
        <v>0</v>
      </c>
      <c r="J908" s="2161" t="n">
        <v>0</v>
      </c>
      <c r="K908" s="2161" t="n"/>
    </row>
    <row r="909" outlineLevel="3" ht="15.75" customHeight="1">
      <c r="A909" s="10" t="n">
        <v>1</v>
      </c>
      <c r="B909" s="10" t="inlineStr">
        <is>
          <t>Insumo</t>
        </is>
      </c>
      <c r="C909" s="10" t="inlineStr">
        <is>
          <t>Alvenaria de vedação de blocos de concreto de 09x19x39cm, com argamassa estabilizada</t>
        </is>
      </c>
      <c r="D909" s="10" t="inlineStr">
        <is>
          <t>BLOCO DE VEDACAO CONCRETO 09X19X39 CM</t>
        </is>
      </c>
      <c r="E909" s="11">
        <f t="array" ref="E909">_xlfn.XLOOKUP(D909,Insumos!B:B,Insumos!C:$C)</f>
        <v/>
      </c>
      <c r="F909" s="14">
        <f>ROUNDUP(1/(0.19*0.39),)</f>
        <v/>
      </c>
      <c r="G909" s="92">
        <f t="array" ref="G909">IF(B909="insumo",_xlfn.XLOOKUP($D909,Insumos!$B$1:$B$996,Insumos!$D$1:$D$996),"")</f>
        <v/>
      </c>
      <c r="H909" s="92" t="n">
        <v>37.8</v>
      </c>
      <c r="I909" s="2162" t="n">
        <v>0</v>
      </c>
      <c r="J909" s="2162" t="n">
        <v>0</v>
      </c>
      <c r="K909" s="2162" t="n"/>
    </row>
    <row r="910" outlineLevel="3" ht="15.75" customHeight="1">
      <c r="A910" s="10" t="n">
        <v>27</v>
      </c>
      <c r="B910" s="10" t="inlineStr">
        <is>
          <t>Insumo</t>
        </is>
      </c>
      <c r="C910" s="10" t="inlineStr">
        <is>
          <t>Alvenaria de vedação de blocos de concreto de 09x19x39cm, com argamassa estabilizada</t>
        </is>
      </c>
      <c r="D910" s="10" t="inlineStr">
        <is>
          <t>ARGAMASSA INDUSTRIALIZADA MULTIUSO, PARA REVESTIMENTO INTERNO E EXTERNO E ASSENTAMENTO DE BLOCOS DIVERSOS</t>
        </is>
      </c>
      <c r="E910" s="11">
        <f t="array" ref="E910">_xlfn.XLOOKUP(D910,Insumos!B:B,Insumos!C:$C)</f>
        <v/>
      </c>
      <c r="F910" s="14" t="n">
        <v>0.02</v>
      </c>
      <c r="G910" s="92">
        <f t="array" ref="G910">IF(B910="insumo",_xlfn.XLOOKUP($D910,Insumos!$B$1:$B$996,Insumos!$D$1:$D$996),"")</f>
        <v/>
      </c>
      <c r="H910" s="92" t="n">
        <v>8.5</v>
      </c>
      <c r="I910" s="2162" t="n">
        <v>0</v>
      </c>
      <c r="J910" s="2162" t="n">
        <v>0</v>
      </c>
      <c r="K910" s="2162" t="n"/>
    </row>
    <row r="911" outlineLevel="2" ht="15.75" customHeight="1">
      <c r="A911" s="1067" t="n">
        <v>1</v>
      </c>
      <c r="B911" s="1067" t="inlineStr">
        <is>
          <t>Serviço</t>
        </is>
      </c>
      <c r="C911" s="1067" t="inlineStr">
        <is>
          <t>Alvenaria de vedação de blocos de concreto de 11,5x19x39cm, com argamassa estabilizada</t>
        </is>
      </c>
      <c r="D911" s="1067" t="inlineStr">
        <is>
          <t>Alvenaria de vedação de blocos de concreto de 11,5x19x39cm, com argamassa estabilizada</t>
        </is>
      </c>
      <c r="E911" s="1068" t="inlineStr">
        <is>
          <t>M2</t>
        </is>
      </c>
      <c r="F911" s="1067" t="n"/>
      <c r="G911" s="1069">
        <f t="array" ref="G911">IF(B911="insumo",_xlfn.XLOOKUP($D911,Insumos!$B$1:$B$996,Insumos!$D$1:$D$996),"")</f>
        <v/>
      </c>
      <c r="H911" s="1069" t="n">
        <v>56.8</v>
      </c>
      <c r="I911" s="2161" t="n">
        <v>0</v>
      </c>
      <c r="J911" s="2161" t="n">
        <v>0</v>
      </c>
      <c r="K911" s="2161" t="n"/>
    </row>
    <row r="912" outlineLevel="3" ht="15.75" customHeight="1">
      <c r="A912" s="10" t="n">
        <v>1</v>
      </c>
      <c r="B912" s="10" t="inlineStr">
        <is>
          <t>Insumo</t>
        </is>
      </c>
      <c r="C912" s="10" t="inlineStr">
        <is>
          <t>Alvenaria de vedação de blocos de concreto de 11,5x19x39cm, com argamassa estabilizada</t>
        </is>
      </c>
      <c r="D912" s="10" t="inlineStr">
        <is>
          <t>BLOCO DE VEDACAO CONCRETO 11,5X19X39 CM</t>
        </is>
      </c>
      <c r="E912" s="11">
        <f t="array" ref="E912">_xlfn.XLOOKUP(D912,Insumos!B:B,Insumos!C:$C)</f>
        <v/>
      </c>
      <c r="F912" s="14">
        <f>ROUNDUP(1/(0.19*0.39),)</f>
        <v/>
      </c>
      <c r="G912" s="92">
        <f t="array" ref="G912">IF(B912="insumo",_xlfn.XLOOKUP($D912,Insumos!$B$1:$B$996,Insumos!$D$1:$D$996),"")</f>
        <v/>
      </c>
      <c r="H912" s="92" t="n">
        <v>48.3</v>
      </c>
      <c r="I912" s="2162" t="n">
        <v>0</v>
      </c>
      <c r="J912" s="2162" t="n">
        <v>0</v>
      </c>
      <c r="K912" s="2162" t="n"/>
    </row>
    <row r="913" outlineLevel="3" ht="15.75" customHeight="1">
      <c r="A913" s="10" t="n">
        <v>27</v>
      </c>
      <c r="B913" s="10" t="inlineStr">
        <is>
          <t>Insumo</t>
        </is>
      </c>
      <c r="C913" s="10" t="inlineStr">
        <is>
          <t>Alvenaria de vedação de blocos de concreto de 11,5x19x39cm, com argamassa estabilizada</t>
        </is>
      </c>
      <c r="D913" s="10" t="inlineStr">
        <is>
          <t>ARGAMASSA INDUSTRIALIZADA MULTIUSO, PARA REVESTIMENTO INTERNO E EXTERNO E ASSENTAMENTO DE BLOCOS DIVERSOS</t>
        </is>
      </c>
      <c r="E913" s="11">
        <f t="array" ref="E913">_xlfn.XLOOKUP(D913,Insumos!B:B,Insumos!C:$C)</f>
        <v/>
      </c>
      <c r="F913" s="14" t="n">
        <v>0.02</v>
      </c>
      <c r="G913" s="92">
        <f t="array" ref="G913">IF(B913="insumo",_xlfn.XLOOKUP($D913,Insumos!$B$1:$B$996,Insumos!$D$1:$D$996),"")</f>
        <v/>
      </c>
      <c r="H913" s="92" t="n">
        <v>8.5</v>
      </c>
      <c r="I913" s="2162" t="n">
        <v>0</v>
      </c>
      <c r="J913" s="2162" t="n">
        <v>0</v>
      </c>
      <c r="K913" s="2162" t="n"/>
    </row>
    <row r="914" outlineLevel="2" ht="15.75" customHeight="1">
      <c r="A914" s="1067" t="n">
        <v>1</v>
      </c>
      <c r="B914" s="1067" t="inlineStr">
        <is>
          <t>Serviço</t>
        </is>
      </c>
      <c r="C914" s="1067" t="inlineStr">
        <is>
          <t>Alvenaria de vedação de blocos de concreto de 19x19x39cm, com argamassa estabilizada</t>
        </is>
      </c>
      <c r="D914" s="1067" t="inlineStr">
        <is>
          <t>Alvenaria de vedação de blocos de concreto de 19x19x39cm, com argamassa estabilizada</t>
        </is>
      </c>
      <c r="E914" s="1068" t="inlineStr">
        <is>
          <t>M2</t>
        </is>
      </c>
      <c r="F914" s="1067" t="n"/>
      <c r="G914" s="1069">
        <f t="array" ref="G914">IF(B914="insumo",_xlfn.XLOOKUP($D914,Insumos!$B$1:$B$996,Insumos!$D$1:$D$996),"")</f>
        <v/>
      </c>
      <c r="H914" s="1069" t="n">
        <v>88.3</v>
      </c>
      <c r="I914" s="2161" t="n">
        <v>0</v>
      </c>
      <c r="J914" s="2161" t="n">
        <v>0</v>
      </c>
      <c r="K914" s="2161" t="n"/>
    </row>
    <row r="915" outlineLevel="3" ht="15.75" customHeight="1">
      <c r="A915" s="10" t="n">
        <v>1</v>
      </c>
      <c r="B915" s="10" t="inlineStr">
        <is>
          <t>Insumo</t>
        </is>
      </c>
      <c r="C915" s="10" t="inlineStr">
        <is>
          <t>Alvenaria de vedação de blocos de concreto de 19x19x39cm, com argamassa estabilizada</t>
        </is>
      </c>
      <c r="D915" s="10" t="inlineStr">
        <is>
          <t>BLOCO DE VEDACAO CONCRETO 19X19X39 CM</t>
        </is>
      </c>
      <c r="E915" s="11">
        <f t="array" ref="E915">_xlfn.XLOOKUP(D915,Insumos!B:B,Insumos!C:$C)</f>
        <v/>
      </c>
      <c r="F915" s="14">
        <f>ROUNDUP(1/(0.19*0.39),)</f>
        <v/>
      </c>
      <c r="G915" s="92">
        <f t="array" ref="G915">IF(B915="insumo",_xlfn.XLOOKUP($D915,Insumos!$B$1:$B$996,Insumos!$D$1:$D$996),"")</f>
        <v/>
      </c>
      <c r="H915" s="92" t="n">
        <v>79.8</v>
      </c>
      <c r="I915" s="2162" t="n">
        <v>0</v>
      </c>
      <c r="J915" s="2162" t="n">
        <v>0</v>
      </c>
      <c r="K915" s="2162" t="n"/>
    </row>
    <row r="916" outlineLevel="3" ht="15.75" customHeight="1">
      <c r="A916" s="10" t="n">
        <v>27</v>
      </c>
      <c r="B916" s="10" t="inlineStr">
        <is>
          <t>Insumo</t>
        </is>
      </c>
      <c r="C916" s="10" t="inlineStr">
        <is>
          <t>Alvenaria de vedação de blocos de concreto de 19x19x39cm, com argamassa estabilizada</t>
        </is>
      </c>
      <c r="D916" s="10" t="inlineStr">
        <is>
          <t>ARGAMASSA INDUSTRIALIZADA MULTIUSO, PARA REVESTIMENTO INTERNO E EXTERNO E ASSENTAMENTO DE BLOCOS DIVERSOS</t>
        </is>
      </c>
      <c r="E916" s="11">
        <f t="array" ref="E916">_xlfn.XLOOKUP(D916,Insumos!B:B,Insumos!C:$C)</f>
        <v/>
      </c>
      <c r="F916" s="14" t="n">
        <v>0.02</v>
      </c>
      <c r="G916" s="92">
        <f t="array" ref="G916">IF(B916="insumo",_xlfn.XLOOKUP($D916,Insumos!$B$1:$B$996,Insumos!$D$1:$D$996),"")</f>
        <v/>
      </c>
      <c r="H916" s="92" t="n">
        <v>8.5</v>
      </c>
      <c r="I916" s="2162" t="n">
        <v>0</v>
      </c>
      <c r="J916" s="2162" t="n">
        <v>0</v>
      </c>
      <c r="K916" s="2162" t="n"/>
    </row>
    <row r="917" outlineLevel="1" ht="15.75" customHeight="1">
      <c r="A917" s="1090" t="n">
        <v>1</v>
      </c>
      <c r="B917" s="1090" t="inlineStr">
        <is>
          <t>Subetapa</t>
        </is>
      </c>
      <c r="C917" s="1090" t="inlineStr">
        <is>
          <t>Alvenaria de vedação de blocos de concreto de 19x19x39cm, com argamassa estabilizada</t>
        </is>
      </c>
      <c r="D917" s="1090" t="inlineStr">
        <is>
          <t>CERÂMICO CORTA FOGO</t>
        </is>
      </c>
      <c r="E917" s="1091" t="n"/>
      <c r="F917" s="2160" t="n"/>
      <c r="G917" s="1091" t="n"/>
      <c r="H917" s="1091" t="n">
        <v>0</v>
      </c>
      <c r="I917" s="2160" t="n">
        <v>0</v>
      </c>
      <c r="J917" s="2160" t="n">
        <v>0</v>
      </c>
      <c r="K917" s="2160" t="n"/>
    </row>
    <row r="918" outlineLevel="2" ht="12.75" customHeight="1">
      <c r="A918" s="1071" t="n">
        <v>1</v>
      </c>
      <c r="B918" s="1071" t="inlineStr">
        <is>
          <t>Serviço</t>
        </is>
      </c>
      <c r="C918" s="1071" t="inlineStr">
        <is>
          <t>Alvenaria de vedação de Bloco cerâmico corta-fogo de 09x19x39cm, com argamassa estabilizada</t>
        </is>
      </c>
      <c r="D918" s="1071" t="inlineStr">
        <is>
          <t>Alvenaria de vedação de Bloco cerâmico corta-fogo de 09x19x39cm, com argamassa estabilizada</t>
        </is>
      </c>
      <c r="E918" s="1072" t="inlineStr">
        <is>
          <t>M2</t>
        </is>
      </c>
      <c r="F918" s="1071" t="n"/>
      <c r="G918" s="1073">
        <f t="array" ref="G918">IF(B918="insumo",_xlfn.XLOOKUP($D918,Insumos!$B$1:$B$996,Insumos!$D$1:$D$996),"")</f>
        <v/>
      </c>
      <c r="H918" s="1073" t="n">
        <v>75.7</v>
      </c>
      <c r="I918" s="2163" t="n">
        <v>0</v>
      </c>
      <c r="J918" s="2163" t="n">
        <v>0</v>
      </c>
      <c r="K918" s="2163" t="n"/>
    </row>
    <row r="919" outlineLevel="3" ht="12.75" customHeight="1">
      <c r="A919" s="82" t="n">
        <v>1</v>
      </c>
      <c r="B919" s="82" t="inlineStr">
        <is>
          <t>Insumo</t>
        </is>
      </c>
      <c r="C919" s="82" t="inlineStr">
        <is>
          <t>Alvenaria de vedação de Bloco cerâmico corta-fogo de 09x19x39cm, com argamassa estabilizada</t>
        </is>
      </c>
      <c r="D919" s="82" t="inlineStr">
        <is>
          <t>BLOCO DE CERÂMICO CORTA-FOGO  09X19X39 CM</t>
        </is>
      </c>
      <c r="E919" s="11">
        <f t="array" ref="E919">_xlfn.XLOOKUP(D919,Insumos!B:B,Insumos!C:$C)</f>
        <v/>
      </c>
      <c r="F919" s="2164">
        <f>ROUNDUP(1/(0.19*0.39),)</f>
        <v/>
      </c>
      <c r="G919" s="92">
        <f t="array" ref="G919">IF(B919="insumo",_xlfn.XLOOKUP($D919,Insumos!$B$1:$B$996,Insumos!$D$1:$D$996),"")</f>
        <v/>
      </c>
      <c r="H919" s="92" t="n">
        <v>67.2</v>
      </c>
      <c r="I919" s="2165" t="n">
        <v>0</v>
      </c>
      <c r="J919" s="2165" t="n">
        <v>0</v>
      </c>
      <c r="K919" s="2165" t="n"/>
    </row>
    <row r="920" outlineLevel="3" ht="12.75" customHeight="1">
      <c r="A920" s="82" t="n">
        <v>27</v>
      </c>
      <c r="B920" s="82" t="inlineStr">
        <is>
          <t>Insumo</t>
        </is>
      </c>
      <c r="C920" s="82" t="inlineStr">
        <is>
          <t>Alvenaria de vedação de Bloco cerâmico corta-fogo de 09x19x39cm, com argamassa estabilizada</t>
        </is>
      </c>
      <c r="D920" s="82" t="inlineStr">
        <is>
          <t>ARGAMASSA INDUSTRIALIZADA MULTIUSO, PARA REVESTIMENTO INTERNO E EXTERNO E ASSENTAMENTO DE BLOCOS DIVERSOS</t>
        </is>
      </c>
      <c r="E920" s="11">
        <f t="array" ref="E920">_xlfn.XLOOKUP(D920,Insumos!B:B,Insumos!C:$C)</f>
        <v/>
      </c>
      <c r="F920" s="2164" t="n">
        <v>0.02</v>
      </c>
      <c r="G920" s="92">
        <f t="array" ref="G920">IF(B920="insumo",_xlfn.XLOOKUP($D920,Insumos!$B$1:$B$996,Insumos!$D$1:$D$996),"")</f>
        <v/>
      </c>
      <c r="H920" s="92" t="n">
        <v>8.5</v>
      </c>
      <c r="I920" s="2165" t="n">
        <v>0</v>
      </c>
      <c r="J920" s="2165" t="n">
        <v>0</v>
      </c>
      <c r="K920" s="2165" t="n"/>
    </row>
    <row r="921" outlineLevel="2" ht="12.75" customHeight="1">
      <c r="A921" s="1071" t="n">
        <v>1</v>
      </c>
      <c r="B921" s="1071" t="inlineStr">
        <is>
          <t>Serviço</t>
        </is>
      </c>
      <c r="C921" s="1071" t="inlineStr">
        <is>
          <t>Alvenaria de vedação de Bloco cerâmico corta-fogo de 14x19x39cm, com argamassa estabilizada</t>
        </is>
      </c>
      <c r="D921" s="1071" t="inlineStr">
        <is>
          <t>Alvenaria de vedação de Bloco cerâmico corta-fogo de 14x19x39cm, com argamassa estabilizada</t>
        </is>
      </c>
      <c r="E921" s="1072" t="inlineStr">
        <is>
          <t>M2</t>
        </is>
      </c>
      <c r="F921" s="1071" t="n"/>
      <c r="G921" s="1073">
        <f t="array" ref="G921">IF(B921="insumo",_xlfn.XLOOKUP($D921,Insumos!$B$1:$B$996,Insumos!$D$1:$D$996),"")</f>
        <v/>
      </c>
      <c r="H921" s="1073" t="n">
        <v>103.7</v>
      </c>
      <c r="I921" s="2163" t="n">
        <v>0</v>
      </c>
      <c r="J921" s="2163" t="n">
        <v>0</v>
      </c>
      <c r="K921" s="2163" t="n"/>
    </row>
    <row r="922" outlineLevel="3" ht="12.75" customHeight="1">
      <c r="A922" s="82" t="n">
        <v>1</v>
      </c>
      <c r="B922" s="82" t="inlineStr">
        <is>
          <t>Insumo</t>
        </is>
      </c>
      <c r="C922" s="82" t="inlineStr">
        <is>
          <t>Alvenaria de vedação de Bloco cerâmico corta-fogo de 14x19x39cm, com argamassa estabilizada</t>
        </is>
      </c>
      <c r="D922" s="82" t="inlineStr">
        <is>
          <t>BLOCO DE CERÂMICO CORTA-FOGO  14X19X39 CM</t>
        </is>
      </c>
      <c r="E922" s="11">
        <f t="array" ref="E922">_xlfn.XLOOKUP(D922,Insumos!B:B,Insumos!C:$C)</f>
        <v/>
      </c>
      <c r="F922" s="2164">
        <f>ROUNDUP(1/(0.19*0.39),)</f>
        <v/>
      </c>
      <c r="G922" s="92">
        <f t="array" ref="G922">IF(B922="insumo",_xlfn.XLOOKUP($D922,Insumos!$B$1:$B$996,Insumos!$D$1:$D$996),"")</f>
        <v/>
      </c>
      <c r="H922" s="92" t="n">
        <v>95.2</v>
      </c>
      <c r="I922" s="2165" t="n">
        <v>0</v>
      </c>
      <c r="J922" s="2165" t="n">
        <v>0</v>
      </c>
      <c r="K922" s="2165" t="n"/>
    </row>
    <row r="923" outlineLevel="3" ht="12.75" customHeight="1">
      <c r="A923" s="82" t="n">
        <v>27</v>
      </c>
      <c r="B923" s="82" t="inlineStr">
        <is>
          <t>Insumo</t>
        </is>
      </c>
      <c r="C923" s="82" t="inlineStr">
        <is>
          <t>Alvenaria de vedação de Bloco cerâmico corta-fogo de 14x19x39cm, com argamassa estabilizada</t>
        </is>
      </c>
      <c r="D923" s="82" t="inlineStr">
        <is>
          <t>ARGAMASSA INDUSTRIALIZADA MULTIUSO, PARA REVESTIMENTO INTERNO E EXTERNO E ASSENTAMENTO DE BLOCOS DIVERSOS</t>
        </is>
      </c>
      <c r="E923" s="11">
        <f t="array" ref="E923">_xlfn.XLOOKUP(D923,Insumos!B:B,Insumos!C:$C)</f>
        <v/>
      </c>
      <c r="F923" s="2164" t="n">
        <v>0.02</v>
      </c>
      <c r="G923" s="92">
        <f t="array" ref="G923">IF(B923="insumo",_xlfn.XLOOKUP($D923,Insumos!$B$1:$B$996,Insumos!$D$1:$D$996),"")</f>
        <v/>
      </c>
      <c r="H923" s="92" t="n">
        <v>8.5</v>
      </c>
      <c r="I923" s="2165" t="n">
        <v>0</v>
      </c>
      <c r="J923" s="2165" t="n">
        <v>0</v>
      </c>
      <c r="K923" s="2165" t="n"/>
    </row>
    <row r="924" outlineLevel="2" ht="12.75" customHeight="1">
      <c r="A924" s="1071" t="n">
        <v>1</v>
      </c>
      <c r="B924" s="1071" t="inlineStr">
        <is>
          <t>Serviço</t>
        </is>
      </c>
      <c r="C924" s="1071" t="inlineStr">
        <is>
          <t>Alvenaria de vedação de Bloco cerâmico corta-fogo com densidade acustica reforçada de 14x19x39cm, com argamassa estabilizada</t>
        </is>
      </c>
      <c r="D924" s="1071" t="inlineStr">
        <is>
          <t>Alvenaria de vedação de Bloco cerâmico corta-fogo com densidade acustica reforçada de 14x19x39cm, com argamassa estabilizada</t>
        </is>
      </c>
      <c r="E924" s="1072" t="inlineStr">
        <is>
          <t>M2</t>
        </is>
      </c>
      <c r="F924" s="1071" t="n"/>
      <c r="G924" s="1073">
        <f t="array" ref="G924">IF(B924="insumo",_xlfn.XLOOKUP($D924,Insumos!$B$1:$B$996,Insumos!$D$1:$D$996),"")</f>
        <v/>
      </c>
      <c r="H924" s="1073" t="n">
        <v>145.7</v>
      </c>
      <c r="I924" s="2163" t="n">
        <v>0</v>
      </c>
      <c r="J924" s="2163" t="n">
        <v>0</v>
      </c>
      <c r="K924" s="2163" t="n"/>
    </row>
    <row r="925" outlineLevel="3" ht="12.75" customHeight="1">
      <c r="A925" s="82" t="n">
        <v>1</v>
      </c>
      <c r="B925" s="82" t="inlineStr">
        <is>
          <t>Insumo</t>
        </is>
      </c>
      <c r="C925" s="82" t="inlineStr">
        <is>
          <t>Alvenaria de vedação de Bloco cerâmico corta-fogo com densidade acustica reforçada de 14x19x39cm, com argamassa estabilizada</t>
        </is>
      </c>
      <c r="D925" s="82" t="inlineStr">
        <is>
          <t>BLOCO DE CERÂMICO CORTA-FOGO ACUSTICA REFORÇADO  14X19X39 CM</t>
        </is>
      </c>
      <c r="E925" s="11">
        <f t="array" ref="E925">_xlfn.XLOOKUP(D925,Insumos!B:B,Insumos!C:$C)</f>
        <v/>
      </c>
      <c r="F925" s="2164">
        <f>ROUNDUP(1/(0.19*0.39),)</f>
        <v/>
      </c>
      <c r="G925" s="92">
        <f t="array" ref="G925">IF(B925="insumo",_xlfn.XLOOKUP($D925,Insumos!$B$1:$B$996,Insumos!$D$1:$D$996),"")</f>
        <v/>
      </c>
      <c r="H925" s="92" t="n">
        <v>137.2</v>
      </c>
      <c r="I925" s="2165" t="n">
        <v>0</v>
      </c>
      <c r="J925" s="2165" t="n">
        <v>0</v>
      </c>
      <c r="K925" s="2165" t="n"/>
    </row>
    <row r="926" outlineLevel="3" ht="12.75" customHeight="1">
      <c r="A926" s="82" t="n">
        <v>27</v>
      </c>
      <c r="B926" s="82" t="inlineStr">
        <is>
          <t>Insumo</t>
        </is>
      </c>
      <c r="C926" s="82" t="inlineStr">
        <is>
          <t>Alvenaria de vedação de Bloco cerâmico corta-fogo com densidade acustica reforçada de 14x19x39cm, com argamassa estabilizada</t>
        </is>
      </c>
      <c r="D926" s="82" t="inlineStr">
        <is>
          <t>ARGAMASSA INDUSTRIALIZADA MULTIUSO, PARA REVESTIMENTO INTERNO E EXTERNO E ASSENTAMENTO DE BLOCOS DIVERSOS</t>
        </is>
      </c>
      <c r="E926" s="11">
        <f t="array" ref="E926">_xlfn.XLOOKUP(D926,Insumos!B:B,Insumos!C:$C)</f>
        <v/>
      </c>
      <c r="F926" s="2164" t="n">
        <v>0.02</v>
      </c>
      <c r="G926" s="92">
        <f t="array" ref="G926">IF(B926="insumo",_xlfn.XLOOKUP($D926,Insumos!$B$1:$B$996,Insumos!$D$1:$D$996),"")</f>
        <v/>
      </c>
      <c r="H926" s="92" t="n">
        <v>8.5</v>
      </c>
      <c r="I926" s="2165" t="n">
        <v>0</v>
      </c>
      <c r="J926" s="2165" t="n">
        <v>0</v>
      </c>
      <c r="K926" s="2165" t="n"/>
    </row>
    <row r="927" outlineLevel="2" ht="12.75" customHeight="1">
      <c r="A927" s="1071" t="n">
        <v>1</v>
      </c>
      <c r="B927" s="1071" t="inlineStr">
        <is>
          <t>Serviço</t>
        </is>
      </c>
      <c r="C927" s="1071" t="inlineStr">
        <is>
          <t>Alvenaria de vedação de Bloco cerâmico corta-fogo de 19x19x39cm, com argamassa estabilizada</t>
        </is>
      </c>
      <c r="D927" s="1071" t="inlineStr">
        <is>
          <t>Alvenaria de vedação de Bloco cerâmico corta-fogo de 19x19x39cm, com argamassa estabilizada</t>
        </is>
      </c>
      <c r="E927" s="1072" t="inlineStr">
        <is>
          <t>M2</t>
        </is>
      </c>
      <c r="F927" s="1071" t="n"/>
      <c r="G927" s="1073">
        <f t="array" ref="G927">IF(B927="insumo",_xlfn.XLOOKUP($D927,Insumos!$B$1:$B$996,Insumos!$D$1:$D$996),"")</f>
        <v/>
      </c>
      <c r="H927" s="1073" t="n">
        <v>127.5</v>
      </c>
      <c r="I927" s="2163" t="e">
        <v>#REF!</v>
      </c>
      <c r="J927" s="2163" t="e">
        <v>#REF!</v>
      </c>
      <c r="K927" s="2163" t="n"/>
    </row>
    <row r="928" outlineLevel="3" ht="12.75" customHeight="1">
      <c r="A928" s="82" t="n">
        <v>1</v>
      </c>
      <c r="B928" s="82" t="inlineStr">
        <is>
          <t>Insumo</t>
        </is>
      </c>
      <c r="C928" s="82" t="inlineStr">
        <is>
          <t>Alvenaria de vedação de Bloco cerâmico corta-fogo de 19x19x39cm, com argamassa estabilizada</t>
        </is>
      </c>
      <c r="D928" s="82" t="inlineStr">
        <is>
          <t>BLOCO DE CERÂMICO CORTA-FOGO  19X19X39 CM</t>
        </is>
      </c>
      <c r="E928" s="11">
        <f t="array" ref="E928">_xlfn.XLOOKUP(D928,Insumos!B:B,Insumos!C:$C)</f>
        <v/>
      </c>
      <c r="F928" s="2164">
        <f>ROUNDUP(1/(0.19*0.39),)</f>
        <v/>
      </c>
      <c r="G928" s="92">
        <f t="array" ref="G928">IF(B928="insumo",_xlfn.XLOOKUP($D928,Insumos!$B$1:$B$996,Insumos!$D$1:$D$996),"")</f>
        <v/>
      </c>
      <c r="H928" s="92" t="n">
        <v>119</v>
      </c>
      <c r="I928" s="2165" t="e">
        <v>#REF!</v>
      </c>
      <c r="J928" s="2165" t="e">
        <v>#REF!</v>
      </c>
      <c r="K928" s="2165" t="n"/>
    </row>
    <row r="929" outlineLevel="3" ht="12.75" customHeight="1">
      <c r="A929" s="82" t="n">
        <v>27</v>
      </c>
      <c r="B929" s="82" t="inlineStr">
        <is>
          <t>Insumo</t>
        </is>
      </c>
      <c r="C929" s="82" t="inlineStr">
        <is>
          <t>Alvenaria de vedação de Bloco cerâmico corta-fogo de 19x19x39cm, com argamassa estabilizada</t>
        </is>
      </c>
      <c r="D929" s="82" t="inlineStr">
        <is>
          <t>ARGAMASSA INDUSTRIALIZADA MULTIUSO, PARA REVESTIMENTO INTERNO E EXTERNO E ASSENTAMENTO DE BLOCOS DIVERSOS</t>
        </is>
      </c>
      <c r="E929" s="11">
        <f t="array" ref="E929">_xlfn.XLOOKUP(D929,Insumos!B:B,Insumos!C:$C)</f>
        <v/>
      </c>
      <c r="F929" s="2164" t="n">
        <v>0.02</v>
      </c>
      <c r="G929" s="92">
        <f t="array" ref="G929">IF(B929="insumo",_xlfn.XLOOKUP($D929,Insumos!$B$1:$B$996,Insumos!$D$1:$D$996),"")</f>
        <v/>
      </c>
      <c r="H929" s="92" t="n">
        <v>8.5</v>
      </c>
      <c r="I929" s="2165" t="e">
        <v>#REF!</v>
      </c>
      <c r="J929" s="2165" t="e">
        <v>#REF!</v>
      </c>
      <c r="K929" s="2165" t="n"/>
    </row>
    <row r="930" outlineLevel="1" ht="15.75" customHeight="1">
      <c r="A930" s="1090" t="n">
        <v>1</v>
      </c>
      <c r="B930" s="1090" t="inlineStr">
        <is>
          <t>Subetapa</t>
        </is>
      </c>
      <c r="C930" s="1090" t="inlineStr">
        <is>
          <t>Alvenaria de vedação de Bloco cerâmico corta-fogo de 19x19x39cm, com argamassa estabilizada</t>
        </is>
      </c>
      <c r="D930" s="1090" t="inlineStr">
        <is>
          <t>CONCRETO CORTA FOGO</t>
        </is>
      </c>
      <c r="E930" s="1091" t="n"/>
      <c r="F930" s="2160" t="n"/>
      <c r="G930" s="1091" t="n"/>
      <c r="H930" s="1091" t="n">
        <v>0</v>
      </c>
      <c r="I930" s="2160" t="n">
        <v>0</v>
      </c>
      <c r="J930" s="2160" t="n">
        <v>0</v>
      </c>
      <c r="K930" s="2160" t="n"/>
    </row>
    <row r="931" outlineLevel="2" ht="12.75" customHeight="1">
      <c r="A931" s="1071" t="n">
        <v>1</v>
      </c>
      <c r="B931" s="1071" t="inlineStr">
        <is>
          <t>Serviço</t>
        </is>
      </c>
      <c r="C931" s="1071" t="inlineStr">
        <is>
          <t>Alvenaria de vedação de Bloco concreto corta-fogo de 09x19x39cm, com argamassa estabilizada</t>
        </is>
      </c>
      <c r="D931" s="1071" t="inlineStr">
        <is>
          <t>Alvenaria de vedação de Bloco concreto corta-fogo de 09x19x39cm, com argamassa estabilizada</t>
        </is>
      </c>
      <c r="E931" s="1072" t="inlineStr">
        <is>
          <t>M2</t>
        </is>
      </c>
      <c r="F931" s="1071" t="n"/>
      <c r="G931" s="1073">
        <f t="array" ref="G931">IF(B931="insumo",_xlfn.XLOOKUP($D931,Insumos!$B$1:$B$996,Insumos!$D$1:$D$996),"")</f>
        <v/>
      </c>
      <c r="H931" s="1073" t="n">
        <v>71.5</v>
      </c>
      <c r="I931" s="2163" t="n">
        <v>0</v>
      </c>
      <c r="J931" s="2163" t="n">
        <v>0</v>
      </c>
      <c r="K931" s="2163" t="n"/>
    </row>
    <row r="932" outlineLevel="3" ht="12.75" customHeight="1">
      <c r="A932" s="82" t="n">
        <v>1</v>
      </c>
      <c r="B932" s="82" t="inlineStr">
        <is>
          <t>Insumo</t>
        </is>
      </c>
      <c r="C932" s="82" t="inlineStr">
        <is>
          <t>Alvenaria de vedação de Bloco concreto corta-fogo de 09x19x39cm, com argamassa estabilizada</t>
        </is>
      </c>
      <c r="D932" s="82" t="inlineStr">
        <is>
          <t>BLOCO DE concreto CORTA-FOGO  09X19X39 CM</t>
        </is>
      </c>
      <c r="E932" s="11">
        <f t="array" ref="E932">_xlfn.XLOOKUP(D932,Insumos!B:B,Insumos!C:$C)</f>
        <v/>
      </c>
      <c r="F932" s="2164">
        <f>ROUNDUP(1/(0.19*0.39),)</f>
        <v/>
      </c>
      <c r="G932" s="92">
        <f t="array" ref="G932">IF(B932="insumo",_xlfn.XLOOKUP($D932,Insumos!$B$1:$B$996,Insumos!$D$1:$D$996),"")</f>
        <v/>
      </c>
      <c r="H932" s="92" t="n">
        <v>63</v>
      </c>
      <c r="I932" s="2165" t="n">
        <v>0</v>
      </c>
      <c r="J932" s="2165" t="n">
        <v>0</v>
      </c>
      <c r="K932" s="2165" t="n"/>
    </row>
    <row r="933" outlineLevel="3" ht="12.75" customHeight="1">
      <c r="A933" s="82" t="n">
        <v>27</v>
      </c>
      <c r="B933" s="82" t="inlineStr">
        <is>
          <t>Insumo</t>
        </is>
      </c>
      <c r="C933" s="82" t="inlineStr">
        <is>
          <t>Alvenaria de vedação de Bloco concreto corta-fogo de 09x19x39cm, com argamassa estabilizada</t>
        </is>
      </c>
      <c r="D933" s="82" t="inlineStr">
        <is>
          <t>ARGAMASSA INDUSTRIALIZADA MULTIUSO, PARA REVESTIMENTO INTERNO E EXTERNO E ASSENTAMENTO DE BLOCOS DIVERSOS</t>
        </is>
      </c>
      <c r="E933" s="11">
        <f t="array" ref="E933">_xlfn.XLOOKUP(D933,Insumos!B:B,Insumos!C:$C)</f>
        <v/>
      </c>
      <c r="F933" s="2164" t="n">
        <v>0.02</v>
      </c>
      <c r="G933" s="92">
        <f t="array" ref="G933">IF(B933="insumo",_xlfn.XLOOKUP($D933,Insumos!$B$1:$B$996,Insumos!$D$1:$D$996),"")</f>
        <v/>
      </c>
      <c r="H933" s="92" t="n">
        <v>8.5</v>
      </c>
      <c r="I933" s="2165" t="n">
        <v>0</v>
      </c>
      <c r="J933" s="2165" t="n">
        <v>0</v>
      </c>
      <c r="K933" s="2165" t="n"/>
    </row>
    <row r="934" outlineLevel="2" ht="12.75" customHeight="1">
      <c r="A934" s="1071" t="n">
        <v>1</v>
      </c>
      <c r="B934" s="1071" t="inlineStr">
        <is>
          <t>Serviço</t>
        </is>
      </c>
      <c r="C934" s="1071" t="inlineStr">
        <is>
          <t>Alvenaria de vedação de Bloco concreto corta-fogo de 14x19x39cm, com argamassa estabilizada</t>
        </is>
      </c>
      <c r="D934" s="1071" t="inlineStr">
        <is>
          <t>Alvenaria de vedação de Bloco concreto corta-fogo de 14x19x39cm, com argamassa estabilizada</t>
        </is>
      </c>
      <c r="E934" s="1072" t="inlineStr">
        <is>
          <t>M2</t>
        </is>
      </c>
      <c r="F934" s="1071" t="n"/>
      <c r="G934" s="1073">
        <f t="array" ref="G934">IF(B934="insumo",_xlfn.XLOOKUP($D934,Insumos!$B$1:$B$996,Insumos!$D$1:$D$996),"")</f>
        <v/>
      </c>
      <c r="H934" s="1073" t="n">
        <v>99.5</v>
      </c>
      <c r="I934" s="2163" t="n">
        <v>0</v>
      </c>
      <c r="J934" s="2163" t="n">
        <v>0</v>
      </c>
      <c r="K934" s="2163" t="n"/>
    </row>
    <row r="935" outlineLevel="3" ht="12.75" customHeight="1">
      <c r="A935" s="82" t="n">
        <v>1</v>
      </c>
      <c r="B935" s="82" t="inlineStr">
        <is>
          <t>Insumo</t>
        </is>
      </c>
      <c r="C935" s="82" t="inlineStr">
        <is>
          <t>Alvenaria de vedação de Bloco concreto corta-fogo de 14x19x39cm, com argamassa estabilizada</t>
        </is>
      </c>
      <c r="D935" s="82" t="inlineStr">
        <is>
          <t>BLOCO DE concreto CORTA-FOGO  14X19X39 CM</t>
        </is>
      </c>
      <c r="E935" s="11">
        <f t="array" ref="E935">_xlfn.XLOOKUP(D935,Insumos!B:B,Insumos!C:$C)</f>
        <v/>
      </c>
      <c r="F935" s="2164">
        <f>ROUNDUP(1/(0.19*0.39),)</f>
        <v/>
      </c>
      <c r="G935" s="92">
        <f t="array" ref="G935">IF(B935="insumo",_xlfn.XLOOKUP($D935,Insumos!$B$1:$B$996,Insumos!$D$1:$D$996),"")</f>
        <v/>
      </c>
      <c r="H935" s="92" t="n">
        <v>91</v>
      </c>
      <c r="I935" s="2165" t="n">
        <v>0</v>
      </c>
      <c r="J935" s="2165" t="n">
        <v>0</v>
      </c>
      <c r="K935" s="2165" t="n"/>
    </row>
    <row r="936" outlineLevel="3" ht="12.75" customHeight="1">
      <c r="A936" s="82" t="n">
        <v>27</v>
      </c>
      <c r="B936" s="82" t="inlineStr">
        <is>
          <t>Insumo</t>
        </is>
      </c>
      <c r="C936" s="82" t="inlineStr">
        <is>
          <t>Alvenaria de vedação de Bloco concreto corta-fogo de 14x19x39cm, com argamassa estabilizada</t>
        </is>
      </c>
      <c r="D936" s="82" t="inlineStr">
        <is>
          <t>ARGAMASSA INDUSTRIALIZADA MULTIUSO, PARA REVESTIMENTO INTERNO E EXTERNO E ASSENTAMENTO DE BLOCOS DIVERSOS</t>
        </is>
      </c>
      <c r="E936" s="11">
        <f t="array" ref="E936">_xlfn.XLOOKUP(D936,Insumos!B:B,Insumos!C:$C)</f>
        <v/>
      </c>
      <c r="F936" s="2164" t="n">
        <v>0.02</v>
      </c>
      <c r="G936" s="92">
        <f t="array" ref="G936">IF(B936="insumo",_xlfn.XLOOKUP($D936,Insumos!$B$1:$B$996,Insumos!$D$1:$D$996),"")</f>
        <v/>
      </c>
      <c r="H936" s="92" t="n">
        <v>8.5</v>
      </c>
      <c r="I936" s="2165" t="n">
        <v>0</v>
      </c>
      <c r="J936" s="2165" t="n">
        <v>0</v>
      </c>
      <c r="K936" s="2165" t="n"/>
    </row>
    <row r="937" outlineLevel="2" ht="12.75" customHeight="1">
      <c r="A937" s="1071" t="n">
        <v>1</v>
      </c>
      <c r="B937" s="1071" t="inlineStr">
        <is>
          <t>Serviço</t>
        </is>
      </c>
      <c r="C937" s="1071" t="inlineStr">
        <is>
          <t>Alvenaria de vedação de Bloco concreto corta-fogo com densidade acustica reforçada de 14x19x39cm, com argamassa estabilizada</t>
        </is>
      </c>
      <c r="D937" s="1071" t="inlineStr">
        <is>
          <t>Alvenaria de vedação de Bloco concreto corta-fogo com densidade acustica reforçada de 14x19x39cm, com argamassa estabilizada</t>
        </is>
      </c>
      <c r="E937" s="1072" t="inlineStr">
        <is>
          <t>M2</t>
        </is>
      </c>
      <c r="F937" s="1071" t="n"/>
      <c r="G937" s="1073">
        <f t="array" ref="G937">IF(B937="insumo",_xlfn.XLOOKUP($D937,Insumos!$B$1:$B$996,Insumos!$D$1:$D$996),"")</f>
        <v/>
      </c>
      <c r="H937" s="1073" t="n">
        <v>148.5</v>
      </c>
      <c r="I937" s="2163" t="n">
        <v>0</v>
      </c>
      <c r="J937" s="2163" t="n">
        <v>0</v>
      </c>
      <c r="K937" s="2163" t="n"/>
    </row>
    <row r="938" outlineLevel="3" ht="12.75" customHeight="1">
      <c r="A938" s="82" t="n">
        <v>1</v>
      </c>
      <c r="B938" s="82" t="inlineStr">
        <is>
          <t>Insumo</t>
        </is>
      </c>
      <c r="C938" s="82" t="inlineStr">
        <is>
          <t>Alvenaria de vedação de Bloco concreto corta-fogo com densidade acustica reforçada de 14x19x39cm, com argamassa estabilizada</t>
        </is>
      </c>
      <c r="D938" s="82" t="inlineStr">
        <is>
          <t>BLOCO DE concreto CORTA-FOGO ACUSTICA REFORÇADO  14X19X39 CM</t>
        </is>
      </c>
      <c r="E938" s="11">
        <f t="array" ref="E938">_xlfn.XLOOKUP(D938,Insumos!B:B,Insumos!C:$C)</f>
        <v/>
      </c>
      <c r="F938" s="2164">
        <f>ROUNDUP(1/(0.19*0.39),)</f>
        <v/>
      </c>
      <c r="G938" s="92">
        <f t="array" ref="G938">IF(B938="insumo",_xlfn.XLOOKUP($D938,Insumos!$B$1:$B$996,Insumos!$D$1:$D$996),"")</f>
        <v/>
      </c>
      <c r="H938" s="92" t="n">
        <v>140</v>
      </c>
      <c r="I938" s="2165" t="n">
        <v>0</v>
      </c>
      <c r="J938" s="2165" t="n">
        <v>0</v>
      </c>
      <c r="K938" s="2165" t="n"/>
    </row>
    <row r="939" outlineLevel="3" ht="12.75" customHeight="1">
      <c r="A939" s="82" t="n">
        <v>27</v>
      </c>
      <c r="B939" s="82" t="inlineStr">
        <is>
          <t>Insumo</t>
        </is>
      </c>
      <c r="C939" s="82" t="inlineStr">
        <is>
          <t>Alvenaria de vedação de Bloco concreto corta-fogo com densidade acustica reforçada de 14x19x39cm, com argamassa estabilizada</t>
        </is>
      </c>
      <c r="D939" s="82" t="inlineStr">
        <is>
          <t>ARGAMASSA INDUSTRIALIZADA MULTIUSO, PARA REVESTIMENTO INTERNO E EXTERNO E ASSENTAMENTO DE BLOCOS DIVERSOS</t>
        </is>
      </c>
      <c r="E939" s="11">
        <f t="array" ref="E939">_xlfn.XLOOKUP(D939,Insumos!B:B,Insumos!C:$C)</f>
        <v/>
      </c>
      <c r="F939" s="2164" t="n">
        <v>0.02</v>
      </c>
      <c r="G939" s="92">
        <f t="array" ref="G939">IF(B939="insumo",_xlfn.XLOOKUP($D939,Insumos!$B$1:$B$996,Insumos!$D$1:$D$996),"")</f>
        <v/>
      </c>
      <c r="H939" s="92" t="n">
        <v>8.5</v>
      </c>
      <c r="I939" s="2165" t="n">
        <v>0</v>
      </c>
      <c r="J939" s="2165" t="n">
        <v>0</v>
      </c>
      <c r="K939" s="2165" t="n"/>
    </row>
    <row r="940" outlineLevel="2" ht="12.75" customHeight="1">
      <c r="A940" s="1071" t="n">
        <v>1</v>
      </c>
      <c r="B940" s="1071" t="inlineStr">
        <is>
          <t>Serviço</t>
        </is>
      </c>
      <c r="C940" s="1071" t="inlineStr">
        <is>
          <t>Alvenaria de vedação de Bloco concreto corta-fogo de 19x19x39cm, com argamassa estabilizada</t>
        </is>
      </c>
      <c r="D940" s="1071" t="inlineStr">
        <is>
          <t>Alvenaria de vedação de Bloco concreto corta-fogo de 19x19x39cm, com argamassa estabilizada</t>
        </is>
      </c>
      <c r="E940" s="1072" t="inlineStr">
        <is>
          <t>M2</t>
        </is>
      </c>
      <c r="F940" s="1071" t="n"/>
      <c r="G940" s="1073">
        <f t="array" ref="G940">IF(B940="insumo",_xlfn.XLOOKUP($D940,Insumos!$B$1:$B$996,Insumos!$D$1:$D$996),"")</f>
        <v/>
      </c>
      <c r="H940" s="1073" t="n">
        <v>141.5</v>
      </c>
      <c r="I940" s="2163" t="n">
        <v>0</v>
      </c>
      <c r="J940" s="2163" t="n">
        <v>0</v>
      </c>
      <c r="K940" s="2163" t="n"/>
    </row>
    <row r="941" outlineLevel="3" ht="12.75" customHeight="1">
      <c r="A941" s="82" t="n">
        <v>1</v>
      </c>
      <c r="B941" s="82" t="inlineStr">
        <is>
          <t>Insumo</t>
        </is>
      </c>
      <c r="C941" s="82" t="inlineStr">
        <is>
          <t>Alvenaria de vedação de Bloco concreto corta-fogo de 19x19x39cm, com argamassa estabilizada</t>
        </is>
      </c>
      <c r="D941" s="82" t="inlineStr">
        <is>
          <t>BLOCO DE concreto CORTA-FOGO  19X19X39 CM</t>
        </is>
      </c>
      <c r="E941" s="11">
        <f t="array" ref="E941">_xlfn.XLOOKUP(D941,Insumos!B:B,Insumos!C:$C)</f>
        <v/>
      </c>
      <c r="F941" s="2164">
        <f>ROUNDUP(1/(0.19*0.39),)</f>
        <v/>
      </c>
      <c r="G941" s="92">
        <f t="array" ref="G941">IF(B941="insumo",_xlfn.XLOOKUP($D941,Insumos!$B$1:$B$996,Insumos!$D$1:$D$996),"")</f>
        <v/>
      </c>
      <c r="H941" s="92" t="n">
        <v>133</v>
      </c>
      <c r="I941" s="2165" t="n">
        <v>0</v>
      </c>
      <c r="J941" s="2165" t="n">
        <v>0</v>
      </c>
      <c r="K941" s="2165" t="n"/>
    </row>
    <row r="942" outlineLevel="3" ht="12.75" customHeight="1">
      <c r="A942" s="82" t="n">
        <v>27</v>
      </c>
      <c r="B942" s="82" t="inlineStr">
        <is>
          <t>Insumo</t>
        </is>
      </c>
      <c r="C942" s="82" t="inlineStr">
        <is>
          <t>Alvenaria de vedação de Bloco concreto corta-fogo de 19x19x39cm, com argamassa estabilizada</t>
        </is>
      </c>
      <c r="D942" s="82" t="inlineStr">
        <is>
          <t>ARGAMASSA INDUSTRIALIZADA MULTIUSO, PARA REVESTIMENTO INTERNO E EXTERNO E ASSENTAMENTO DE BLOCOS DIVERSOS</t>
        </is>
      </c>
      <c r="E942" s="11">
        <f t="array" ref="E942">_xlfn.XLOOKUP(D942,Insumos!B:B,Insumos!C:$C)</f>
        <v/>
      </c>
      <c r="F942" s="2164" t="n">
        <v>0.02</v>
      </c>
      <c r="G942" s="92">
        <f t="array" ref="G942">IF(B942="insumo",_xlfn.XLOOKUP($D942,Insumos!$B$1:$B$996,Insumos!$D$1:$D$996),"")</f>
        <v/>
      </c>
      <c r="H942" s="92" t="n">
        <v>8.5</v>
      </c>
      <c r="I942" s="2165" t="n">
        <v>0</v>
      </c>
      <c r="J942" s="2165" t="n">
        <v>0</v>
      </c>
      <c r="K942" s="2165" t="n"/>
    </row>
    <row r="943" outlineLevel="1" ht="15.75" customHeight="1">
      <c r="A943" s="1090" t="n">
        <v>1</v>
      </c>
      <c r="B943" s="1090" t="inlineStr">
        <is>
          <t>Subetapa</t>
        </is>
      </c>
      <c r="C943" s="1090" t="inlineStr">
        <is>
          <t>Alvenaria de vedação de Bloco concreto corta-fogo de 19x19x39cm, com argamassa estabilizada</t>
        </is>
      </c>
      <c r="D943" s="1090" t="inlineStr">
        <is>
          <t>SICAL</t>
        </is>
      </c>
      <c r="E943" s="1091" t="n"/>
      <c r="F943" s="2160" t="n"/>
      <c r="G943" s="1091" t="n"/>
      <c r="H943" s="1091" t="n">
        <v>0</v>
      </c>
      <c r="I943" s="2160" t="n">
        <v>0</v>
      </c>
      <c r="J943" s="2160" t="n">
        <v>0</v>
      </c>
      <c r="K943" s="2160" t="n"/>
    </row>
    <row r="944" outlineLevel="2" ht="15.75" customHeight="1">
      <c r="A944" s="1067" t="n">
        <v>1</v>
      </c>
      <c r="B944" s="1067" t="inlineStr">
        <is>
          <t>Serviço</t>
        </is>
      </c>
      <c r="C944" s="1067" t="inlineStr">
        <is>
          <t>Alvenaria em Bloco De Concreto Celular 60x30x15cm Sical com argamassa industrializada de assentamento</t>
        </is>
      </c>
      <c r="D944" s="1067" t="inlineStr">
        <is>
          <t>Alvenaria em Bloco De Concreto Celular 60x30x15cm Sical com argamassa industrializada de assentamento</t>
        </is>
      </c>
      <c r="E944" s="1068" t="inlineStr">
        <is>
          <t>M2</t>
        </is>
      </c>
      <c r="F944" s="1067" t="n"/>
      <c r="G944" s="1069">
        <f t="array" ref="G944">IF(B944="insumo",_xlfn.XLOOKUP($D944,Insumos!$B$1:$B$996,Insumos!$D$1:$D$996),"")</f>
        <v/>
      </c>
      <c r="H944" s="1069" t="n">
        <v>107.14</v>
      </c>
      <c r="I944" s="2161" t="n">
        <v>0</v>
      </c>
      <c r="J944" s="2161" t="n">
        <v>0</v>
      </c>
      <c r="K944" s="2161" t="n"/>
    </row>
    <row r="945" outlineLevel="3" ht="15.75" customHeight="1">
      <c r="A945" s="10" t="n">
        <v>1</v>
      </c>
      <c r="B945" s="10" t="inlineStr">
        <is>
          <t>Insumo</t>
        </is>
      </c>
      <c r="C945" s="10" t="inlineStr">
        <is>
          <t>Alvenaria em Bloco De Concreto Celular 60x30x15cm Sical com argamassa industrializada de assentamento</t>
        </is>
      </c>
      <c r="D945" s="10" t="inlineStr">
        <is>
          <t>Bloco Concreto Celular 15x30x60</t>
        </is>
      </c>
      <c r="E945" s="11">
        <f t="array" ref="E945">_xlfn.XLOOKUP(D945,Insumos!B:B,Insumos!C:$C)</f>
        <v/>
      </c>
      <c r="F945" s="14">
        <f>ROUNDUP(1/(0.3*0.6),)</f>
        <v/>
      </c>
      <c r="G945" s="92">
        <f t="array" ref="G945">IF(B945="insumo",_xlfn.XLOOKUP($D945,Insumos!$B$1:$B$996,Insumos!$D$1:$D$996),"")</f>
        <v/>
      </c>
      <c r="H945" s="92" t="n">
        <v>98.64</v>
      </c>
      <c r="I945" s="2162" t="n">
        <v>0</v>
      </c>
      <c r="J945" s="2162" t="n">
        <v>0</v>
      </c>
      <c r="K945" s="2162" t="n"/>
    </row>
    <row r="946" outlineLevel="3" ht="15.75" customHeight="1">
      <c r="A946" s="10" t="n">
        <v>17</v>
      </c>
      <c r="B946" s="10" t="inlineStr">
        <is>
          <t>Insumo</t>
        </is>
      </c>
      <c r="C946" s="10" t="inlineStr">
        <is>
          <t>Alvenaria em Bloco De Concreto Celular 60x30x15cm Sical com argamassa industrializada de assentamento</t>
        </is>
      </c>
      <c r="D946" s="10" t="inlineStr">
        <is>
          <t>ARGAMASSA ESTABILIZADA PARA ASSENTAMENTO</t>
        </is>
      </c>
      <c r="E946" s="11">
        <f t="array" ref="E946">_xlfn.XLOOKUP(D946,Insumos!B:B,Insumos!C:$C)</f>
        <v/>
      </c>
      <c r="F946" s="14" t="n">
        <v>0.02</v>
      </c>
      <c r="G946" s="92">
        <f t="array" ref="G946">IF(B946="insumo",_xlfn.XLOOKUP($D946,Insumos!$B$1:$B$996,Insumos!$D$1:$D$996),"")</f>
        <v/>
      </c>
      <c r="H946" s="92" t="n">
        <v>8.5</v>
      </c>
      <c r="I946" s="2162" t="n">
        <v>0</v>
      </c>
      <c r="J946" s="2162" t="n">
        <v>0</v>
      </c>
      <c r="K946" s="2162" t="n"/>
    </row>
    <row r="947" outlineLevel="2" ht="15.75" customHeight="1">
      <c r="A947" s="1067" t="n">
        <v>1</v>
      </c>
      <c r="B947" s="1067" t="inlineStr">
        <is>
          <t>Serviço</t>
        </is>
      </c>
      <c r="C947" s="1067" t="inlineStr">
        <is>
          <t>Alvenaria em Bloco De Concreto Celular 60x30x12,5cm Sical com argamassa industrializada de assentamento</t>
        </is>
      </c>
      <c r="D947" s="1067" t="inlineStr">
        <is>
          <t>Alvenaria em Bloco De Concreto Celular 60x30x12,5cm Sical com argamassa industrializada de assentamento</t>
        </is>
      </c>
      <c r="E947" s="1068" t="inlineStr">
        <is>
          <t>M2</t>
        </is>
      </c>
      <c r="F947" s="1067" t="n"/>
      <c r="G947" s="1069">
        <f t="array" ref="G947">IF(B947="insumo",_xlfn.XLOOKUP($D947,Insumos!$B$1:$B$996,Insumos!$D$1:$D$996),"")</f>
        <v/>
      </c>
      <c r="H947" s="1069" t="n">
        <v>115.96</v>
      </c>
      <c r="I947" s="2161" t="n">
        <v>0</v>
      </c>
      <c r="J947" s="2161" t="n">
        <v>0</v>
      </c>
      <c r="K947" s="2161" t="n"/>
    </row>
    <row r="948" outlineLevel="3" ht="15.75" customHeight="1">
      <c r="A948" s="10" t="n">
        <v>1</v>
      </c>
      <c r="B948" s="10" t="inlineStr">
        <is>
          <t>Insumo</t>
        </is>
      </c>
      <c r="C948" s="10" t="inlineStr">
        <is>
          <t>Alvenaria em Bloco De Concreto Celular 60x30x12,5cm Sical com argamassa industrializada de assentamento</t>
        </is>
      </c>
      <c r="D948" s="10" t="inlineStr">
        <is>
          <t>Bloco Concreto Celular 12,5x30x60</t>
        </is>
      </c>
      <c r="E948" s="11">
        <f t="array" ref="E948">_xlfn.XLOOKUP(D948,Insumos!B:B,Insumos!C:$C)</f>
        <v/>
      </c>
      <c r="F948" s="14">
        <f>ROUNDUP(1/(0.3*0.6),)</f>
        <v/>
      </c>
      <c r="G948" s="92">
        <f t="array" ref="G948">IF(B948="insumo",_xlfn.XLOOKUP($D948,Insumos!$B$1:$B$996,Insumos!$D$1:$D$996),"")</f>
        <v/>
      </c>
      <c r="H948" s="92" t="n">
        <v>107.46</v>
      </c>
      <c r="I948" s="2162" t="n">
        <v>0</v>
      </c>
      <c r="J948" s="2162" t="n">
        <v>0</v>
      </c>
      <c r="K948" s="2162" t="n"/>
    </row>
    <row r="949" outlineLevel="3" ht="15.75" customHeight="1">
      <c r="A949" s="10" t="n">
        <v>17</v>
      </c>
      <c r="B949" s="10" t="inlineStr">
        <is>
          <t>Insumo</t>
        </is>
      </c>
      <c r="C949" s="10" t="inlineStr">
        <is>
          <t>Alvenaria em Bloco De Concreto Celular 60x30x12,5cm Sical com argamassa industrializada de assentamento</t>
        </is>
      </c>
      <c r="D949" s="10" t="inlineStr">
        <is>
          <t>ARGAMASSA ESTABILIZADA PARA ASSENTAMENTO</t>
        </is>
      </c>
      <c r="E949" s="11">
        <f t="array" ref="E949">_xlfn.XLOOKUP(D949,Insumos!B:B,Insumos!C:$C)</f>
        <v/>
      </c>
      <c r="F949" s="14" t="n">
        <v>0.02</v>
      </c>
      <c r="G949" s="92">
        <f t="array" ref="G949">IF(B949="insumo",_xlfn.XLOOKUP($D949,Insumos!$B$1:$B$996,Insumos!$D$1:$D$996),"")</f>
        <v/>
      </c>
      <c r="H949" s="92" t="n">
        <v>8.5</v>
      </c>
      <c r="I949" s="2162" t="n">
        <v>0</v>
      </c>
      <c r="J949" s="2162" t="n">
        <v>0</v>
      </c>
      <c r="K949" s="2162" t="n"/>
    </row>
    <row r="950" outlineLevel="2" ht="15.75" customHeight="1">
      <c r="A950" s="1067" t="n">
        <v>1</v>
      </c>
      <c r="B950" s="1067" t="inlineStr">
        <is>
          <t>Serviço</t>
        </is>
      </c>
      <c r="C950" s="1067" t="inlineStr">
        <is>
          <t>Alvenaria em Bloco De Concreto Celular 60x30x10cm Sical com argamassa industrializada de assentamento</t>
        </is>
      </c>
      <c r="D950" s="1067" t="inlineStr">
        <is>
          <t>Alvenaria em Bloco De Concreto Celular 60x30x10cm Sical com argamassa industrializada de assentamento</t>
        </is>
      </c>
      <c r="E950" s="1068" t="inlineStr">
        <is>
          <t>M2</t>
        </is>
      </c>
      <c r="F950" s="1067" t="n"/>
      <c r="G950" s="1069">
        <f t="array" ref="G950">IF(B950="insumo",_xlfn.XLOOKUP($D950,Insumos!$B$1:$B$996,Insumos!$D$1:$D$996),"")</f>
        <v/>
      </c>
      <c r="H950" s="1069" t="n">
        <v>82.95999999999999</v>
      </c>
      <c r="I950" s="2161" t="e">
        <v>#REF!</v>
      </c>
      <c r="J950" s="2161" t="e">
        <v>#REF!</v>
      </c>
      <c r="K950" s="2161" t="n"/>
    </row>
    <row r="951" outlineLevel="3" ht="15.75" customHeight="1">
      <c r="A951" s="10" t="n">
        <v>1</v>
      </c>
      <c r="B951" s="10" t="inlineStr">
        <is>
          <t>Insumo</t>
        </is>
      </c>
      <c r="C951" s="10" t="inlineStr">
        <is>
          <t>Alvenaria em Bloco De Concreto Celular 60x30x10cm Sical com argamassa industrializada de assentamento</t>
        </is>
      </c>
      <c r="D951" s="10" t="inlineStr">
        <is>
          <t>Bloco Concreto Celular 10x30x60</t>
        </is>
      </c>
      <c r="E951" s="11">
        <f t="array" ref="E951">_xlfn.XLOOKUP(D951,Insumos!B:B,Insumos!C:$C)</f>
        <v/>
      </c>
      <c r="F951" s="14">
        <f>ROUNDUP(1/(0.3*0.6),)</f>
        <v/>
      </c>
      <c r="G951" s="92">
        <f t="array" ref="G951">IF(B951="insumo",_xlfn.XLOOKUP($D951,Insumos!$B$1:$B$996,Insumos!$D$1:$D$996),"")</f>
        <v/>
      </c>
      <c r="H951" s="92" t="n">
        <v>74.45999999999999</v>
      </c>
      <c r="I951" s="2162" t="e">
        <v>#REF!</v>
      </c>
      <c r="J951" s="2162" t="e">
        <v>#REF!</v>
      </c>
      <c r="K951" s="2162" t="n"/>
    </row>
    <row r="952" outlineLevel="3" ht="15.75" customHeight="1">
      <c r="A952" s="10" t="n">
        <v>17</v>
      </c>
      <c r="B952" s="10" t="inlineStr">
        <is>
          <t>Insumo</t>
        </is>
      </c>
      <c r="C952" s="10" t="inlineStr">
        <is>
          <t>Alvenaria em Bloco De Concreto Celular 60x30x10cm Sical com argamassa industrializada de assentamento</t>
        </is>
      </c>
      <c r="D952" s="10" t="inlineStr">
        <is>
          <t>ARGAMASSA ESTABILIZADA PARA ASSENTAMENTO</t>
        </is>
      </c>
      <c r="E952" s="11">
        <f t="array" ref="E952">_xlfn.XLOOKUP(D952,Insumos!B:B,Insumos!C:$C)</f>
        <v/>
      </c>
      <c r="F952" s="14" t="n">
        <v>0.02</v>
      </c>
      <c r="G952" s="92">
        <f t="array" ref="G952">IF(B952="insumo",_xlfn.XLOOKUP($D952,Insumos!$B$1:$B$996,Insumos!$D$1:$D$996),"")</f>
        <v/>
      </c>
      <c r="H952" s="92" t="n">
        <v>8.5</v>
      </c>
      <c r="I952" s="2162" t="e">
        <v>#REF!</v>
      </c>
      <c r="J952" s="2162" t="e">
        <v>#REF!</v>
      </c>
      <c r="K952" s="2162" t="n"/>
    </row>
    <row r="953" outlineLevel="2" ht="15.75" customHeight="1">
      <c r="A953" s="1067" t="n">
        <v>1</v>
      </c>
      <c r="B953" s="1067" t="inlineStr">
        <is>
          <t>Serviço</t>
        </is>
      </c>
      <c r="C953" s="1067" t="inlineStr">
        <is>
          <t>Alvenaria em Bloco De Concreto Celular 60x30x7,5cm Sical com argamassa industrializada de assentamento</t>
        </is>
      </c>
      <c r="D953" s="1067" t="inlineStr">
        <is>
          <t>Alvenaria em Bloco De Concreto Celular 60x30x7,5cm Sical com argamassa industrializada de assentamento</t>
        </is>
      </c>
      <c r="E953" s="1068" t="inlineStr">
        <is>
          <t>M2</t>
        </is>
      </c>
      <c r="F953" s="1067" t="n"/>
      <c r="G953" s="1069">
        <f t="array" ref="G953">IF(B953="insumo",_xlfn.XLOOKUP($D953,Insumos!$B$1:$B$996,Insumos!$D$1:$D$996),"")</f>
        <v/>
      </c>
      <c r="H953" s="1069" t="n">
        <v>72.76000000000001</v>
      </c>
      <c r="I953" s="2161" t="n">
        <v>0</v>
      </c>
      <c r="J953" s="2161" t="n">
        <v>0</v>
      </c>
      <c r="K953" s="2161" t="n"/>
    </row>
    <row r="954" outlineLevel="3" ht="15.75" customHeight="1">
      <c r="A954" s="10" t="n">
        <v>1</v>
      </c>
      <c r="B954" s="10" t="inlineStr">
        <is>
          <t>Insumo</t>
        </is>
      </c>
      <c r="C954" s="10" t="inlineStr">
        <is>
          <t>Alvenaria em Bloco De Concreto Celular 60x30x7,5cm Sical com argamassa industrializada de assentamento</t>
        </is>
      </c>
      <c r="D954" s="10" t="inlineStr">
        <is>
          <t>Bloco Concreto Celular 7,5x30x60</t>
        </is>
      </c>
      <c r="E954" s="11">
        <f t="array" ref="E954">_xlfn.XLOOKUP(D954,Insumos!B:B,Insumos!C:$C)</f>
        <v/>
      </c>
      <c r="F954" s="14">
        <f>ROUNDUP(1/(0.3*0.6),)</f>
        <v/>
      </c>
      <c r="G954" s="92">
        <f t="array" ref="G954">IF(B954="insumo",_xlfn.XLOOKUP($D954,Insumos!$B$1:$B$996,Insumos!$D$1:$D$996),"")</f>
        <v/>
      </c>
      <c r="H954" s="92" t="n">
        <v>64.26000000000001</v>
      </c>
      <c r="I954" s="2162" t="n">
        <v>0</v>
      </c>
      <c r="J954" s="2162" t="n">
        <v>0</v>
      </c>
      <c r="K954" s="2162" t="n"/>
    </row>
    <row r="955" outlineLevel="3" ht="15.75" customHeight="1">
      <c r="A955" s="10" t="n">
        <v>17</v>
      </c>
      <c r="B955" s="10" t="inlineStr">
        <is>
          <t>Insumo</t>
        </is>
      </c>
      <c r="C955" s="10" t="inlineStr">
        <is>
          <t>Alvenaria em Bloco De Concreto Celular 60x30x7,5cm Sical com argamassa industrializada de assentamento</t>
        </is>
      </c>
      <c r="D955" s="10" t="inlineStr">
        <is>
          <t>ARGAMASSA ESTABILIZADA PARA ASSENTAMENTO</t>
        </is>
      </c>
      <c r="E955" s="11">
        <f t="array" ref="E955">_xlfn.XLOOKUP(D955,Insumos!B:B,Insumos!C:$C)</f>
        <v/>
      </c>
      <c r="F955" s="14" t="n">
        <v>0.02</v>
      </c>
      <c r="G955" s="92">
        <f t="array" ref="G955">IF(B955="insumo",_xlfn.XLOOKUP($D955,Insumos!$B$1:$B$996,Insumos!$D$1:$D$996),"")</f>
        <v/>
      </c>
      <c r="H955" s="92" t="n">
        <v>8.5</v>
      </c>
      <c r="I955" s="2162" t="n">
        <v>0</v>
      </c>
      <c r="J955" s="2162" t="n">
        <v>0</v>
      </c>
      <c r="K955" s="2162" t="n"/>
    </row>
    <row r="956" outlineLevel="1" ht="15.75" customHeight="1">
      <c r="A956" s="1090" t="n">
        <v>1</v>
      </c>
      <c r="B956" s="1090" t="inlineStr">
        <is>
          <t>Subetapa</t>
        </is>
      </c>
      <c r="C956" s="1090" t="inlineStr">
        <is>
          <t>Alvenaria em Bloco De Concreto Celular 60x30x7,5cm Sical com argamassa industrializada de assentamento</t>
        </is>
      </c>
      <c r="D956" s="1090" t="inlineStr">
        <is>
          <t>COBOGO</t>
        </is>
      </c>
      <c r="E956" s="1091" t="n"/>
      <c r="F956" s="2160" t="n"/>
      <c r="G956" s="1091" t="n"/>
      <c r="H956" s="1091" t="n">
        <v>0</v>
      </c>
      <c r="I956" s="2160" t="n">
        <v>0</v>
      </c>
      <c r="J956" s="2160" t="n">
        <v>0</v>
      </c>
      <c r="K956" s="2160" t="n"/>
    </row>
    <row r="957" outlineLevel="2" ht="15.75" customHeight="1">
      <c r="A957" s="1067" t="n">
        <v>1</v>
      </c>
      <c r="B957" s="1067" t="inlineStr">
        <is>
          <t>Serviço</t>
        </is>
      </c>
      <c r="C957" s="1067" t="inlineStr">
        <is>
          <t>Cobogó em cerâmico vazado 20x20cm</t>
        </is>
      </c>
      <c r="D957" s="1067" t="inlineStr">
        <is>
          <t>Cobogó em cerâmico vazado 20x20cm</t>
        </is>
      </c>
      <c r="E957" s="1068" t="inlineStr">
        <is>
          <t>M2</t>
        </is>
      </c>
      <c r="F957" s="1067" t="n"/>
      <c r="G957" s="1069">
        <f t="array" ref="G957">IF(B957="insumo",_xlfn.XLOOKUP($D957,Insumos!$B$1:$B$996,Insumos!$D$1:$D$996),"")</f>
        <v/>
      </c>
      <c r="H957" s="1069" t="n">
        <v>309.525</v>
      </c>
      <c r="I957" s="2161" t="n">
        <v>0</v>
      </c>
      <c r="J957" s="2161" t="n">
        <v>0</v>
      </c>
      <c r="K957" s="2161" t="n"/>
    </row>
    <row r="958" outlineLevel="3" ht="15.75" customHeight="1">
      <c r="A958" s="10" t="n">
        <v>17</v>
      </c>
      <c r="B958" s="10" t="inlineStr">
        <is>
          <t>Insumo</t>
        </is>
      </c>
      <c r="C958" s="10" t="inlineStr">
        <is>
          <t>Cobogó em cerâmico vazado 20x20cm</t>
        </is>
      </c>
      <c r="D958" s="10" t="inlineStr">
        <is>
          <t>ARGAMASSA ESTABILIZADA PARA ASSENTAMENTO</t>
        </is>
      </c>
      <c r="E958" s="11">
        <f t="array" ref="E958">_xlfn.XLOOKUP(D958,Insumos!B:B,Insumos!C:$C)</f>
        <v/>
      </c>
      <c r="F958" s="14" t="n">
        <v>0.023</v>
      </c>
      <c r="G958" s="92">
        <f t="array" ref="G958">IF(B958="insumo",_xlfn.XLOOKUP($D958,Insumos!$B$1:$B$996,Insumos!$D$1:$D$996),"")</f>
        <v/>
      </c>
      <c r="H958" s="92" t="n">
        <v>9.775</v>
      </c>
      <c r="I958" s="2162" t="n">
        <v>0</v>
      </c>
      <c r="J958" s="2162" t="n">
        <v>0</v>
      </c>
      <c r="K958" s="2162" t="n"/>
    </row>
    <row r="959" outlineLevel="3" ht="15.75" customHeight="1">
      <c r="A959" s="10" t="n">
        <v>1</v>
      </c>
      <c r="B959" s="10" t="inlineStr">
        <is>
          <t>Insumo</t>
        </is>
      </c>
      <c r="C959" s="10" t="inlineStr">
        <is>
          <t>Cobogó em cerâmico vazado 20x20cm</t>
        </is>
      </c>
      <c r="D959" s="10" t="inlineStr">
        <is>
          <t>ELEMENTO VAZADO CERAMICO QUADRADO</t>
        </is>
      </c>
      <c r="E959" s="11">
        <f t="array" ref="E959">_xlfn.XLOOKUP(D959,Insumos!B:B,Insumos!C:$C)</f>
        <v/>
      </c>
      <c r="F959" s="14" t="n">
        <v>25</v>
      </c>
      <c r="G959" s="92">
        <f t="array" ref="G959">IF(B959="insumo",_xlfn.XLOOKUP($D959,Insumos!$B$1:$B$996,Insumos!$D$1:$D$996),"")</f>
        <v/>
      </c>
      <c r="H959" s="92" t="n">
        <v>299.75</v>
      </c>
      <c r="I959" s="2162" t="n">
        <v>0</v>
      </c>
      <c r="J959" s="2162" t="n">
        <v>0</v>
      </c>
      <c r="K959" s="2162" t="n"/>
    </row>
    <row r="960" outlineLevel="2" ht="15.75" customHeight="1">
      <c r="A960" s="1067" t="n">
        <v>1</v>
      </c>
      <c r="B960" s="1067" t="inlineStr">
        <is>
          <t>Serviço</t>
        </is>
      </c>
      <c r="C960" s="1067" t="inlineStr">
        <is>
          <t>Cobogó em concreto vazado 20x20cm</t>
        </is>
      </c>
      <c r="D960" s="1067" t="inlineStr">
        <is>
          <t>Cobogó em concreto vazado 20x20cm</t>
        </is>
      </c>
      <c r="E960" s="1068" t="inlineStr">
        <is>
          <t>M2</t>
        </is>
      </c>
      <c r="F960" s="1067" t="n"/>
      <c r="G960" s="1069">
        <f t="array" ref="G960">IF(B960="insumo",_xlfn.XLOOKUP($D960,Insumos!$B$1:$B$996,Insumos!$D$1:$D$996),"")</f>
        <v/>
      </c>
      <c r="H960" s="1069" t="n">
        <v>384.775</v>
      </c>
      <c r="I960" s="2161" t="n">
        <v>0</v>
      </c>
      <c r="J960" s="2161" t="n">
        <v>0</v>
      </c>
      <c r="K960" s="2161" t="n"/>
    </row>
    <row r="961" outlineLevel="3" ht="15.75" customHeight="1">
      <c r="A961" s="10" t="n">
        <v>17</v>
      </c>
      <c r="B961" s="10" t="inlineStr">
        <is>
          <t>Insumo</t>
        </is>
      </c>
      <c r="C961" s="10" t="inlineStr">
        <is>
          <t>Cobogó em concreto vazado 20x20cm</t>
        </is>
      </c>
      <c r="D961" s="10" t="inlineStr">
        <is>
          <t>ARGAMASSA ESTABILIZADA PARA ASSENTAMENTO</t>
        </is>
      </c>
      <c r="E961" s="11">
        <f t="array" ref="E961">_xlfn.XLOOKUP(D961,Insumos!B:B,Insumos!C:$C)</f>
        <v/>
      </c>
      <c r="F961" s="14" t="n">
        <v>0.023</v>
      </c>
      <c r="G961" s="92">
        <f t="array" ref="G961">IF(B961="insumo",_xlfn.XLOOKUP($D961,Insumos!$B$1:$B$996,Insumos!$D$1:$D$996),"")</f>
        <v/>
      </c>
      <c r="H961" s="92" t="n">
        <v>9.775</v>
      </c>
      <c r="I961" s="2162" t="n">
        <v>0</v>
      </c>
      <c r="J961" s="2162" t="n">
        <v>0</v>
      </c>
      <c r="K961" s="2162" t="n"/>
    </row>
    <row r="962" outlineLevel="3" ht="15.75" customHeight="1">
      <c r="A962" s="10" t="n">
        <v>1</v>
      </c>
      <c r="B962" s="10" t="inlineStr">
        <is>
          <t>Insumo</t>
        </is>
      </c>
      <c r="C962" s="10" t="inlineStr">
        <is>
          <t>Cobogó em concreto vazado 20x20cm</t>
        </is>
      </c>
      <c r="D962" s="10" t="inlineStr">
        <is>
          <t>ELEMENTO VAZADO CONCRETO QUADRADO</t>
        </is>
      </c>
      <c r="E962" s="11">
        <f t="array" ref="E962">_xlfn.XLOOKUP(D962,Insumos!B:B,Insumos!C:$C)</f>
        <v/>
      </c>
      <c r="F962" s="14" t="n">
        <v>25</v>
      </c>
      <c r="G962" s="92">
        <f t="array" ref="G962">IF(B962="insumo",_xlfn.XLOOKUP($D962,Insumos!$B$1:$B$996,Insumos!$D$1:$D$996),"")</f>
        <v/>
      </c>
      <c r="H962" s="92" t="n">
        <v>375</v>
      </c>
      <c r="I962" s="2162" t="n">
        <v>0</v>
      </c>
      <c r="J962" s="2162" t="n">
        <v>0</v>
      </c>
      <c r="K962" s="2162" t="n"/>
    </row>
    <row r="963" outlineLevel="1" ht="15.75" customHeight="1">
      <c r="A963" s="1090" t="n">
        <v>1</v>
      </c>
      <c r="B963" s="1090" t="inlineStr">
        <is>
          <t>Subetapa</t>
        </is>
      </c>
      <c r="C963" s="1090" t="inlineStr">
        <is>
          <t>Cobogó em concreto vazado 20x20cm</t>
        </is>
      </c>
      <c r="D963" s="1090" t="inlineStr">
        <is>
          <t>RERATARIO</t>
        </is>
      </c>
      <c r="E963" s="1091" t="n"/>
      <c r="F963" s="2160" t="n"/>
      <c r="G963" s="1091" t="n"/>
      <c r="H963" s="1091" t="n">
        <v>0</v>
      </c>
      <c r="I963" s="2160" t="n">
        <v>0</v>
      </c>
      <c r="J963" s="2160" t="n">
        <v>0</v>
      </c>
      <c r="K963" s="2160" t="n"/>
    </row>
    <row r="964" outlineLevel="2" ht="15.75" customHeight="1">
      <c r="A964" s="1067" t="n">
        <v>1</v>
      </c>
      <c r="B964" s="1067" t="inlineStr">
        <is>
          <t>Serviço</t>
        </is>
      </c>
      <c r="C964" s="1067" t="inlineStr">
        <is>
          <t>Tijolo refratário para churrasqueiras 5x11,5x23cm com argamassa</t>
        </is>
      </c>
      <c r="D964" s="1067" t="inlineStr">
        <is>
          <t>Tijolo refratário para churrasqueiras 5x11,5x23cm com argamassa</t>
        </is>
      </c>
      <c r="E964" s="1068" t="inlineStr">
        <is>
          <t>M2</t>
        </is>
      </c>
      <c r="F964" s="1067" t="n"/>
      <c r="G964" s="1069">
        <f t="array" ref="G964">IF(B964="insumo",_xlfn.XLOOKUP($D964,Insumos!$B$1:$B$996,Insumos!$D$1:$D$996),"")</f>
        <v/>
      </c>
      <c r="H964" s="1069" t="n">
        <v>266.02625</v>
      </c>
      <c r="I964" s="2161" t="n">
        <v>0</v>
      </c>
      <c r="J964" s="2161" t="n">
        <v>0</v>
      </c>
      <c r="K964" s="2161" t="n"/>
    </row>
    <row r="965" outlineLevel="3" ht="15.75" customHeight="1">
      <c r="A965" s="10" t="n">
        <v>1</v>
      </c>
      <c r="B965" s="10" t="inlineStr">
        <is>
          <t>Insumo</t>
        </is>
      </c>
      <c r="C965" s="10" t="inlineStr">
        <is>
          <t>Tijolo refratário para churrasqueiras 5x11,5x23cm com argamassa</t>
        </is>
      </c>
      <c r="D965" s="10" t="inlineStr">
        <is>
          <t>TIJOLO REFRATÁRIO 5 X 11,5 X 23 CM</t>
        </is>
      </c>
      <c r="E965" s="11">
        <f t="array" ref="E965">_xlfn.XLOOKUP(D965,Insumos!B:B,Insumos!C:$C)</f>
        <v/>
      </c>
      <c r="F965" s="14" t="n">
        <v>38</v>
      </c>
      <c r="G965" s="92">
        <f t="array" ref="G965">IF(B965="insumo",_xlfn.XLOOKUP($D965,Insumos!$B$1:$B$996,Insumos!$D$1:$D$996),"")</f>
        <v/>
      </c>
      <c r="H965" s="92" t="n">
        <v>266</v>
      </c>
      <c r="I965" s="2162" t="n">
        <v>0</v>
      </c>
      <c r="J965" s="2162" t="n">
        <v>0</v>
      </c>
      <c r="K965" s="2162" t="n"/>
    </row>
    <row r="966" outlineLevel="3" ht="15.75" customHeight="1">
      <c r="A966" s="10" t="n">
        <v>2</v>
      </c>
      <c r="B966" s="10" t="inlineStr">
        <is>
          <t>Insumo</t>
        </is>
      </c>
      <c r="C966" s="10" t="inlineStr">
        <is>
          <t>Tijolo refratário para churrasqueiras 5x11,5x23cm com argamassa</t>
        </is>
      </c>
      <c r="D966" s="10" t="inlineStr">
        <is>
          <t>ARGAMASSA REFRATÁRIA</t>
        </is>
      </c>
      <c r="E966" s="11">
        <f t="array" ref="E966">_xlfn.XLOOKUP(D966,Insumos!B:B,Insumos!C:$C)</f>
        <v/>
      </c>
      <c r="F966" s="14" t="n">
        <v>0.015</v>
      </c>
      <c r="G966" s="92">
        <f t="array" ref="G966">IF(B966="insumo",_xlfn.XLOOKUP($D966,Insumos!$B$1:$B$996,Insumos!$D$1:$D$996),"")</f>
        <v/>
      </c>
      <c r="H966" s="92" t="n">
        <v>0.02625</v>
      </c>
      <c r="I966" s="2162" t="n">
        <v>0</v>
      </c>
      <c r="J966" s="2162" t="n">
        <v>0</v>
      </c>
      <c r="K966" s="2162" t="n"/>
    </row>
    <row r="967" outlineLevel="2" ht="15.75" customHeight="1">
      <c r="A967" s="1067" t="n">
        <v>1</v>
      </c>
      <c r="B967" s="1067" t="inlineStr">
        <is>
          <t>Serviço</t>
        </is>
      </c>
      <c r="C967" s="1067" t="inlineStr">
        <is>
          <t>Tijolo refratário para churrasqueiras 2,5x11,5x23cm com argamassa</t>
        </is>
      </c>
      <c r="D967" s="1067" t="inlineStr">
        <is>
          <t>Tijolo refratário para churrasqueiras 2,5x11,5x23cm com argamassa</t>
        </is>
      </c>
      <c r="E967" s="1068" t="inlineStr">
        <is>
          <t>M2</t>
        </is>
      </c>
      <c r="F967" s="1067" t="n"/>
      <c r="G967" s="1069">
        <f t="array" ref="G967">IF(B967="insumo",_xlfn.XLOOKUP($D967,Insumos!$B$1:$B$996,Insumos!$D$1:$D$996),"")</f>
        <v/>
      </c>
      <c r="H967" s="1069" t="n">
        <v>226.113125</v>
      </c>
      <c r="I967" s="2161" t="n">
        <v>0</v>
      </c>
      <c r="J967" s="2161" t="n">
        <v>0</v>
      </c>
      <c r="K967" s="2161" t="n"/>
    </row>
    <row r="968" outlineLevel="3" ht="15.75" customHeight="1">
      <c r="A968" s="10" t="n">
        <v>1</v>
      </c>
      <c r="B968" s="10" t="inlineStr">
        <is>
          <t>Insumo</t>
        </is>
      </c>
      <c r="C968" s="10" t="inlineStr">
        <is>
          <t>Tijolo refratário para churrasqueiras 2,5x11,5x23cm com argamassa</t>
        </is>
      </c>
      <c r="D968" s="10" t="inlineStr">
        <is>
          <t>TIJOLO REFRATÁRIO 2,5 X 11,5 X 23 CM</t>
        </is>
      </c>
      <c r="E968" s="11">
        <f t="array" ref="E968">_xlfn.XLOOKUP(D968,Insumos!B:B,Insumos!C:$C)</f>
        <v/>
      </c>
      <c r="F968" s="14" t="n">
        <v>38</v>
      </c>
      <c r="G968" s="92">
        <f t="array" ref="G968">IF(B968="insumo",_xlfn.XLOOKUP($D968,Insumos!$B$1:$B$996,Insumos!$D$1:$D$996),"")</f>
        <v/>
      </c>
      <c r="H968" s="92" t="n">
        <v>226.1</v>
      </c>
      <c r="I968" s="2162" t="n">
        <v>0</v>
      </c>
      <c r="J968" s="2162" t="n">
        <v>0</v>
      </c>
      <c r="K968" s="2162" t="n"/>
    </row>
    <row r="969" outlineLevel="3" ht="15.75" customHeight="1">
      <c r="A969" s="10" t="n">
        <v>2</v>
      </c>
      <c r="B969" s="10" t="inlineStr">
        <is>
          <t>Insumo</t>
        </is>
      </c>
      <c r="C969" s="10" t="inlineStr">
        <is>
          <t>Tijolo refratário para churrasqueiras 2,5x11,5x23cm com argamassa</t>
        </is>
      </c>
      <c r="D969" s="10" t="inlineStr">
        <is>
          <t>ARGAMASSA REFRATÁRIA</t>
        </is>
      </c>
      <c r="E969" s="11">
        <f t="array" ref="E969">_xlfn.XLOOKUP(D969,Insumos!B:B,Insumos!C:$C)</f>
        <v/>
      </c>
      <c r="F969" s="14" t="n">
        <v>0.0075</v>
      </c>
      <c r="G969" s="92">
        <f t="array" ref="G969">IF(B969="insumo",_xlfn.XLOOKUP($D969,Insumos!$B$1:$B$996,Insumos!$D$1:$D$996),"")</f>
        <v/>
      </c>
      <c r="H969" s="92" t="n">
        <v>0.013125</v>
      </c>
      <c r="I969" s="2162" t="n">
        <v>0</v>
      </c>
      <c r="J969" s="2162" t="n">
        <v>0</v>
      </c>
      <c r="K969" s="2162" t="n"/>
    </row>
    <row r="970" outlineLevel="1" ht="15.75" customHeight="1">
      <c r="A970" s="1090" t="n">
        <v>1</v>
      </c>
      <c r="B970" s="1090" t="inlineStr">
        <is>
          <t>Subetapa</t>
        </is>
      </c>
      <c r="C970" s="1090" t="inlineStr">
        <is>
          <t>Tijolo refratário para churrasqueiras 2,5x11,5x23cm com argamassa</t>
        </is>
      </c>
      <c r="D970" s="1090" t="inlineStr">
        <is>
          <t>COMPLEMENTACOES</t>
        </is>
      </c>
      <c r="E970" s="1091" t="n"/>
      <c r="F970" s="2160" t="n"/>
      <c r="G970" s="1091" t="n"/>
      <c r="H970" s="1091" t="n">
        <v>0</v>
      </c>
      <c r="I970" s="2160" t="n">
        <v>0</v>
      </c>
      <c r="J970" s="2160" t="n">
        <v>0</v>
      </c>
      <c r="K970" s="2160" t="n"/>
    </row>
    <row r="971" outlineLevel="2" ht="15.75" customHeight="1">
      <c r="A971" s="1067" t="n">
        <v>1</v>
      </c>
      <c r="B971" s="1067" t="inlineStr">
        <is>
          <t>Serviço</t>
        </is>
      </c>
      <c r="C971" s="1067" t="inlineStr">
        <is>
          <t>Encunhamento De Alvenaria De Vedação Com Argamassa Expansiva</t>
        </is>
      </c>
      <c r="D971" s="1067" t="inlineStr">
        <is>
          <t>Encunhamento De Alvenaria De Vedação Com Argamassa Expansiva</t>
        </is>
      </c>
      <c r="E971" s="1068" t="inlineStr">
        <is>
          <t>M</t>
        </is>
      </c>
      <c r="F971" s="1067" t="n"/>
      <c r="G971" s="1069">
        <f t="array" ref="G971">IF(B971="insumo",_xlfn.XLOOKUP($D971,Insumos!$B$1:$B$996,Insumos!$D$1:$D$996),"")</f>
        <v/>
      </c>
      <c r="H971" s="1069" t="n">
        <v>14.7875</v>
      </c>
      <c r="I971" s="2161" t="e">
        <v>#REF!</v>
      </c>
      <c r="J971" s="2161" t="e">
        <v>#REF!</v>
      </c>
      <c r="K971" s="2161" t="n"/>
    </row>
    <row r="972" outlineLevel="3" ht="15.75" customHeight="1">
      <c r="A972" s="10" t="n">
        <v>17</v>
      </c>
      <c r="B972" s="10" t="inlineStr">
        <is>
          <t>Insumo</t>
        </is>
      </c>
      <c r="C972" s="10" t="inlineStr">
        <is>
          <t>Encunhamento De Alvenaria De Vedação Com Argamassa Expansiva</t>
        </is>
      </c>
      <c r="D972" s="10" t="inlineStr">
        <is>
          <t>ARGAMASSA ESTABILIZADA PARA ASSENTAMENTO</t>
        </is>
      </c>
      <c r="E972" s="11">
        <f t="array" ref="E972">_xlfn.XLOOKUP(D972,Insumos!B:B,Insumos!C:$C)</f>
        <v/>
      </c>
      <c r="F972" s="14" t="n">
        <v>0.0035</v>
      </c>
      <c r="G972" s="92">
        <f t="array" ref="G972">IF(B972="insumo",_xlfn.XLOOKUP($D972,Insumos!$B$1:$B$996,Insumos!$D$1:$D$996),"")</f>
        <v/>
      </c>
      <c r="H972" s="92" t="n">
        <v>1.4875</v>
      </c>
      <c r="I972" s="2162" t="e">
        <v>#REF!</v>
      </c>
      <c r="J972" s="2162" t="e">
        <v>#REF!</v>
      </c>
      <c r="K972" s="2162" t="n"/>
    </row>
    <row r="973" outlineLevel="3" ht="15.75" customHeight="1">
      <c r="A973" s="10" t="n">
        <v>3</v>
      </c>
      <c r="B973" s="10" t="inlineStr">
        <is>
          <t>Insumo</t>
        </is>
      </c>
      <c r="C973" s="10" t="inlineStr">
        <is>
          <t>Encunhamento De Alvenaria De Vedação Com Argamassa Expansiva</t>
        </is>
      </c>
      <c r="D973" s="10" t="inlineStr">
        <is>
          <t>ADITIVO EXPANSOR EM PÓ</t>
        </is>
      </c>
      <c r="E973" s="11">
        <f t="array" ref="E973">_xlfn.XLOOKUP(D973,Insumos!B:B,Insumos!C:$C)</f>
        <v/>
      </c>
      <c r="F973" s="14" t="n">
        <v>0.07000000000000001</v>
      </c>
      <c r="G973" s="92">
        <f t="array" ref="G973">IF(B973="insumo",_xlfn.XLOOKUP($D973,Insumos!$B$1:$B$996,Insumos!$D$1:$D$996),"")</f>
        <v/>
      </c>
      <c r="H973" s="92" t="n">
        <v>13.3</v>
      </c>
      <c r="I973" s="2162" t="e">
        <v>#REF!</v>
      </c>
      <c r="J973" s="2162" t="e">
        <v>#REF!</v>
      </c>
      <c r="K973" s="2162" t="n"/>
    </row>
    <row r="974" outlineLevel="2" ht="15.75" customHeight="1">
      <c r="A974" s="1067" t="n">
        <v>1</v>
      </c>
      <c r="B974" s="1067" t="inlineStr">
        <is>
          <t>Serviço</t>
        </is>
      </c>
      <c r="C974" s="1067" t="inlineStr">
        <is>
          <t>Encunhamento De Alvenaria De Vedação Com Argamassa para encunhmento</t>
        </is>
      </c>
      <c r="D974" s="1067" t="inlineStr">
        <is>
          <t>Encunhamento De Alvenaria De Vedação Com Argamassa para encunhmento</t>
        </is>
      </c>
      <c r="E974" s="1068" t="inlineStr">
        <is>
          <t>M</t>
        </is>
      </c>
      <c r="F974" s="1067" t="n"/>
      <c r="G974" s="1069">
        <f t="array" ref="G974">IF(B974="insumo",_xlfn.XLOOKUP($D974,Insumos!$B$1:$B$996,Insumos!$D$1:$D$996),"")</f>
        <v/>
      </c>
      <c r="H974" s="1069" t="n">
        <v>15.2655664</v>
      </c>
      <c r="I974" s="2161" t="n">
        <v>0</v>
      </c>
      <c r="J974" s="2161" t="n">
        <v>0</v>
      </c>
      <c r="K974" s="2161" t="n"/>
    </row>
    <row r="975" outlineLevel="3" ht="15.75" customHeight="1">
      <c r="A975" s="10" t="n">
        <v>1</v>
      </c>
      <c r="B975" s="10" t="inlineStr">
        <is>
          <t>Insumo</t>
        </is>
      </c>
      <c r="C975" s="10" t="inlineStr">
        <is>
          <t>Encunhamento De Alvenaria De Vedação Com Argamassa para encunhmento</t>
        </is>
      </c>
      <c r="D975" s="10" t="inlineStr">
        <is>
          <t>Argamassa para encunhamento</t>
        </is>
      </c>
      <c r="E975" s="11">
        <f t="array" ref="E975">_xlfn.XLOOKUP(D975,Insumos!B:B,Insumos!C:$C)</f>
        <v/>
      </c>
      <c r="F975" s="14" t="n">
        <v>0.7672</v>
      </c>
      <c r="G975" s="92">
        <f t="array" ref="G975">IF(B975="insumo",_xlfn.XLOOKUP($D975,Insumos!$B$1:$B$996,Insumos!$D$1:$D$996),"")</f>
        <v/>
      </c>
      <c r="H975" s="92" t="n">
        <v>1.9655664</v>
      </c>
      <c r="I975" s="2162" t="n">
        <v>0</v>
      </c>
      <c r="J975" s="2162" t="n">
        <v>0</v>
      </c>
      <c r="K975" s="2162" t="n"/>
    </row>
    <row r="976" outlineLevel="3" ht="15.75" customHeight="1">
      <c r="A976" s="10" t="n">
        <v>3</v>
      </c>
      <c r="B976" s="10" t="inlineStr">
        <is>
          <t>Insumo</t>
        </is>
      </c>
      <c r="C976" s="10" t="inlineStr">
        <is>
          <t>Encunhamento De Alvenaria De Vedação Com Argamassa para encunhmento</t>
        </is>
      </c>
      <c r="D976" s="10" t="inlineStr">
        <is>
          <t>ADITIVO EXPANSOR EM PÓ</t>
        </is>
      </c>
      <c r="E976" s="11">
        <f t="array" ref="E976">_xlfn.XLOOKUP(D976,Insumos!B:B,Insumos!C:$C)</f>
        <v/>
      </c>
      <c r="F976" s="14" t="n">
        <v>0.07000000000000001</v>
      </c>
      <c r="G976" s="92">
        <f t="array" ref="G976">IF(B976="insumo",_xlfn.XLOOKUP($D976,Insumos!$B$1:$B$996,Insumos!$D$1:$D$996),"")</f>
        <v/>
      </c>
      <c r="H976" s="92" t="n">
        <v>13.3</v>
      </c>
      <c r="I976" s="2162" t="n">
        <v>0</v>
      </c>
      <c r="J976" s="2162" t="n">
        <v>0</v>
      </c>
      <c r="K976" s="2162" t="n"/>
    </row>
    <row r="977" outlineLevel="2" ht="15.75" customHeight="1">
      <c r="A977" s="1067" t="n">
        <v>1</v>
      </c>
      <c r="B977" s="1067" t="inlineStr">
        <is>
          <t>Serviço</t>
        </is>
      </c>
      <c r="C977" s="1067" t="inlineStr">
        <is>
          <t>Tela soldada para ligacao alvenaria/estrutura</t>
        </is>
      </c>
      <c r="D977" s="1067" t="inlineStr">
        <is>
          <t>Tela soldada para ligacao alvenaria/estrutura</t>
        </is>
      </c>
      <c r="E977" s="1068" t="inlineStr">
        <is>
          <t>UN</t>
        </is>
      </c>
      <c r="F977" s="1067" t="n"/>
      <c r="G977" s="1069">
        <f t="array" ref="G977">IF(B977="insumo",_xlfn.XLOOKUP($D977,Insumos!$B$1:$B$996,Insumos!$D$1:$D$996),"")</f>
        <v/>
      </c>
      <c r="H977" s="1069" t="n">
        <v>4.1072</v>
      </c>
      <c r="I977" s="2161" t="e">
        <v>#REF!</v>
      </c>
      <c r="J977" s="2161" t="e">
        <v>#REF!</v>
      </c>
      <c r="K977" s="2161" t="n"/>
    </row>
    <row r="978" outlineLevel="3" ht="15.75" customHeight="1">
      <c r="A978" s="10" t="n">
        <v>2</v>
      </c>
      <c r="B978" s="10" t="inlineStr">
        <is>
          <t>Insumo</t>
        </is>
      </c>
      <c r="C978" s="10" t="inlineStr">
        <is>
          <t>Tela soldada para ligacao alvenaria/estrutura</t>
        </is>
      </c>
      <c r="D978" s="10" t="inlineStr">
        <is>
          <t>PINO DE ACO COM FURO, HASTE = 27 MM (ACAO DIRETA)</t>
        </is>
      </c>
      <c r="E978" s="11">
        <f t="array" ref="E978">_xlfn.XLOOKUP(D978,Insumos!B:B,Insumos!C:$C)</f>
        <v/>
      </c>
      <c r="F978" s="14" t="n">
        <v>2</v>
      </c>
      <c r="G978" s="92">
        <f t="array" ref="G978">IF(B978="insumo",_xlfn.XLOOKUP($D978,Insumos!$B$1:$B$996,Insumos!$D$1:$D$996),"")</f>
        <v/>
      </c>
      <c r="H978" s="92" t="n">
        <v>0.8672</v>
      </c>
      <c r="I978" s="2162" t="e">
        <v>#REF!</v>
      </c>
      <c r="J978" s="2162" t="e">
        <v>#REF!</v>
      </c>
      <c r="K978" s="2162" t="n"/>
    </row>
    <row r="979" outlineLevel="3" ht="15.75" customHeight="1">
      <c r="A979" s="10" t="n">
        <v>2</v>
      </c>
      <c r="B979" s="10" t="inlineStr">
        <is>
          <t>Insumo</t>
        </is>
      </c>
      <c r="C979" s="10" t="inlineStr">
        <is>
          <t>Tela soldada para ligacao alvenaria/estrutura</t>
        </is>
      </c>
      <c r="D979" s="10" t="inlineStr">
        <is>
          <t>TELA DE ACO SOLDADA GALVANIZADA/ZINCADA PARA ALVENARIA, FIO D = *1,20 A 1,70* MM, MALHA 15 X 15 MM, (C X L) *50 X 17,5* CM</t>
        </is>
      </c>
      <c r="E979" s="11">
        <f t="array" ref="E979">_xlfn.XLOOKUP(D979,Insumos!B:B,Insumos!C:$C)</f>
        <v/>
      </c>
      <c r="F979" s="14" t="n">
        <v>1</v>
      </c>
      <c r="G979" s="92">
        <f t="array" ref="G979">IF(B979="insumo",_xlfn.XLOOKUP($D979,Insumos!$B$1:$B$996,Insumos!$D$1:$D$996),"")</f>
        <v/>
      </c>
      <c r="H979" s="92" t="n">
        <v>2.5</v>
      </c>
      <c r="I979" s="2162" t="e">
        <v>#REF!</v>
      </c>
      <c r="J979" s="2162" t="e">
        <v>#REF!</v>
      </c>
      <c r="K979" s="2162" t="n"/>
    </row>
    <row r="980" outlineLevel="3" ht="15.75" customHeight="1">
      <c r="A980" s="10" t="n">
        <v>2</v>
      </c>
      <c r="B980" s="10" t="inlineStr">
        <is>
          <t>Insumo</t>
        </is>
      </c>
      <c r="C980" s="10" t="inlineStr">
        <is>
          <t>Tela soldada para ligacao alvenaria/estrutura</t>
        </is>
      </c>
      <c r="D980" s="10" t="inlineStr">
        <is>
          <t>CARTUCHO/MUNIÇÃO FINCAPINO 22</t>
        </is>
      </c>
      <c r="E980" s="11">
        <f t="array" ref="E980">_xlfn.XLOOKUP(D980,Insumos!B:B,Insumos!C:$C)</f>
        <v/>
      </c>
      <c r="F980" s="14" t="n">
        <v>2</v>
      </c>
      <c r="G980" s="92">
        <f t="array" ref="G980">IF(B980="insumo",_xlfn.XLOOKUP($D980,Insumos!$B$1:$B$996,Insumos!$D$1:$D$996),"")</f>
        <v/>
      </c>
      <c r="H980" s="92" t="n">
        <v>0.74</v>
      </c>
      <c r="I980" s="2162" t="e">
        <v>#REF!</v>
      </c>
      <c r="J980" s="2162" t="e">
        <v>#REF!</v>
      </c>
      <c r="K980" s="2162" t="n"/>
    </row>
    <row r="981" outlineLevel="2" ht="15.75" customHeight="1">
      <c r="A981" s="1067" t="n">
        <v>1</v>
      </c>
      <c r="B981" s="1067" t="inlineStr">
        <is>
          <t>Serviço</t>
        </is>
      </c>
      <c r="C981" s="1067" t="inlineStr">
        <is>
          <t>Verga/contraverga de concreto, moldada in loco</t>
        </is>
      </c>
      <c r="D981" s="1067" t="inlineStr">
        <is>
          <t>Verga/contraverga de concreto, moldada in loco</t>
        </is>
      </c>
      <c r="E981" s="1068" t="inlineStr">
        <is>
          <t>UN</t>
        </is>
      </c>
      <c r="F981" s="1067" t="n"/>
      <c r="G981" s="1069">
        <f t="array" ref="G981">IF(B981="insumo",_xlfn.XLOOKUP($D981,Insumos!$B$1:$B$996,Insumos!$D$1:$D$996),"")</f>
        <v/>
      </c>
      <c r="H981" s="1069" t="n">
        <v>79.4036757105395</v>
      </c>
      <c r="I981" s="2161" t="e">
        <v>#REF!</v>
      </c>
      <c r="J981" s="2161" t="e">
        <v>#REF!</v>
      </c>
      <c r="K981" s="2161" t="n"/>
    </row>
    <row r="982" outlineLevel="3" ht="15.75" customHeight="1">
      <c r="A982" s="10" t="n">
        <v>5</v>
      </c>
      <c r="B982" s="10" t="inlineStr">
        <is>
          <t>Insumo</t>
        </is>
      </c>
      <c r="C982" s="10" t="inlineStr">
        <is>
          <t>Verga/contraverga de concreto, moldada in loco</t>
        </is>
      </c>
      <c r="D982" s="10" t="inlineStr">
        <is>
          <t>Aço CA50 8,0 mm</t>
        </is>
      </c>
      <c r="E982" s="11">
        <f t="array" ref="E982">_xlfn.XLOOKUP(D982,Insumos!B:B,Insumos!C:$C)</f>
        <v/>
      </c>
      <c r="F982" s="14" t="n">
        <v>0.8769</v>
      </c>
      <c r="G982" s="92">
        <f t="array" ref="G982">IF(B982="insumo",_xlfn.XLOOKUP($D982,Insumos!$B$1:$B$996,Insumos!$D$1:$D$996),"")</f>
        <v/>
      </c>
      <c r="H982" s="92" t="n">
        <v>4.31860707053951</v>
      </c>
      <c r="I982" s="2162" t="e">
        <v>#REF!</v>
      </c>
      <c r="J982" s="2162" t="e">
        <v>#REF!</v>
      </c>
      <c r="K982" s="2162" t="n"/>
    </row>
    <row r="983" outlineLevel="3" ht="15.75" customHeight="1">
      <c r="A983" s="10" t="n">
        <v>40</v>
      </c>
      <c r="B983" s="10" t="inlineStr">
        <is>
          <t>Insumo</t>
        </is>
      </c>
      <c r="C983" s="10" t="inlineStr">
        <is>
          <t>Verga/contraverga de concreto, moldada in loco</t>
        </is>
      </c>
      <c r="D983" s="10" t="inlineStr">
        <is>
          <t>PREGO DE ACO POLIDO COM CABECA 17 X 21 (2 X 11)</t>
        </is>
      </c>
      <c r="E983" s="11">
        <f t="array" ref="E983">_xlfn.XLOOKUP(D983,Insumos!B:B,Insumos!C:$C)</f>
        <v/>
      </c>
      <c r="F983" s="14" t="n">
        <v>0.009728000000000001</v>
      </c>
      <c r="G983" s="92">
        <f t="array" ref="G983">IF(B983="insumo",_xlfn.XLOOKUP($D983,Insumos!$B$1:$B$996,Insumos!$D$1:$D$996),"")</f>
        <v/>
      </c>
      <c r="H983" s="92" t="n">
        <v>0.17636864</v>
      </c>
      <c r="I983" s="2162" t="e">
        <v>#REF!</v>
      </c>
      <c r="J983" s="2162" t="e">
        <v>#REF!</v>
      </c>
      <c r="K983" s="2162" t="n"/>
    </row>
    <row r="984" outlineLevel="3" ht="15.75" customHeight="1">
      <c r="A984" s="10" t="n">
        <v>1</v>
      </c>
      <c r="B984" s="10" t="inlineStr">
        <is>
          <t>Insumo</t>
        </is>
      </c>
      <c r="C984" s="10" t="inlineStr">
        <is>
          <t>Verga/contraverga de concreto, moldada in loco</t>
        </is>
      </c>
      <c r="D984" s="10" t="inlineStr">
        <is>
          <t>ESPACADOR / DISTANCIADOR CIRCULAR COM ENTRADA LATERAL, EM PLASTICO, PARA VERGALHAO *4,2 A 12,5* MM, COBRIMENTO 40 MM</t>
        </is>
      </c>
      <c r="E984" s="11">
        <f t="array" ref="E984">_xlfn.XLOOKUP(D984,Insumos!B:B,Insumos!C:$C)</f>
        <v/>
      </c>
      <c r="F984" s="14" t="n">
        <v>6</v>
      </c>
      <c r="G984" s="92">
        <f t="array" ref="G984">IF(B984="insumo",_xlfn.XLOOKUP($D984,Insumos!$B$1:$B$996,Insumos!$D$1:$D$996),"")</f>
        <v/>
      </c>
      <c r="H984" s="92" t="n">
        <v>2.58</v>
      </c>
      <c r="I984" s="2162" t="e">
        <v>#REF!</v>
      </c>
      <c r="J984" s="2162" t="e">
        <v>#REF!</v>
      </c>
      <c r="K984" s="2162" t="n"/>
    </row>
    <row r="985" outlineLevel="3" ht="15.75" customHeight="1">
      <c r="A985" s="10" t="n">
        <v>4</v>
      </c>
      <c r="B985" s="10" t="inlineStr">
        <is>
          <t>Insumo</t>
        </is>
      </c>
      <c r="C985" s="10" t="inlineStr">
        <is>
          <t>Verga/contraverga de concreto, moldada in loco</t>
        </is>
      </c>
      <c r="D985" s="10" t="inlineStr">
        <is>
          <t>Concreto Usinado bombeável 30MPa Convencional</t>
        </is>
      </c>
      <c r="E985" s="11">
        <f t="array" ref="E985">_xlfn.XLOOKUP(D985,Insumos!B:B,Insumos!C:$C)</f>
        <v/>
      </c>
      <c r="F985" s="14" t="n">
        <v>0.032</v>
      </c>
      <c r="G985" s="92">
        <f t="array" ref="G985">IF(B985="insumo",_xlfn.XLOOKUP($D985,Insumos!$B$1:$B$996,Insumos!$D$1:$D$996),"")</f>
        <v/>
      </c>
      <c r="H985" s="92" t="n">
        <v>16.32</v>
      </c>
      <c r="I985" s="2162" t="e">
        <v>#REF!</v>
      </c>
      <c r="J985" s="2162" t="e">
        <v>#REF!</v>
      </c>
      <c r="K985" s="2162" t="n"/>
    </row>
    <row r="986" outlineLevel="3" ht="15.75" customHeight="1">
      <c r="A986" s="10" t="n">
        <v>10</v>
      </c>
      <c r="B986" s="10" t="inlineStr">
        <is>
          <t>Insumo</t>
        </is>
      </c>
      <c r="C986" s="10" t="inlineStr">
        <is>
          <t>Verga/contraverga de concreto, moldada in loco</t>
        </is>
      </c>
      <c r="D986" s="10" t="inlineStr">
        <is>
          <t xml:space="preserve">DESMOLDANTE PROTETOR PARA FORMAS DE MADEIRA, DE BASE OLEOSA EMULSIONADA EM AGUA   </t>
        </is>
      </c>
      <c r="E986" s="11">
        <f t="array" ref="E986">_xlfn.XLOOKUP(D986,Insumos!B:B,Insumos!C:$C)</f>
        <v/>
      </c>
      <c r="F986" s="14" t="n">
        <v>0.008999999999999999</v>
      </c>
      <c r="G986" s="92">
        <f t="array" ref="G986">IF(B986="insumo",_xlfn.XLOOKUP($D986,Insumos!$B$1:$B$996,Insumos!$D$1:$D$996),"")</f>
        <v/>
      </c>
      <c r="H986" s="92" t="n">
        <v>0.13995</v>
      </c>
      <c r="I986" s="2166" t="e">
        <v>#REF!</v>
      </c>
      <c r="J986" s="2166" t="e">
        <v>#REF!</v>
      </c>
      <c r="K986" s="2166" t="n"/>
    </row>
    <row r="987" outlineLevel="3" ht="15.75" customHeight="1">
      <c r="A987" s="10" t="n">
        <v>7</v>
      </c>
      <c r="B987" s="10" t="inlineStr">
        <is>
          <t>Insumo</t>
        </is>
      </c>
      <c r="C987" s="10" t="inlineStr">
        <is>
          <t>Verga/contraverga de concreto, moldada in loco</t>
        </is>
      </c>
      <c r="D987" s="10" t="inlineStr">
        <is>
          <t>PONTALETE *7,5 X 7,5* CM EM PINUS, MISTA OU EQUIVALENTE DA REGIAO - BRUTA</t>
        </is>
      </c>
      <c r="E987" s="11">
        <f t="array" ref="E987">_xlfn.XLOOKUP(D987,Insumos!B:B,Insumos!C:$C)</f>
        <v/>
      </c>
      <c r="F987" s="14" t="n">
        <v>0.015225</v>
      </c>
      <c r="G987" s="92">
        <f t="array" ref="G987">IF(B987="insumo",_xlfn.XLOOKUP($D987,Insumos!$B$1:$B$996,Insumos!$D$1:$D$996),"")</f>
        <v/>
      </c>
      <c r="H987" s="92" t="n">
        <v>16.7475</v>
      </c>
      <c r="I987" s="2162" t="e">
        <v>#REF!</v>
      </c>
      <c r="J987" s="2162" t="e">
        <v>#REF!</v>
      </c>
      <c r="K987" s="2162" t="n"/>
    </row>
    <row r="988" outlineLevel="3" ht="15.75" customHeight="1">
      <c r="A988" s="10" t="n">
        <v>19</v>
      </c>
      <c r="B988" s="10" t="inlineStr">
        <is>
          <t>Insumo</t>
        </is>
      </c>
      <c r="C988" s="10" t="inlineStr">
        <is>
          <t>Verga/contraverga de concreto, moldada in loco</t>
        </is>
      </c>
      <c r="D988" s="10" t="inlineStr">
        <is>
          <t>SARRAFO *2,5 X 7,5* CM EM PINUS, MISTA OU EQUIVALENTE DA REGIAO - BRUTA</t>
        </is>
      </c>
      <c r="E988" s="11">
        <f t="array" ref="E988">_xlfn.XLOOKUP(D988,Insumos!B:B,Insumos!C:$C)</f>
        <v/>
      </c>
      <c r="F988" s="14" t="n">
        <v>0.001875</v>
      </c>
      <c r="G988" s="92">
        <f t="array" ref="G988">IF(B988="insumo",_xlfn.XLOOKUP($D988,Insumos!$B$1:$B$996,Insumos!$D$1:$D$996),"")</f>
        <v/>
      </c>
      <c r="H988" s="92" t="n">
        <v>2.53125</v>
      </c>
      <c r="I988" s="2162" t="e">
        <v>#REF!</v>
      </c>
      <c r="J988" s="2162" t="e">
        <v>#REF!</v>
      </c>
      <c r="K988" s="2162" t="n"/>
    </row>
    <row r="989" outlineLevel="3" ht="15.75" customHeight="1">
      <c r="A989" s="10" t="n">
        <v>6</v>
      </c>
      <c r="B989" s="10" t="inlineStr">
        <is>
          <t>Insumo</t>
        </is>
      </c>
      <c r="C989" s="10" t="inlineStr">
        <is>
          <t>Verga/contraverga de concreto, moldada in loco</t>
        </is>
      </c>
      <c r="D989" s="10" t="inlineStr">
        <is>
          <t>TABUA *2,5 X 30 CM EM PINUS, MISTA OU EQUIVALENTE DA REGIAO - BRUTA (M)</t>
        </is>
      </c>
      <c r="E989" s="11">
        <f t="array" ref="E989">_xlfn.XLOOKUP(D989,Insumos!B:B,Insumos!C:$C)</f>
        <v/>
      </c>
      <c r="F989" s="14" t="n">
        <v>0.8617522373999058</v>
      </c>
      <c r="G989" s="92">
        <f t="array" ref="G989">IF(B989="insumo",_xlfn.XLOOKUP($D989,Insumos!$B$1:$B$996,Insumos!$D$1:$D$996),"")</f>
        <v/>
      </c>
      <c r="H989" s="92" t="n">
        <v>36.59</v>
      </c>
      <c r="I989" s="2162" t="e">
        <v>#REF!</v>
      </c>
      <c r="J989" s="2162" t="e">
        <v>#REF!</v>
      </c>
      <c r="K989" s="2162" t="n"/>
    </row>
    <row r="990" outlineLevel="1" ht="15.75" customHeight="1">
      <c r="A990" s="1090" t="n">
        <v>1</v>
      </c>
      <c r="B990" s="1090" t="inlineStr">
        <is>
          <t>Subetapa</t>
        </is>
      </c>
      <c r="C990" s="1090" t="inlineStr">
        <is>
          <t>Verga/contraverga de concreto, moldada in loco</t>
        </is>
      </c>
      <c r="D990" s="1090" t="inlineStr">
        <is>
          <t>CERAMICO ESTRUTURAL</t>
        </is>
      </c>
      <c r="E990" s="1091" t="n"/>
      <c r="F990" s="2160" t="n"/>
      <c r="G990" s="1091" t="n"/>
      <c r="H990" s="1091" t="n">
        <v>0</v>
      </c>
      <c r="I990" s="2160" t="n">
        <v>0</v>
      </c>
      <c r="J990" s="2160" t="n">
        <v>0</v>
      </c>
      <c r="K990" s="2160" t="n"/>
    </row>
    <row r="991" outlineLevel="2" ht="15.75" customHeight="1">
      <c r="A991" s="1067" t="n">
        <v>1</v>
      </c>
      <c r="B991" s="1067" t="inlineStr">
        <is>
          <t>Serviço</t>
        </is>
      </c>
      <c r="C991" s="1067" t="inlineStr">
        <is>
          <t>Alvenaria de vedacao de blocos ceramicos estrutural de 14x19x29cm (espessura 14cm) com argamassa industrializada de assentamento</t>
        </is>
      </c>
      <c r="D991" s="1067" t="inlineStr">
        <is>
          <t>Alvenaria de vedacao de blocos ceramicos estrutural de 14x19x29cm (espessura 14cm) com argamassa industrializada de assentamento</t>
        </is>
      </c>
      <c r="E991" s="1068" t="inlineStr">
        <is>
          <t>M2</t>
        </is>
      </c>
      <c r="F991" s="1067" t="n"/>
      <c r="G991" s="1069">
        <f t="array" ref="G991">IF(B991="insumo",_xlfn.XLOOKUP($D991,Insumos!$B$1:$B$996,Insumos!$D$1:$D$996),"")</f>
        <v/>
      </c>
      <c r="H991" s="1069" t="n">
        <v>60.94</v>
      </c>
      <c r="I991" s="2161" t="n">
        <v>0</v>
      </c>
      <c r="J991" s="2161" t="n">
        <v>0</v>
      </c>
      <c r="K991" s="2161" t="n"/>
    </row>
    <row r="992" outlineLevel="3" ht="15.75" customHeight="1">
      <c r="A992" s="10" t="n">
        <v>1</v>
      </c>
      <c r="B992" s="10" t="inlineStr">
        <is>
          <t>Insumo</t>
        </is>
      </c>
      <c r="C992" s="10" t="inlineStr">
        <is>
          <t>Alvenaria de vedacao de blocos ceramicos estrutural de 14x19x29cm (espessura 14cm) com argamassa industrializada de assentamento</t>
        </is>
      </c>
      <c r="D992" s="10" t="inlineStr">
        <is>
          <t>BLOCO CERÂMICO ESTRUTURAL 04MPA 14X19X29CM NBR 6136</t>
        </is>
      </c>
      <c r="E992" s="11">
        <f t="array" ref="E992">_xlfn.XLOOKUP(D992,Insumos!B:B,Insumos!C:$C)</f>
        <v/>
      </c>
      <c r="F992" s="14">
        <f>ROUNDUP(1/(0.19*0.29),)</f>
        <v/>
      </c>
      <c r="G992" s="92">
        <f t="array" ref="G992">IF(B992="insumo",_xlfn.XLOOKUP($D992,Insumos!$B$1:$B$996,Insumos!$D$1:$D$996),"")</f>
        <v/>
      </c>
      <c r="H992" s="92" t="n">
        <v>52.44</v>
      </c>
      <c r="I992" s="2162" t="n">
        <v>0</v>
      </c>
      <c r="J992" s="2162" t="n">
        <v>0</v>
      </c>
      <c r="K992" s="2162" t="n"/>
    </row>
    <row r="993" outlineLevel="3" ht="15.75" customHeight="1">
      <c r="A993" s="10" t="n">
        <v>17</v>
      </c>
      <c r="B993" s="10" t="inlineStr">
        <is>
          <t>Insumo</t>
        </is>
      </c>
      <c r="C993" s="10" t="inlineStr">
        <is>
          <t>Alvenaria de vedacao de blocos ceramicos estrutural de 14x19x29cm (espessura 14cm) com argamassa industrializada de assentamento</t>
        </is>
      </c>
      <c r="D993" s="10" t="inlineStr">
        <is>
          <t>ARGAMASSA ESTABILIZADA PARA ASSENTAMENTO</t>
        </is>
      </c>
      <c r="E993" s="11">
        <f t="array" ref="E993">_xlfn.XLOOKUP(D993,Insumos!B:B,Insumos!C:$C)</f>
        <v/>
      </c>
      <c r="F993" s="14" t="n">
        <v>0.02</v>
      </c>
      <c r="G993" s="92">
        <f t="array" ref="G993">IF(B993="insumo",_xlfn.XLOOKUP($D993,Insumos!$B$1:$B$996,Insumos!$D$1:$D$996),"")</f>
        <v/>
      </c>
      <c r="H993" s="92" t="n">
        <v>8.5</v>
      </c>
      <c r="I993" s="2162" t="n">
        <v>0</v>
      </c>
      <c r="J993" s="2162" t="n">
        <v>0</v>
      </c>
      <c r="K993" s="2162" t="n"/>
    </row>
    <row r="994" outlineLevel="1" ht="15.75" customHeight="1">
      <c r="A994" s="1090" t="n">
        <v>1</v>
      </c>
      <c r="B994" s="1090" t="inlineStr">
        <is>
          <t>Subetapa</t>
        </is>
      </c>
      <c r="C994" s="1090" t="inlineStr">
        <is>
          <t>Alvenaria de vedacao de blocos ceramicos estrutural de 14x19x29cm (espessura 14cm) com argamassa industrializada de assentamento</t>
        </is>
      </c>
      <c r="D994" s="1090" t="inlineStr">
        <is>
          <t>CONCRETO ESTRUTURAL</t>
        </is>
      </c>
      <c r="E994" s="1091" t="n"/>
      <c r="F994" s="2160" t="n"/>
      <c r="G994" s="1091" t="n"/>
      <c r="H994" s="1091" t="n">
        <v>0</v>
      </c>
      <c r="I994" s="2160" t="n">
        <v>0</v>
      </c>
      <c r="J994" s="2160" t="n">
        <v>0</v>
      </c>
      <c r="K994" s="2160" t="n"/>
    </row>
    <row r="995" outlineLevel="2" ht="15.75" customHeight="1">
      <c r="A995" s="1067" t="n">
        <v>1</v>
      </c>
      <c r="B995" s="1067" t="inlineStr">
        <is>
          <t>Serviço</t>
        </is>
      </c>
      <c r="C995" s="1067" t="inlineStr">
        <is>
          <t>Alvenaria Estrutural Bloco de concreto de 4,0 MPA, com argamassa estabilizada</t>
        </is>
      </c>
      <c r="D995" s="1067" t="inlineStr">
        <is>
          <t>Alvenaria Estrutural Bloco de concreto de 4,0 MPA, com argamassa estabilizada</t>
        </is>
      </c>
      <c r="E995" s="1068" t="inlineStr">
        <is>
          <t>M2</t>
        </is>
      </c>
      <c r="F995" s="1067" t="n"/>
      <c r="G995" s="1069">
        <f t="array" ref="G995">IF(B995="insumo",_xlfn.XLOOKUP($D995,Insumos!$B$1:$B$996,Insumos!$D$1:$D$996),"")</f>
        <v/>
      </c>
      <c r="H995" s="1069" t="n">
        <v>12.2904694642892</v>
      </c>
      <c r="I995" s="2161" t="n">
        <v>0</v>
      </c>
      <c r="J995" s="2161" t="n">
        <v>0</v>
      </c>
      <c r="K995" s="2161" t="n"/>
    </row>
    <row r="996" outlineLevel="3" ht="15.75" customHeight="1">
      <c r="A996" s="10" t="n">
        <v>1</v>
      </c>
      <c r="B996" s="10" t="inlineStr">
        <is>
          <t>Insumo</t>
        </is>
      </c>
      <c r="C996" s="10" t="inlineStr">
        <is>
          <t>Alvenaria Estrutural Bloco de concreto de 4,0 MPA, com argamassa estabilizada</t>
        </is>
      </c>
      <c r="D996" s="10" t="inlineStr">
        <is>
          <t>BLOCO CONCRETO ESTRUTURAL 04MPA 14X19X44CM NBR 6136</t>
        </is>
      </c>
      <c r="E996" s="11">
        <f t="array" ref="E996">_xlfn.XLOOKUP(D996,Insumos!B:B,Insumos!C:$C)</f>
        <v/>
      </c>
      <c r="F996" s="14" t="n">
        <v>0.03859017236943658</v>
      </c>
      <c r="G996" s="92">
        <f t="array" ref="G996">IF(B996="insumo",_xlfn.XLOOKUP($D996,Insumos!$B$1:$B$996,Insumos!$D$1:$D$996),"")</f>
        <v/>
      </c>
      <c r="H996" s="92" t="n">
        <v>0.155132492925135</v>
      </c>
      <c r="I996" s="2162" t="n">
        <v>0</v>
      </c>
      <c r="J996" s="2162" t="n">
        <v>0</v>
      </c>
      <c r="K996" s="2162" t="n"/>
    </row>
    <row r="997" outlineLevel="3" ht="15.75" customHeight="1">
      <c r="A997" s="10" t="n">
        <v>1</v>
      </c>
      <c r="B997" s="10" t="inlineStr">
        <is>
          <t>Insumo</t>
        </is>
      </c>
      <c r="C997" s="10" t="inlineStr">
        <is>
          <t>Alvenaria Estrutural Bloco de concreto de 4,0 MPA, com argamassa estabilizada</t>
        </is>
      </c>
      <c r="D997" s="10" t="inlineStr">
        <is>
          <t>BLOCO CONCRETO ESTRUTURAL 04MPA 14X19X29CM NBR 6136</t>
        </is>
      </c>
      <c r="E997" s="11">
        <f t="array" ref="E997">_xlfn.XLOOKUP(D997,Insumos!B:B,Insumos!C:$C)</f>
        <v/>
      </c>
      <c r="F997" s="14" t="n">
        <v>1.606315924877798</v>
      </c>
      <c r="G997" s="92">
        <f t="array" ref="G997">IF(B997="insumo",_xlfn.XLOOKUP($D997,Insumos!$B$1:$B$996,Insumos!$D$1:$D$996),"")</f>
        <v/>
      </c>
      <c r="H997" s="92" t="n">
        <v>3.20941921790584</v>
      </c>
      <c r="I997" s="2162" t="n">
        <v>0</v>
      </c>
      <c r="J997" s="2162" t="n">
        <v>0</v>
      </c>
      <c r="K997" s="2162" t="n"/>
    </row>
    <row r="998" outlineLevel="3" ht="15.75" customHeight="1">
      <c r="A998" s="10" t="n">
        <v>1</v>
      </c>
      <c r="B998" s="10" t="inlineStr">
        <is>
          <t>Insumo</t>
        </is>
      </c>
      <c r="C998" s="10" t="inlineStr">
        <is>
          <t>Alvenaria Estrutural Bloco de concreto de 4,0 MPA, com argamassa estabilizada</t>
        </is>
      </c>
      <c r="D998" s="10" t="inlineStr">
        <is>
          <t>BLOCO CONCRETO ESTRUTURAL 04MPA 14X19X14CM NBR 6136</t>
        </is>
      </c>
      <c r="E998" s="11">
        <f t="array" ref="E998">_xlfn.XLOOKUP(D998,Insumos!B:B,Insumos!C:$C)</f>
        <v/>
      </c>
      <c r="F998" s="14" t="n">
        <v>0.09004373552868537</v>
      </c>
      <c r="G998" s="92">
        <f t="array" ref="G998">IF(B998="insumo",_xlfn.XLOOKUP($D998,Insumos!$B$1:$B$996,Insumos!$D$1:$D$996),"")</f>
        <v/>
      </c>
      <c r="H998" s="92" t="n">
        <v>0.123900180087471</v>
      </c>
      <c r="I998" s="2162" t="n">
        <v>0</v>
      </c>
      <c r="J998" s="2162" t="n">
        <v>0</v>
      </c>
      <c r="K998" s="2162" t="n"/>
    </row>
    <row r="999" outlineLevel="3" ht="15.75" customHeight="1">
      <c r="A999" s="10" t="n">
        <v>1</v>
      </c>
      <c r="B999" s="10" t="inlineStr">
        <is>
          <t>Insumo</t>
        </is>
      </c>
      <c r="C999" s="10" t="inlineStr">
        <is>
          <t>Alvenaria Estrutural Bloco de concreto de 4,0 MPA, com argamassa estabilizada</t>
        </is>
      </c>
      <c r="D999" s="10" t="inlineStr">
        <is>
          <t>BLOCO CONCRETO ESTRUTURAL 04MPA 14X19X09CM NBR 6136</t>
        </is>
      </c>
      <c r="E999" s="11">
        <f t="array" ref="E999">_xlfn.XLOOKUP(D999,Insumos!B:B,Insumos!C:$C)</f>
        <v/>
      </c>
      <c r="F999" s="14" t="n">
        <v>0.03859017236943658</v>
      </c>
      <c r="G999" s="92">
        <f t="array" ref="G999">IF(B999="insumo",_xlfn.XLOOKUP($D999,Insumos!$B$1:$B$996,Insumos!$D$1:$D$996),"")</f>
        <v/>
      </c>
      <c r="H999" s="92" t="n">
        <v>0.153935208090083</v>
      </c>
      <c r="I999" s="2162" t="n">
        <v>0</v>
      </c>
      <c r="J999" s="2162" t="n">
        <v>0</v>
      </c>
      <c r="K999" s="2162" t="n"/>
    </row>
    <row r="1000" outlineLevel="3" ht="15.75" customHeight="1">
      <c r="A1000" s="10" t="n">
        <v>1</v>
      </c>
      <c r="B1000" s="10" t="inlineStr">
        <is>
          <t>Insumo</t>
        </is>
      </c>
      <c r="C1000" s="10" t="inlineStr">
        <is>
          <t>Alvenaria Estrutural Bloco de concreto de 4,0 MPA, com argamassa estabilizada</t>
        </is>
      </c>
      <c r="D1000" s="10" t="inlineStr">
        <is>
          <t>BLOCO CONCRETO ESTRUTURAL 04MPA 14X19X04CM NBR 6136</t>
        </is>
      </c>
      <c r="E1000" s="11">
        <f t="array" ref="E1000">_xlfn.XLOOKUP(D1000,Insumos!B:B,Insumos!C:$C)</f>
        <v/>
      </c>
      <c r="F1000" s="14" t="n">
        <v>0.03537432467198354</v>
      </c>
      <c r="G1000" s="92">
        <f t="array" ref="G1000">IF(B1000="insumo",_xlfn.XLOOKUP($D1000,Insumos!$B$1:$B$996,Insumos!$D$1:$D$996),"")</f>
        <v/>
      </c>
      <c r="H1000" s="92" t="n">
        <v>0.148082365280719</v>
      </c>
      <c r="I1000" s="2162" t="n">
        <v>0</v>
      </c>
      <c r="J1000" s="2162" t="n">
        <v>0</v>
      </c>
      <c r="K1000" s="2162" t="n"/>
    </row>
    <row r="1001" outlineLevel="3" ht="15.75" customHeight="1">
      <c r="A1001" s="10" t="n">
        <v>17</v>
      </c>
      <c r="B1001" s="10" t="inlineStr">
        <is>
          <t>Insumo</t>
        </is>
      </c>
      <c r="C1001" s="10" t="inlineStr">
        <is>
          <t>Alvenaria Estrutural Bloco de concreto de 4,0 MPA, com argamassa estabilizada</t>
        </is>
      </c>
      <c r="D1001" s="10" t="inlineStr">
        <is>
          <t>ARGAMASSA ESTABILIZADA PARA ASSENTAMENTO</t>
        </is>
      </c>
      <c r="E1001" s="11">
        <f t="array" ref="E1001">_xlfn.XLOOKUP(D1001,Insumos!B:B,Insumos!C:$C)</f>
        <v/>
      </c>
      <c r="F1001" s="14" t="n">
        <v>0.02</v>
      </c>
      <c r="G1001" s="92">
        <f t="array" ref="G1001">IF(B1001="insumo",_xlfn.XLOOKUP($D1001,Insumos!$B$1:$B$996,Insumos!$D$1:$D$996),"")</f>
        <v/>
      </c>
      <c r="H1001" s="92" t="n">
        <v>8.5</v>
      </c>
      <c r="I1001" s="2162" t="n">
        <v>0</v>
      </c>
      <c r="J1001" s="2162" t="n">
        <v>0</v>
      </c>
      <c r="K1001" s="2162" t="n"/>
    </row>
    <row r="1002" outlineLevel="2" ht="15.75" customHeight="1">
      <c r="A1002" s="1067" t="n">
        <v>1</v>
      </c>
      <c r="B1002" s="1067" t="inlineStr">
        <is>
          <t>Serviço</t>
        </is>
      </c>
      <c r="C1002" s="1067" t="inlineStr">
        <is>
          <t>Alvenaria Estrutural Bloco de concreto de 6,0 MPA, com argamassa estabilizada</t>
        </is>
      </c>
      <c r="D1002" s="1067" t="inlineStr">
        <is>
          <t>Alvenaria Estrutural Bloco de concreto de 6,0 MPA, com argamassa estabilizada</t>
        </is>
      </c>
      <c r="E1002" s="1068" t="inlineStr">
        <is>
          <t>M2</t>
        </is>
      </c>
      <c r="F1002" s="1067" t="n"/>
      <c r="G1002" s="1069">
        <f t="array" ref="G1002">IF(B1002="insumo",_xlfn.XLOOKUP($D1002,Insumos!$B$1:$B$996,Insumos!$D$1:$D$996),"")</f>
        <v/>
      </c>
      <c r="H1002" s="1069" t="n">
        <v>45.9660876018064</v>
      </c>
      <c r="I1002" s="2161" t="n">
        <v>0</v>
      </c>
      <c r="J1002" s="2161" t="n">
        <v>0</v>
      </c>
      <c r="K1002" s="2161" t="n"/>
    </row>
    <row r="1003" outlineLevel="3" ht="15.75" customHeight="1">
      <c r="A1003" s="10" t="n">
        <v>1</v>
      </c>
      <c r="B1003" s="10" t="inlineStr">
        <is>
          <t>Insumo</t>
        </is>
      </c>
      <c r="C1003" s="10" t="inlineStr">
        <is>
          <t>Alvenaria Estrutural Bloco de concreto de 6,0 MPA, com argamassa estabilizada</t>
        </is>
      </c>
      <c r="D1003" s="10" t="inlineStr">
        <is>
          <t>BLOCO CONCRETO ESTRUTURAL 06MPA 14X19X44CM NBR 6136</t>
        </is>
      </c>
      <c r="E1003" s="11">
        <f t="array" ref="E1003">_xlfn.XLOOKUP(D1003,Insumos!B:B,Insumos!C:$C)</f>
        <v/>
      </c>
      <c r="F1003" s="14" t="n">
        <v>0.1520073917319901</v>
      </c>
      <c r="G1003" s="92">
        <f t="array" ref="G1003">IF(B1003="insumo",_xlfn.XLOOKUP($D1003,Insumos!$B$1:$B$996,Insumos!$D$1:$D$996),"")</f>
        <v/>
      </c>
      <c r="H1003" s="92" t="n">
        <v>0.636758963965306</v>
      </c>
      <c r="I1003" s="2162" t="n">
        <v>0</v>
      </c>
      <c r="J1003" s="2162" t="n">
        <v>0</v>
      </c>
      <c r="K1003" s="2162" t="n"/>
    </row>
    <row r="1004" outlineLevel="3" ht="15.75" customHeight="1">
      <c r="A1004" s="10" t="n">
        <v>1</v>
      </c>
      <c r="B1004" s="10" t="inlineStr">
        <is>
          <t>Insumo</t>
        </is>
      </c>
      <c r="C1004" s="10" t="inlineStr">
        <is>
          <t>Alvenaria Estrutural Bloco de concreto de 6,0 MPA, com argamassa estabilizada</t>
        </is>
      </c>
      <c r="D1004" s="10" t="inlineStr">
        <is>
          <t>BLOCO CONCRETO ESTRUTURAL 06MPA 14X19X29CM NBR 6136</t>
        </is>
      </c>
      <c r="E1004" s="11">
        <f t="array" ref="E1004">_xlfn.XLOOKUP(D1004,Insumos!B:B,Insumos!C:$C)</f>
        <v/>
      </c>
      <c r="F1004" s="14" t="n">
        <v>11.7105302375488</v>
      </c>
      <c r="G1004" s="92">
        <f t="array" ref="G1004">IF(B1004="insumo",_xlfn.XLOOKUP($D1004,Insumos!$B$1:$B$996,Insumos!$D$1:$D$996),"")</f>
        <v/>
      </c>
      <c r="H1004" s="92" t="n">
        <v>24.5686924383774</v>
      </c>
      <c r="I1004" s="2162" t="n">
        <v>0</v>
      </c>
      <c r="J1004" s="2162" t="n">
        <v>0</v>
      </c>
      <c r="K1004" s="2162" t="n"/>
    </row>
    <row r="1005" outlineLevel="3" ht="15.75" customHeight="1">
      <c r="A1005" s="10" t="n">
        <v>1</v>
      </c>
      <c r="B1005" s="10" t="inlineStr">
        <is>
          <t>Insumo</t>
        </is>
      </c>
      <c r="C1005" s="10" t="inlineStr">
        <is>
          <t>Alvenaria Estrutural Bloco de concreto de 6,0 MPA, com argamassa estabilizada</t>
        </is>
      </c>
      <c r="D1005" s="10" t="inlineStr">
        <is>
          <t>BLOCO CONCRETO ESTRUTURAL 06MPA 14X19X14CM NBR 6136</t>
        </is>
      </c>
      <c r="E1005" s="11">
        <f t="array" ref="E1005">_xlfn.XLOOKUP(D1005,Insumos!B:B,Insumos!C:$C)</f>
        <v/>
      </c>
      <c r="F1005" s="14" t="n">
        <v>0.7570564215671663</v>
      </c>
      <c r="G1005" s="92">
        <f t="array" ref="G1005">IF(B1005="insumo",_xlfn.XLOOKUP($D1005,Insumos!$B$1:$B$996,Insumos!$D$1:$D$996),"")</f>
        <v/>
      </c>
      <c r="H1005" s="92" t="n">
        <v>1.08713302137045</v>
      </c>
      <c r="I1005" s="2162" t="n">
        <v>0</v>
      </c>
      <c r="J1005" s="2162" t="n">
        <v>0</v>
      </c>
      <c r="K1005" s="2162" t="n"/>
    </row>
    <row r="1006" outlineLevel="3" ht="15.75" customHeight="1">
      <c r="A1006" s="10" t="n">
        <v>1</v>
      </c>
      <c r="B1006" s="10" t="inlineStr">
        <is>
          <t>Insumo</t>
        </is>
      </c>
      <c r="C1006" s="10" t="inlineStr">
        <is>
          <t>Alvenaria Estrutural Bloco de concreto de 6,0 MPA, com argamassa estabilizada</t>
        </is>
      </c>
      <c r="D1006" s="10" t="inlineStr">
        <is>
          <t>BLOCO CONCRETO ESTRUTURAL 06MPA 14X19X09CM NBR 6136</t>
        </is>
      </c>
      <c r="E1006" s="11">
        <f t="array" ref="E1006">_xlfn.XLOOKUP(D1006,Insumos!B:B,Insumos!C:$C)</f>
        <v/>
      </c>
      <c r="F1006" s="14" t="n">
        <v>0.4142946558969926</v>
      </c>
      <c r="G1006" s="92">
        <f t="array" ref="G1006">IF(B1006="insumo",_xlfn.XLOOKUP($D1006,Insumos!$B$1:$B$996,Insumos!$D$1:$D$996),"")</f>
        <v/>
      </c>
      <c r="H1006" s="92" t="n">
        <v>1.65261075943321</v>
      </c>
      <c r="I1006" s="2162" t="n">
        <v>0</v>
      </c>
      <c r="J1006" s="2162" t="n">
        <v>0</v>
      </c>
      <c r="K1006" s="2162" t="n"/>
    </row>
    <row r="1007" outlineLevel="3" ht="15.75" customHeight="1">
      <c r="A1007" s="10" t="n">
        <v>1</v>
      </c>
      <c r="B1007" s="10" t="inlineStr">
        <is>
          <t>Insumo</t>
        </is>
      </c>
      <c r="C1007" s="10" t="inlineStr">
        <is>
          <t>Alvenaria Estrutural Bloco de concreto de 6,0 MPA, com argamassa estabilizada</t>
        </is>
      </c>
      <c r="D1007" s="10" t="inlineStr">
        <is>
          <t>BLOCO CONCRETO ESTRUTURAL 06MPA 14X19X04CM NBR 6136</t>
        </is>
      </c>
      <c r="E1007" s="11">
        <f t="array" ref="E1007">_xlfn.XLOOKUP(D1007,Insumos!B:B,Insumos!C:$C)</f>
        <v/>
      </c>
      <c r="F1007" s="14" t="n">
        <v>0.6318738636702332</v>
      </c>
      <c r="G1007" s="92">
        <f t="array" ref="G1007">IF(B1007="insumo",_xlfn.XLOOKUP($D1007,Insumos!$B$1:$B$996,Insumos!$D$1:$D$996),"")</f>
        <v/>
      </c>
      <c r="H1007" s="92" t="n">
        <v>2.64512120468724</v>
      </c>
      <c r="I1007" s="2162" t="n">
        <v>0</v>
      </c>
      <c r="J1007" s="2162" t="n">
        <v>0</v>
      </c>
      <c r="K1007" s="2162" t="n"/>
    </row>
    <row r="1008" outlineLevel="3" ht="15.75" customHeight="1">
      <c r="A1008" s="10" t="n">
        <v>1</v>
      </c>
      <c r="B1008" s="10" t="inlineStr">
        <is>
          <t>Insumo</t>
        </is>
      </c>
      <c r="C1008" s="10" t="inlineStr">
        <is>
          <t>Alvenaria Estrutural Bloco de concreto de 6,0 MPA, com argamassa estabilizada</t>
        </is>
      </c>
      <c r="D1008" s="10" t="inlineStr">
        <is>
          <t>CANALETA CONCRETO ESTRUTURAL "U" 06MPA 14X19X29CM NBR 6136</t>
        </is>
      </c>
      <c r="E1008" s="11">
        <f t="array" ref="E1008">_xlfn.XLOOKUP(D1008,Insumos!B:B,Insumos!C:$C)</f>
        <v/>
      </c>
      <c r="F1008" s="14" t="n">
        <v>2.080414890763315</v>
      </c>
      <c r="G1008" s="92">
        <f t="array" ref="G1008">IF(B1008="insumo",_xlfn.XLOOKUP($D1008,Insumos!$B$1:$B$996,Insumos!$D$1:$D$996),"")</f>
        <v/>
      </c>
      <c r="H1008" s="92" t="n">
        <v>6.87577121397276</v>
      </c>
      <c r="I1008" s="2162" t="n">
        <v>0</v>
      </c>
      <c r="J1008" s="2162" t="n">
        <v>0</v>
      </c>
      <c r="K1008" s="2162" t="n"/>
    </row>
    <row r="1009" outlineLevel="3" ht="15.75" customHeight="1">
      <c r="A1009" s="10" t="n">
        <v>17</v>
      </c>
      <c r="B1009" s="10" t="inlineStr">
        <is>
          <t>Insumo</t>
        </is>
      </c>
      <c r="C1009" s="10" t="inlineStr">
        <is>
          <t>Alvenaria Estrutural Bloco de concreto de 6,0 MPA, com argamassa estabilizada</t>
        </is>
      </c>
      <c r="D1009" s="10" t="inlineStr">
        <is>
          <t>ARGAMASSA ESTABILIZADA PARA ASSENTAMENTO</t>
        </is>
      </c>
      <c r="E1009" s="11">
        <f t="array" ref="E1009">_xlfn.XLOOKUP(D1009,Insumos!B:B,Insumos!C:$C)</f>
        <v/>
      </c>
      <c r="F1009" s="14" t="n">
        <v>0.02</v>
      </c>
      <c r="G1009" s="92">
        <f t="array" ref="G1009">IF(B1009="insumo",_xlfn.XLOOKUP($D1009,Insumos!$B$1:$B$996,Insumos!$D$1:$D$996),"")</f>
        <v/>
      </c>
      <c r="H1009" s="92" t="n">
        <v>8.5</v>
      </c>
      <c r="I1009" s="2162" t="n">
        <v>0</v>
      </c>
      <c r="J1009" s="2162" t="n">
        <v>0</v>
      </c>
      <c r="K1009" s="2162" t="n"/>
    </row>
    <row r="1010" outlineLevel="2" ht="15.75" customHeight="1">
      <c r="A1010" s="1067" t="n">
        <v>1</v>
      </c>
      <c r="B1010" s="1067" t="inlineStr">
        <is>
          <t>Serviço</t>
        </is>
      </c>
      <c r="C1010" s="1067" t="inlineStr">
        <is>
          <t>Alvenaria Estrutural Bloco de concreto de 8,0 MPA, com argamassa estabilizada</t>
        </is>
      </c>
      <c r="D1010" s="1067" t="inlineStr">
        <is>
          <t>Alvenaria Estrutural Bloco de concreto de 8,0 MPA, com argamassa estabilizada</t>
        </is>
      </c>
      <c r="E1010" s="1068" t="inlineStr">
        <is>
          <t>M2</t>
        </is>
      </c>
      <c r="F1010" s="1067" t="n"/>
      <c r="G1010" s="1069">
        <f t="array" ref="G1010">IF(B1010="insumo",_xlfn.XLOOKUP($D1010,Insumos!$B$1:$B$996,Insumos!$D$1:$D$996),"")</f>
        <v/>
      </c>
      <c r="H1010" s="1069" t="n">
        <v>58.1633102580239</v>
      </c>
      <c r="I1010" s="2161" t="n">
        <v>0</v>
      </c>
      <c r="J1010" s="2161" t="n">
        <v>0</v>
      </c>
      <c r="K1010" s="2161" t="n"/>
    </row>
    <row r="1011" outlineLevel="3" ht="15.75" customHeight="1">
      <c r="A1011" s="10" t="n">
        <v>1</v>
      </c>
      <c r="B1011" s="10" t="inlineStr">
        <is>
          <t>Insumo</t>
        </is>
      </c>
      <c r="C1011" s="10" t="inlineStr">
        <is>
          <t>Alvenaria Estrutural Bloco de concreto de 8,0 MPA, com argamassa estabilizada</t>
        </is>
      </c>
      <c r="D1011" s="10" t="inlineStr">
        <is>
          <t>BLOCO CONCRETO ESTRUTURAL 08MPA 19X19X39CM NBR 6136</t>
        </is>
      </c>
      <c r="E1011" s="11">
        <f t="array" ref="E1011">_xlfn.XLOOKUP(D1011,Insumos!B:B,Insumos!C:$C)</f>
        <v/>
      </c>
      <c r="F1011" s="14" t="n">
        <v>12.14600377595972</v>
      </c>
      <c r="G1011" s="92">
        <f t="array" ref="G1011">IF(B1011="insumo",_xlfn.XLOOKUP($D1011,Insumos!$B$1:$B$996,Insumos!$D$1:$D$996),"")</f>
        <v/>
      </c>
      <c r="H1011" s="92" t="n">
        <v>39.1101321585903</v>
      </c>
      <c r="I1011" s="2162" t="n">
        <v>0</v>
      </c>
      <c r="J1011" s="2162" t="n">
        <v>0</v>
      </c>
      <c r="K1011" s="2162" t="n"/>
    </row>
    <row r="1012" outlineLevel="3" ht="15.75" customHeight="1">
      <c r="A1012" s="10" t="n">
        <v>1</v>
      </c>
      <c r="B1012" s="10" t="inlineStr">
        <is>
          <t>Insumo</t>
        </is>
      </c>
      <c r="C1012" s="10" t="inlineStr">
        <is>
          <t>Alvenaria Estrutural Bloco de concreto de 8,0 MPA, com argamassa estabilizada</t>
        </is>
      </c>
      <c r="D1012" s="10" t="inlineStr">
        <is>
          <t>CANALETA CONCRETO ESTRUTURAL "U" 08MPA 19X19X39CM NBR 6136</t>
        </is>
      </c>
      <c r="E1012" s="11">
        <f t="array" ref="E1012">_xlfn.XLOOKUP(D1012,Insumos!B:B,Insumos!C:$C)</f>
        <v/>
      </c>
      <c r="F1012" s="14" t="n">
        <v>2.580239144115796</v>
      </c>
      <c r="G1012" s="92">
        <f t="array" ref="G1012">IF(B1012="insumo",_xlfn.XLOOKUP($D1012,Insumos!$B$1:$B$996,Insumos!$D$1:$D$996),"")</f>
        <v/>
      </c>
      <c r="H1012" s="92" t="n">
        <v>10.5531780994336</v>
      </c>
      <c r="I1012" s="2162" t="n">
        <v>0</v>
      </c>
      <c r="J1012" s="2162" t="n">
        <v>0</v>
      </c>
      <c r="K1012" s="2162" t="n"/>
    </row>
    <row r="1013" outlineLevel="3" ht="15.75" customHeight="1">
      <c r="A1013" s="10" t="n">
        <v>17</v>
      </c>
      <c r="B1013" s="10" t="inlineStr">
        <is>
          <t>Insumo</t>
        </is>
      </c>
      <c r="C1013" s="10" t="inlineStr">
        <is>
          <t>Alvenaria Estrutural Bloco de concreto de 8,0 MPA, com argamassa estabilizada</t>
        </is>
      </c>
      <c r="D1013" s="10" t="inlineStr">
        <is>
          <t>ARGAMASSA ESTABILIZADA PARA ASSENTAMENTO</t>
        </is>
      </c>
      <c r="E1013" s="11">
        <f t="array" ref="E1013">_xlfn.XLOOKUP(D1013,Insumos!B:B,Insumos!C:$C)</f>
        <v/>
      </c>
      <c r="F1013" s="14" t="n">
        <v>0.02</v>
      </c>
      <c r="G1013" s="92">
        <f t="array" ref="G1013">IF(B1013="insumo",_xlfn.XLOOKUP($D1013,Insumos!$B$1:$B$996,Insumos!$D$1:$D$996),"")</f>
        <v/>
      </c>
      <c r="H1013" s="92" t="n">
        <v>8.5</v>
      </c>
      <c r="I1013" s="2162" t="n">
        <v>0</v>
      </c>
      <c r="J1013" s="2162" t="n">
        <v>0</v>
      </c>
      <c r="K1013" s="2162" t="n"/>
    </row>
    <row r="1014" outlineLevel="1" ht="15.75" customHeight="1">
      <c r="A1014" s="1090" t="n">
        <v>1</v>
      </c>
      <c r="B1014" s="1090" t="inlineStr">
        <is>
          <t>Subetapa</t>
        </is>
      </c>
      <c r="C1014" s="1090" t="inlineStr">
        <is>
          <t>Alvenaria Estrutural Bloco de concreto de 8,0 MPA, com argamassa estabilizada</t>
        </is>
      </c>
      <c r="D1014" s="1090" t="inlineStr">
        <is>
          <t>GROUT</t>
        </is>
      </c>
      <c r="E1014" s="1091" t="n"/>
      <c r="F1014" s="2160" t="n"/>
      <c r="G1014" s="1091" t="n"/>
      <c r="H1014" s="1091" t="n">
        <v>0</v>
      </c>
      <c r="I1014" s="2160" t="n">
        <v>0</v>
      </c>
      <c r="J1014" s="2160" t="n">
        <v>0</v>
      </c>
      <c r="K1014" s="2160" t="n"/>
    </row>
    <row r="1015" outlineLevel="2" ht="15.75" customHeight="1">
      <c r="A1015" s="1067" t="n">
        <v>1</v>
      </c>
      <c r="B1015" s="1067" t="inlineStr">
        <is>
          <t>Serviço</t>
        </is>
      </c>
      <c r="C1015" s="1067" t="inlineStr">
        <is>
          <t>Grout 15 Mpa</t>
        </is>
      </c>
      <c r="D1015" s="1067" t="inlineStr">
        <is>
          <t>Grout 15 Mpa</t>
        </is>
      </c>
      <c r="E1015" s="1068" t="inlineStr">
        <is>
          <t>M3</t>
        </is>
      </c>
      <c r="F1015" s="1067" t="n"/>
      <c r="G1015" s="1069">
        <f t="array" ref="G1015">IF(B1015="insumo",_xlfn.XLOOKUP($D1015,Insumos!$B$1:$B$996,Insumos!$D$1:$D$996),"")</f>
        <v/>
      </c>
      <c r="H1015" s="1069" t="n">
        <v>492.303</v>
      </c>
      <c r="I1015" s="2161" t="n">
        <v>0</v>
      </c>
      <c r="J1015" s="2161" t="n">
        <v>0</v>
      </c>
      <c r="K1015" s="2161" t="n"/>
    </row>
    <row r="1016" outlineLevel="3" ht="15.75" customHeight="1">
      <c r="A1016" s="10" t="n">
        <v>1</v>
      </c>
      <c r="B1016" s="10" t="inlineStr">
        <is>
          <t>Insumo</t>
        </is>
      </c>
      <c r="C1016" s="10" t="inlineStr">
        <is>
          <t>Grout 15 Mpa</t>
        </is>
      </c>
      <c r="D1016" s="10" t="inlineStr">
        <is>
          <t>Grout 15 Mpa</t>
        </is>
      </c>
      <c r="E1016" s="11">
        <f t="array" ref="E1016">_xlfn.XLOOKUP(D1016,Insumos!B:B,Insumos!C:$C)</f>
        <v/>
      </c>
      <c r="F1016" s="14" t="n">
        <v>1.05</v>
      </c>
      <c r="G1016" s="92">
        <f t="array" ref="G1016">IF(B1016="insumo",_xlfn.XLOOKUP($D1016,Insumos!$B$1:$B$996,Insumos!$D$1:$D$996),"")</f>
        <v/>
      </c>
      <c r="H1016" s="92" t="n">
        <v>492.303</v>
      </c>
      <c r="I1016" s="2162" t="n">
        <v>0</v>
      </c>
      <c r="J1016" s="2162" t="n">
        <v>0</v>
      </c>
      <c r="K1016" s="2162" t="n"/>
    </row>
    <row r="1017" outlineLevel="2" ht="15.75" customHeight="1">
      <c r="A1017" s="1067" t="n">
        <v>1</v>
      </c>
      <c r="B1017" s="1067" t="inlineStr">
        <is>
          <t>Serviço</t>
        </is>
      </c>
      <c r="C1017" s="1067" t="inlineStr">
        <is>
          <t>Grout 20 Mpa</t>
        </is>
      </c>
      <c r="D1017" s="1067" t="inlineStr">
        <is>
          <t>Grout 20 Mpa</t>
        </is>
      </c>
      <c r="E1017" s="1068" t="inlineStr">
        <is>
          <t>M3</t>
        </is>
      </c>
      <c r="F1017" s="1067" t="n"/>
      <c r="G1017" s="1069">
        <f t="array" ref="G1017">IF(B1017="insumo",_xlfn.XLOOKUP($D1017,Insumos!$B$1:$B$996,Insumos!$D$1:$D$996),"")</f>
        <v/>
      </c>
      <c r="H1017" s="1069" t="n">
        <v>518.175</v>
      </c>
      <c r="I1017" s="2161" t="n">
        <v>0</v>
      </c>
      <c r="J1017" s="2161" t="n">
        <v>0</v>
      </c>
      <c r="K1017" s="2161" t="n"/>
    </row>
    <row r="1018" outlineLevel="3" ht="15.75" customHeight="1">
      <c r="A1018" s="10" t="n">
        <v>1</v>
      </c>
      <c r="B1018" s="10" t="inlineStr">
        <is>
          <t>Insumo</t>
        </is>
      </c>
      <c r="C1018" s="10" t="inlineStr">
        <is>
          <t>Grout 20 Mpa</t>
        </is>
      </c>
      <c r="D1018" s="10" t="inlineStr">
        <is>
          <t>Grout 20 Mpa</t>
        </is>
      </c>
      <c r="E1018" s="11">
        <f t="array" ref="E1018">_xlfn.XLOOKUP(D1018,Insumos!B:B,Insumos!C:$C)</f>
        <v/>
      </c>
      <c r="F1018" s="14" t="n">
        <v>1.05</v>
      </c>
      <c r="G1018" s="92">
        <f t="array" ref="G1018">IF(B1018="insumo",_xlfn.XLOOKUP($D1018,Insumos!$B$1:$B$996,Insumos!$D$1:$D$996),"")</f>
        <v/>
      </c>
      <c r="H1018" s="92" t="n">
        <v>518.175</v>
      </c>
      <c r="I1018" s="2162" t="n">
        <v>0</v>
      </c>
      <c r="J1018" s="2162" t="n">
        <v>0</v>
      </c>
      <c r="K1018" s="2162" t="n"/>
    </row>
    <row r="1019" outlineLevel="1" ht="15.75" customHeight="1">
      <c r="A1019" s="1090" t="n">
        <v>1</v>
      </c>
      <c r="B1019" s="1090" t="inlineStr">
        <is>
          <t>Subetapa</t>
        </is>
      </c>
      <c r="C1019" s="1090" t="inlineStr">
        <is>
          <t>Grout 20 Mpa</t>
        </is>
      </c>
      <c r="D1019" s="1090" t="inlineStr">
        <is>
          <t>DRYWALL - PERSONALIZADO</t>
        </is>
      </c>
      <c r="E1019" s="1091" t="n"/>
      <c r="F1019" s="2160" t="n"/>
      <c r="G1019" s="1091" t="n"/>
      <c r="H1019" s="1091" t="n">
        <v>0</v>
      </c>
      <c r="I1019" s="2160" t="n">
        <v>0</v>
      </c>
      <c r="J1019" s="2160" t="n">
        <v>0</v>
      </c>
      <c r="K1019" s="2160" t="n"/>
    </row>
    <row r="1020" outlineLevel="2" ht="18" customHeight="1">
      <c r="A1020" s="1076" t="n">
        <v>1</v>
      </c>
      <c r="B1020" s="1076" t="inlineStr">
        <is>
          <t>Serviço</t>
        </is>
      </c>
      <c r="C1020" s="1077" t="inlineStr">
        <is>
          <t>Parede Com Sistema Em Chapas De Gesso Para Drywall, Uso Interno, Montante 48mm  (48 / HU)</t>
        </is>
      </c>
      <c r="D1020" s="1077" t="inlineStr">
        <is>
          <t>Parede Com Sistema Em Chapas De Gesso Para Drywall, Uso Interno, Montante 48mm  (48 / HU)</t>
        </is>
      </c>
      <c r="E1020" s="1078" t="inlineStr">
        <is>
          <t>M2</t>
        </is>
      </c>
      <c r="F1020" s="1076" t="n"/>
      <c r="G1020" s="1069">
        <f t="array" ref="G1020">IF(B1020="insumo",_xlfn.XLOOKUP($D1020,Insumos!$B$1:$B$993,Insumos!$D$1:$D$993),"")</f>
        <v/>
      </c>
      <c r="H1020" s="1069" t="n">
        <v>103.175377</v>
      </c>
      <c r="I1020" s="2167" t="e">
        <v>#REF!</v>
      </c>
      <c r="J1020" s="2167" t="e">
        <v>#REF!</v>
      </c>
      <c r="K1020" s="2167" t="n"/>
    </row>
    <row r="1021" outlineLevel="3" ht="18" customHeight="1">
      <c r="A1021" s="471" t="n">
        <v>49</v>
      </c>
      <c r="B1021" s="471" t="inlineStr">
        <is>
          <t>Insumo</t>
        </is>
      </c>
      <c r="C1021" s="1053" t="inlineStr">
        <is>
          <t>Parede Com Sistema Em Chapas De Gesso Para Drywall, Uso Interno, Montante 48mm  (48 / HU)</t>
        </is>
      </c>
      <c r="D1021" s="1053" t="inlineStr">
        <is>
          <t>PLACA / CHAPA DE GESSO ACARTONADO, RESISTENTE A UMIDADE (RU), COR VERDE, E = 12,5 MM, 1200 X 2400 MM (L X C)</t>
        </is>
      </c>
      <c r="E1021" s="11">
        <f t="array" ref="E1021">_xlfn.XLOOKUP(D1021,Insumos!B:B,Insumos!C:$C)</f>
        <v/>
      </c>
      <c r="F1021" s="2164">
        <f>1.053</f>
        <v/>
      </c>
      <c r="G1021" s="92">
        <f t="array" ref="G1021">IF(B1021="insumo",_xlfn.XLOOKUP($D1021,Insumos!$B$1:$B$993,Insumos!$D$1:$D$993),"")</f>
        <v/>
      </c>
      <c r="H1021" s="92" t="n">
        <v>28.5363</v>
      </c>
      <c r="I1021" s="2165" t="e">
        <v>#REF!</v>
      </c>
      <c r="J1021" s="2165" t="e">
        <v>#REF!</v>
      </c>
      <c r="K1021" s="2165" t="n"/>
    </row>
    <row r="1022" outlineLevel="3" ht="12.75" customHeight="1">
      <c r="A1022" s="471" t="n">
        <v>10</v>
      </c>
      <c r="B1022" s="471" t="inlineStr">
        <is>
          <t>Insumo</t>
        </is>
      </c>
      <c r="C1022" s="10" t="inlineStr">
        <is>
          <t>Parede Com Sistema Em Chapas De Gesso Para Drywall, Uso Interno, Montante 48mm  (48 / HU)</t>
        </is>
      </c>
      <c r="D1022" s="10" t="inlineStr">
        <is>
          <t>PLACA / CHAPA DE GESSO ACARTONADO HARDBOARD (HB) E = 12,5 MM, 1200 X 1800 MM (L X C)</t>
        </is>
      </c>
      <c r="E1022" s="11">
        <f t="array" ref="E1022">_xlfn.XLOOKUP(D1022,Insumos!B:B,Insumos!C:$C)</f>
        <v/>
      </c>
      <c r="F1022" s="2164">
        <f>1.053</f>
        <v/>
      </c>
      <c r="G1022" s="92">
        <f t="array" ref="G1022">IF(B1022="insumo",_xlfn.XLOOKUP($D1022,Insumos!$B$1:$B$993,Insumos!$D$1:$D$993),"")</f>
        <v/>
      </c>
      <c r="H1022" s="92" t="n">
        <v>36.343125</v>
      </c>
      <c r="I1022" s="2165" t="e">
        <v>#REF!</v>
      </c>
      <c r="J1022" s="2165" t="e">
        <v>#REF!</v>
      </c>
      <c r="K1022" s="2165" t="n"/>
    </row>
    <row r="1023" outlineLevel="3" ht="18" customHeight="1">
      <c r="A1023" s="471" t="n">
        <v>95</v>
      </c>
      <c r="B1023" s="471" t="inlineStr">
        <is>
          <t>Insumo</t>
        </is>
      </c>
      <c r="C1023" s="1053" t="inlineStr">
        <is>
          <t>Parede Com Sistema Em Chapas De Gesso Para Drywall, Uso Interno, Montante 48mm  (48 / HU)</t>
        </is>
      </c>
      <c r="D1023" s="1053" t="inlineStr">
        <is>
          <t>PINO DE ACO COM ARRUELA CONICA, DIAMETRO ARRUELA = *23* MM E COMP HASTE = *27* MM (ACAO INDIRETA)</t>
        </is>
      </c>
      <c r="E1023" s="11">
        <f t="array" ref="E1023">_xlfn.XLOOKUP(D1023,Insumos!B:B,Insumos!C:$C)</f>
        <v/>
      </c>
      <c r="F1023" s="2164" t="n">
        <v>4.95</v>
      </c>
      <c r="G1023" s="92">
        <f t="array" ref="G1023">IF(B1023="insumo",_xlfn.XLOOKUP($D1023,Insumos!$B$1:$B$993,Insumos!$D$1:$D$993),"")</f>
        <v/>
      </c>
      <c r="H1023" s="92" t="n">
        <v>2.4948</v>
      </c>
      <c r="I1023" s="2165" t="e">
        <v>#REF!</v>
      </c>
      <c r="J1023" s="2165" t="e">
        <v>#REF!</v>
      </c>
      <c r="K1023" s="2165" t="n"/>
    </row>
    <row r="1024" outlineLevel="3" ht="18" customHeight="1">
      <c r="A1024" s="471" t="n">
        <v>26</v>
      </c>
      <c r="B1024" s="471" t="inlineStr">
        <is>
          <t>Insumo</t>
        </is>
      </c>
      <c r="C1024" s="1053" t="inlineStr">
        <is>
          <t>Parede Com Sistema Em Chapas De Gesso Para Drywall, Uso Interno, Montante 48mm  (48 / HU)</t>
        </is>
      </c>
      <c r="D1024" s="1053" t="inlineStr">
        <is>
          <t>PERFIL GUIA, FORMATO U, EM ACO ZINCADO, PARA ESTRUTURA PAREDE DRYWALL, E = 0,5 MM, 48 X 3000 MM (L X C)</t>
        </is>
      </c>
      <c r="E1024" s="11">
        <f t="array" ref="E1024">_xlfn.XLOOKUP(D1024,Insumos!B:B,Insumos!C:$C)</f>
        <v/>
      </c>
      <c r="F1024" s="2164" t="n">
        <v>1.5248</v>
      </c>
      <c r="G1024" s="92">
        <f t="array" ref="G1024">IF(B1024="insumo",_xlfn.XLOOKUP($D1024,Insumos!$B$1:$B$993,Insumos!$D$1:$D$993),"")</f>
        <v/>
      </c>
      <c r="H1024" s="92" t="n">
        <v>10.719344</v>
      </c>
      <c r="I1024" s="2165" t="e">
        <v>#REF!</v>
      </c>
      <c r="J1024" s="2165" t="e">
        <v>#REF!</v>
      </c>
      <c r="K1024" s="2165" t="n"/>
    </row>
    <row r="1025" outlineLevel="3" ht="18" customHeight="1">
      <c r="A1025" s="471" t="n">
        <v>26</v>
      </c>
      <c r="B1025" s="471" t="inlineStr">
        <is>
          <t>Insumo</t>
        </is>
      </c>
      <c r="C1025" s="1053" t="inlineStr">
        <is>
          <t>Parede Com Sistema Em Chapas De Gesso Para Drywall, Uso Interno, Montante 48mm  (48 / HU)</t>
        </is>
      </c>
      <c r="D1025" s="1053" t="inlineStr">
        <is>
          <t>PERFIL MONTANTE, FORMATO C, EM ACO ZINCADO, PARA ESTRUTURA PAREDE DRYWALL, E = 0,5 MM, 48 X 3000 MM (L X C)</t>
        </is>
      </c>
      <c r="E1025" s="11">
        <f t="array" ref="E1025">_xlfn.XLOOKUP(D1025,Insumos!B:B,Insumos!C:$C)</f>
        <v/>
      </c>
      <c r="F1025" s="2164" t="n">
        <v>2.0006</v>
      </c>
      <c r="G1025" s="92">
        <f t="array" ref="G1025">IF(B1025="insumo",_xlfn.XLOOKUP($D1025,Insumos!$B$1:$B$993,Insumos!$D$1:$D$993),"")</f>
        <v/>
      </c>
      <c r="H1025" s="92" t="n">
        <v>15.964788</v>
      </c>
      <c r="I1025" s="2165" t="e">
        <v>#REF!</v>
      </c>
      <c r="J1025" s="2165" t="e">
        <v>#REF!</v>
      </c>
      <c r="K1025" s="2165" t="n"/>
    </row>
    <row r="1026" outlineLevel="3" ht="18" customHeight="1">
      <c r="A1026" s="471" t="n">
        <v>95</v>
      </c>
      <c r="B1026" s="471" t="inlineStr">
        <is>
          <t>Insumo</t>
        </is>
      </c>
      <c r="C1026" s="1053" t="inlineStr">
        <is>
          <t>Parede Com Sistema Em Chapas De Gesso Para Drywall, Uso Interno, Montante 48mm  (48 / HU)</t>
        </is>
      </c>
      <c r="D1026" s="1053" t="inlineStr">
        <is>
          <t>MASSA DE REJUNTE EM PO PARA DRYWALL, A BASE DE GESSO, SECAGEM RAPIDA, PARA TRATAMENTO DE JUNTAS DE CHAPA DE GESSO (NECESSITA ADICAO DE AGUA)</t>
        </is>
      </c>
      <c r="E1026" s="11">
        <f t="array" ref="E1026">_xlfn.XLOOKUP(D1026,Insumos!B:B,Insumos!C:$C)</f>
        <v/>
      </c>
      <c r="F1026" s="2164" t="n">
        <v>0.5489000000000001</v>
      </c>
      <c r="G1026" s="92">
        <f t="array" ref="G1026">IF(B1026="insumo",_xlfn.XLOOKUP($D1026,Insumos!$B$1:$B$993,Insumos!$D$1:$D$993),"")</f>
        <v/>
      </c>
      <c r="H1026" s="92" t="n">
        <v>1.882727</v>
      </c>
      <c r="I1026" s="2165" t="e">
        <v>#REF!</v>
      </c>
      <c r="J1026" s="2165" t="e">
        <v>#REF!</v>
      </c>
      <c r="K1026" s="2165" t="n"/>
    </row>
    <row r="1027" outlineLevel="3" ht="18" customHeight="1">
      <c r="A1027" s="471" t="n">
        <v>94</v>
      </c>
      <c r="B1027" s="471" t="inlineStr">
        <is>
          <t>Insumo</t>
        </is>
      </c>
      <c r="C1027" s="1053" t="inlineStr">
        <is>
          <t>Parede Com Sistema Em Chapas De Gesso Para Drywall, Uso Interno, Montante 48mm  (48 / HU)</t>
        </is>
      </c>
      <c r="D1027" s="1053" t="inlineStr">
        <is>
          <t>FITA DE PAPEL MICROPERFURADO, 50 X 150 MM, PARA TRATAMENTO DE JUNTAS DE CHAPA DE GESSO PARA DRYWALL</t>
        </is>
      </c>
      <c r="E1027" s="11">
        <f t="array" ref="E1027">_xlfn.XLOOKUP(D1027,Insumos!B:B,Insumos!C:$C)</f>
        <v/>
      </c>
      <c r="F1027" s="2164" t="n">
        <v>1.2513</v>
      </c>
      <c r="G1027" s="92">
        <f t="array" ref="G1027">IF(B1027="insumo",_xlfn.XLOOKUP($D1027,Insumos!$B$1:$B$993,Insumos!$D$1:$D$993),"")</f>
        <v/>
      </c>
      <c r="H1027" s="92" t="n">
        <v>0.387903</v>
      </c>
      <c r="I1027" s="2165" t="e">
        <v>#REF!</v>
      </c>
      <c r="J1027" s="2165" t="e">
        <v>#REF!</v>
      </c>
      <c r="K1027" s="2165" t="n"/>
    </row>
    <row r="1028" outlineLevel="3" ht="18" customHeight="1">
      <c r="A1028" s="471" t="n">
        <v>94</v>
      </c>
      <c r="B1028" s="471" t="inlineStr">
        <is>
          <t>Insumo</t>
        </is>
      </c>
      <c r="C1028" s="1053" t="inlineStr">
        <is>
          <t>Parede Com Sistema Em Chapas De Gesso Para Drywall, Uso Interno, Montante 48mm  (48 / HU)</t>
        </is>
      </c>
      <c r="D1028" s="1053" t="inlineStr">
        <is>
          <t>FITA DE PAPEL REFORCADA COM LAMINA DE METAL PARA REFORCO DE CANTOS DE CHAPA DE GESSO PARA DRYWALL</t>
        </is>
      </c>
      <c r="E1028" s="11">
        <f t="array" ref="E1028">_xlfn.XLOOKUP(D1028,Insumos!B:B,Insumos!C:$C)</f>
        <v/>
      </c>
      <c r="F1028" s="2164" t="n">
        <v>0.7407</v>
      </c>
      <c r="G1028" s="92">
        <f t="array" ref="G1028">IF(B1028="insumo",_xlfn.XLOOKUP($D1028,Insumos!$B$1:$B$993,Insumos!$D$1:$D$993),"")</f>
        <v/>
      </c>
      <c r="H1028" s="92" t="n">
        <v>2.029518</v>
      </c>
      <c r="I1028" s="2165" t="e">
        <v>#REF!</v>
      </c>
      <c r="J1028" s="2165" t="e">
        <v>#REF!</v>
      </c>
      <c r="K1028" s="2165" t="n"/>
    </row>
    <row r="1029" outlineLevel="3" ht="18" customHeight="1">
      <c r="A1029" s="471" t="n">
        <v>11</v>
      </c>
      <c r="B1029" s="471" t="inlineStr">
        <is>
          <t>Insumo</t>
        </is>
      </c>
      <c r="C1029" s="1053" t="inlineStr">
        <is>
          <t>Parede Com Sistema Em Chapas De Gesso Para Drywall, Uso Interno, Montante 48mm  (48 / HU)</t>
        </is>
      </c>
      <c r="D1029" s="1053" t="inlineStr">
        <is>
          <t>BANDA ACUSTICA</t>
        </is>
      </c>
      <c r="E1029" s="11">
        <f t="array" ref="E1029">_xlfn.XLOOKUP(D1029,Insumos!B:B,Insumos!C:$C)</f>
        <v/>
      </c>
      <c r="F1029" s="2164" t="n">
        <v>0.8</v>
      </c>
      <c r="G1029" s="92">
        <f t="array" ref="G1029">IF(B1029="insumo",_xlfn.XLOOKUP($D1029,Insumos!$B$1:$B$993,Insumos!$D$1:$D$993),"")</f>
        <v/>
      </c>
      <c r="H1029" s="92" t="n">
        <v>2.4</v>
      </c>
      <c r="I1029" s="2165" t="e">
        <v>#REF!</v>
      </c>
      <c r="J1029" s="2165" t="e">
        <v>#REF!</v>
      </c>
      <c r="K1029" s="2165" t="n"/>
    </row>
    <row r="1030" outlineLevel="3" ht="18" customHeight="1">
      <c r="A1030" s="471" t="n">
        <v>11</v>
      </c>
      <c r="B1030" s="471" t="inlineStr">
        <is>
          <t>Insumo</t>
        </is>
      </c>
      <c r="C1030" s="1053" t="inlineStr">
        <is>
          <t>Parede Com Sistema Em Chapas De Gesso Para Drywall, Uso Interno, Montante 48mm  (48 / HU)</t>
        </is>
      </c>
      <c r="D1030" s="1053" t="inlineStr">
        <is>
          <t>Aplicação de zarcão nas guias inferiores</t>
        </is>
      </c>
      <c r="E1030" s="11">
        <f t="array" ref="E1030">_xlfn.XLOOKUP(D1030,Insumos!B:B,Insumos!C:$C)</f>
        <v/>
      </c>
      <c r="F1030" s="2164" t="n">
        <v>0.84</v>
      </c>
      <c r="G1030" s="92">
        <f t="array" ref="G1030">IF(B1030="insumo",_xlfn.XLOOKUP($D1030,Insumos!$B$1:$B$993,Insumos!$D$1:$D$993),"")</f>
        <v/>
      </c>
      <c r="H1030" s="92" t="n">
        <v>0.504</v>
      </c>
      <c r="I1030" s="2165" t="e">
        <v>#REF!</v>
      </c>
      <c r="J1030" s="2165" t="e">
        <v>#REF!</v>
      </c>
      <c r="K1030" s="2165" t="n"/>
    </row>
    <row r="1031" outlineLevel="3" ht="18" customHeight="1">
      <c r="A1031" s="471" t="n">
        <v>97</v>
      </c>
      <c r="B1031" s="471" t="inlineStr">
        <is>
          <t>Insumo</t>
        </is>
      </c>
      <c r="C1031" s="1053" t="inlineStr">
        <is>
          <t>Parede Com Sistema Em Chapas De Gesso Para Drywall, Uso Interno, Montante 48mm  (48 / HU)</t>
        </is>
      </c>
      <c r="D1031" s="1053" t="inlineStr">
        <is>
          <t>PARAFUSO DRY WALL, EM ACO FOSFATIZADO, CABECA TROMBETA E PONTA AGULHA (TA), COMPRIMENTO 25 MM</t>
        </is>
      </c>
      <c r="E1031" s="11">
        <f t="array" ref="E1031">_xlfn.XLOOKUP(D1031,Insumos!B:B,Insumos!C:$C)</f>
        <v/>
      </c>
      <c r="F1031" s="2164" t="n">
        <v>20.1868</v>
      </c>
      <c r="G1031" s="92">
        <f t="array" ref="G1031">IF(B1031="insumo",_xlfn.XLOOKUP($D1031,Insumos!$B$1:$B$993,Insumos!$D$1:$D$993),"")</f>
        <v/>
      </c>
      <c r="H1031" s="92" t="n">
        <v>1.816812</v>
      </c>
      <c r="I1031" s="2165" t="e">
        <v>#REF!</v>
      </c>
      <c r="J1031" s="2165" t="e">
        <v>#REF!</v>
      </c>
      <c r="K1031" s="2165" t="n"/>
    </row>
    <row r="1032" outlineLevel="3" ht="18" customHeight="1">
      <c r="A1032" s="471" t="n">
        <v>95</v>
      </c>
      <c r="B1032" s="471" t="inlineStr">
        <is>
          <t>Insumo</t>
        </is>
      </c>
      <c r="C1032" s="1053" t="inlineStr">
        <is>
          <t>Parede Com Sistema Em Chapas De Gesso Para Drywall, Uso Interno, Montante 48mm  (48 / HU)</t>
        </is>
      </c>
      <c r="D1032" s="1053" t="inlineStr">
        <is>
          <t>PARAFUSO DRY WALL, EM ACO ZINCADO, CABECA LENTILHA E PONTA BROCA (LB), LARGURA 4,2 MM, COMPRIMENTO 13 MM</t>
        </is>
      </c>
      <c r="E1032" s="11">
        <f t="array" ref="E1032">_xlfn.XLOOKUP(D1032,Insumos!B:B,Insumos!C:$C)</f>
        <v/>
      </c>
      <c r="F1032" s="2164" t="n">
        <v>0.4803</v>
      </c>
      <c r="G1032" s="92">
        <f t="array" ref="G1032">IF(B1032="insumo",_xlfn.XLOOKUP($D1032,Insumos!$B$1:$B$993,Insumos!$D$1:$D$993),"")</f>
        <v/>
      </c>
      <c r="H1032" s="92" t="n">
        <v>0.09606000000000001</v>
      </c>
      <c r="I1032" s="2165" t="e">
        <v>#REF!</v>
      </c>
      <c r="J1032" s="2165" t="e">
        <v>#REF!</v>
      </c>
      <c r="K1032" s="2165" t="n"/>
    </row>
    <row r="1033" outlineLevel="2" ht="18" customHeight="1">
      <c r="A1033" s="1076" t="n">
        <v>1</v>
      </c>
      <c r="B1033" s="1076" t="inlineStr">
        <is>
          <t>Serviço</t>
        </is>
      </c>
      <c r="C1033" s="1077" t="inlineStr">
        <is>
          <t>Parede Com Sistema Em Chapas De Gesso Para Drywall, Uso Interno, Montante 48mm  (48 / HS)</t>
        </is>
      </c>
      <c r="D1033" s="1077" t="inlineStr">
        <is>
          <t>Parede Com Sistema Em Chapas De Gesso Para Drywall, Uso Interno, Montante 48mm  (48 / HS)</t>
        </is>
      </c>
      <c r="E1033" s="1078" t="inlineStr">
        <is>
          <t>M2</t>
        </is>
      </c>
      <c r="F1033" s="1076" t="n"/>
      <c r="G1033" s="1069">
        <f t="array" ref="G1033">IF(B1033="insumo",_xlfn.XLOOKUP($D1033,Insumos!$B$1:$B$993,Insumos!$D$1:$D$993),"")</f>
        <v/>
      </c>
      <c r="H1033" s="1069" t="n">
        <v>95.86755700000001</v>
      </c>
      <c r="I1033" s="2167" t="e">
        <v>#REF!</v>
      </c>
      <c r="J1033" s="2167" t="e">
        <v>#REF!</v>
      </c>
      <c r="K1033" s="2167" t="n"/>
    </row>
    <row r="1034" outlineLevel="3" ht="18" customHeight="1">
      <c r="A1034" s="471" t="n">
        <v>47</v>
      </c>
      <c r="B1034" s="471" t="inlineStr">
        <is>
          <t>Insumo</t>
        </is>
      </c>
      <c r="C1034" s="1053" t="inlineStr">
        <is>
          <t>Parede Com Sistema Em Chapas De Gesso Para Drywall, Uso Interno, Montante 48mm  (48 / HS)</t>
        </is>
      </c>
      <c r="D1034" s="1053" t="inlineStr">
        <is>
          <t>PLACA / CHAPA DE GESSO ACARTONADO, STANDARD (ST), COR BRANCA, E = 12,5 MM, 1200 X 2400 MM (L X C)</t>
        </is>
      </c>
      <c r="E1034" s="11">
        <f t="array" ref="E1034">_xlfn.XLOOKUP(D1034,Insumos!B:B,Insumos!C:$C)</f>
        <v/>
      </c>
      <c r="F1034" s="2164">
        <f>1.053</f>
        <v/>
      </c>
      <c r="G1034" s="92">
        <f t="array" ref="G1034">IF(B1034="insumo",_xlfn.XLOOKUP($D1034,Insumos!$B$1:$B$993,Insumos!$D$1:$D$993),"")</f>
        <v/>
      </c>
      <c r="H1034" s="92" t="n">
        <v>21.22848</v>
      </c>
      <c r="I1034" s="2165" t="e">
        <v>#REF!</v>
      </c>
      <c r="J1034" s="2165" t="e">
        <v>#REF!</v>
      </c>
      <c r="K1034" s="2165" t="n"/>
    </row>
    <row r="1035" outlineLevel="3" ht="12.75" customHeight="1">
      <c r="A1035" s="471" t="n">
        <v>10</v>
      </c>
      <c r="B1035" s="471" t="inlineStr">
        <is>
          <t>Insumo</t>
        </is>
      </c>
      <c r="C1035" s="10" t="inlineStr">
        <is>
          <t>Parede Com Sistema Em Chapas De Gesso Para Drywall, Uso Interno, Montante 48mm  (48 / HS)</t>
        </is>
      </c>
      <c r="D1035" s="10" t="inlineStr">
        <is>
          <t>PLACA / CHAPA DE GESSO ACARTONADO HARDBOARD (HB) E = 12,5 MM, 1200 X 1800 MM (L X C)</t>
        </is>
      </c>
      <c r="E1035" s="11">
        <f t="array" ref="E1035">_xlfn.XLOOKUP(D1035,Insumos!B:B,Insumos!C:$C)</f>
        <v/>
      </c>
      <c r="F1035" s="2164">
        <f>1.053</f>
        <v/>
      </c>
      <c r="G1035" s="92">
        <f t="array" ref="G1035">IF(B1035="insumo",_xlfn.XLOOKUP($D1035,Insumos!$B$1:$B$993,Insumos!$D$1:$D$993),"")</f>
        <v/>
      </c>
      <c r="H1035" s="92" t="n">
        <v>36.343125</v>
      </c>
      <c r="I1035" s="2165" t="e">
        <v>#REF!</v>
      </c>
      <c r="J1035" s="2165" t="e">
        <v>#REF!</v>
      </c>
      <c r="K1035" s="2165" t="n"/>
    </row>
    <row r="1036" outlineLevel="3" ht="18" customHeight="1">
      <c r="A1036" s="471" t="n">
        <v>95</v>
      </c>
      <c r="B1036" s="471" t="inlineStr">
        <is>
          <t>Insumo</t>
        </is>
      </c>
      <c r="C1036" s="1053" t="inlineStr">
        <is>
          <t>Parede Com Sistema Em Chapas De Gesso Para Drywall, Uso Interno, Montante 48mm  (48 / HS)</t>
        </is>
      </c>
      <c r="D1036" s="1053" t="inlineStr">
        <is>
          <t>PINO DE ACO COM ARRUELA CONICA, DIAMETRO ARRUELA = *23* MM E COMP HASTE = *27* MM (ACAO INDIRETA)</t>
        </is>
      </c>
      <c r="E1036" s="11">
        <f t="array" ref="E1036">_xlfn.XLOOKUP(D1036,Insumos!B:B,Insumos!C:$C)</f>
        <v/>
      </c>
      <c r="F1036" s="2164" t="n">
        <v>4.95</v>
      </c>
      <c r="G1036" s="92">
        <f t="array" ref="G1036">IF(B1036="insumo",_xlfn.XLOOKUP($D1036,Insumos!$B$1:$B$993,Insumos!$D$1:$D$993),"")</f>
        <v/>
      </c>
      <c r="H1036" s="92" t="n">
        <v>2.4948</v>
      </c>
      <c r="I1036" s="2165" t="e">
        <v>#REF!</v>
      </c>
      <c r="J1036" s="2165" t="e">
        <v>#REF!</v>
      </c>
      <c r="K1036" s="2165" t="n"/>
    </row>
    <row r="1037" outlineLevel="3" ht="18" customHeight="1">
      <c r="A1037" s="471" t="n">
        <v>26</v>
      </c>
      <c r="B1037" s="471" t="inlineStr">
        <is>
          <t>Insumo</t>
        </is>
      </c>
      <c r="C1037" s="1053" t="inlineStr">
        <is>
          <t>Parede Com Sistema Em Chapas De Gesso Para Drywall, Uso Interno, Montante 48mm  (48 / HS)</t>
        </is>
      </c>
      <c r="D1037" s="1053" t="inlineStr">
        <is>
          <t>PERFIL GUIA, FORMATO U, EM ACO ZINCADO, PARA ESTRUTURA PAREDE DRYWALL, E = 0,5 MM, 48 X 3000 MM (L X C)</t>
        </is>
      </c>
      <c r="E1037" s="11">
        <f t="array" ref="E1037">_xlfn.XLOOKUP(D1037,Insumos!B:B,Insumos!C:$C)</f>
        <v/>
      </c>
      <c r="F1037" s="2164" t="n">
        <v>1.5248</v>
      </c>
      <c r="G1037" s="92">
        <f t="array" ref="G1037">IF(B1037="insumo",_xlfn.XLOOKUP($D1037,Insumos!$B$1:$B$993,Insumos!$D$1:$D$993),"")</f>
        <v/>
      </c>
      <c r="H1037" s="92" t="n">
        <v>10.719344</v>
      </c>
      <c r="I1037" s="2165" t="e">
        <v>#REF!</v>
      </c>
      <c r="J1037" s="2165" t="e">
        <v>#REF!</v>
      </c>
      <c r="K1037" s="2165" t="n"/>
    </row>
    <row r="1038" outlineLevel="3" ht="18" customHeight="1">
      <c r="A1038" s="471" t="n">
        <v>26</v>
      </c>
      <c r="B1038" s="471" t="inlineStr">
        <is>
          <t>Insumo</t>
        </is>
      </c>
      <c r="C1038" s="1053" t="inlineStr">
        <is>
          <t>Parede Com Sistema Em Chapas De Gesso Para Drywall, Uso Interno, Montante 48mm  (48 / HS)</t>
        </is>
      </c>
      <c r="D1038" s="1053" t="inlineStr">
        <is>
          <t>PERFIL MONTANTE, FORMATO C, EM ACO ZINCADO, PARA ESTRUTURA PAREDE DRYWALL, E = 0,5 MM, 48 X 3000 MM (L X C)</t>
        </is>
      </c>
      <c r="E1038" s="11">
        <f t="array" ref="E1038">_xlfn.XLOOKUP(D1038,Insumos!B:B,Insumos!C:$C)</f>
        <v/>
      </c>
      <c r="F1038" s="2164" t="n">
        <v>2.0006</v>
      </c>
      <c r="G1038" s="92">
        <f t="array" ref="G1038">IF(B1038="insumo",_xlfn.XLOOKUP($D1038,Insumos!$B$1:$B$993,Insumos!$D$1:$D$993),"")</f>
        <v/>
      </c>
      <c r="H1038" s="92" t="n">
        <v>15.964788</v>
      </c>
      <c r="I1038" s="2165" t="e">
        <v>#REF!</v>
      </c>
      <c r="J1038" s="2165" t="e">
        <v>#REF!</v>
      </c>
      <c r="K1038" s="2165" t="n"/>
    </row>
    <row r="1039" outlineLevel="3" ht="18" customHeight="1">
      <c r="A1039" s="471" t="n">
        <v>95</v>
      </c>
      <c r="B1039" s="471" t="inlineStr">
        <is>
          <t>Insumo</t>
        </is>
      </c>
      <c r="C1039" s="1053" t="inlineStr">
        <is>
          <t>Parede Com Sistema Em Chapas De Gesso Para Drywall, Uso Interno, Montante 48mm  (48 / HS)</t>
        </is>
      </c>
      <c r="D1039" s="1053" t="inlineStr">
        <is>
          <t>MASSA DE REJUNTE EM PO PARA DRYWALL, A BASE DE GESSO, SECAGEM RAPIDA, PARA TRATAMENTO DE JUNTAS DE CHAPA DE GESSO (NECESSITA ADICAO DE AGUA)</t>
        </is>
      </c>
      <c r="E1039" s="11">
        <f t="array" ref="E1039">_xlfn.XLOOKUP(D1039,Insumos!B:B,Insumos!C:$C)</f>
        <v/>
      </c>
      <c r="F1039" s="2164" t="n">
        <v>0.5489000000000001</v>
      </c>
      <c r="G1039" s="92">
        <f t="array" ref="G1039">IF(B1039="insumo",_xlfn.XLOOKUP($D1039,Insumos!$B$1:$B$993,Insumos!$D$1:$D$993),"")</f>
        <v/>
      </c>
      <c r="H1039" s="92" t="n">
        <v>1.882727</v>
      </c>
      <c r="I1039" s="2165" t="e">
        <v>#REF!</v>
      </c>
      <c r="J1039" s="2165" t="e">
        <v>#REF!</v>
      </c>
      <c r="K1039" s="2165" t="n"/>
    </row>
    <row r="1040" outlineLevel="3" ht="18" customHeight="1">
      <c r="A1040" s="471" t="n">
        <v>94</v>
      </c>
      <c r="B1040" s="471" t="inlineStr">
        <is>
          <t>Insumo</t>
        </is>
      </c>
      <c r="C1040" s="1053" t="inlineStr">
        <is>
          <t>Parede Com Sistema Em Chapas De Gesso Para Drywall, Uso Interno, Montante 48mm  (48 / HS)</t>
        </is>
      </c>
      <c r="D1040" s="1053" t="inlineStr">
        <is>
          <t>FITA DE PAPEL MICROPERFURADO, 50 X 150 MM, PARA TRATAMENTO DE JUNTAS DE CHAPA DE GESSO PARA DRYWALL</t>
        </is>
      </c>
      <c r="E1040" s="11">
        <f t="array" ref="E1040">_xlfn.XLOOKUP(D1040,Insumos!B:B,Insumos!C:$C)</f>
        <v/>
      </c>
      <c r="F1040" s="2164" t="n">
        <v>1.2513</v>
      </c>
      <c r="G1040" s="92">
        <f t="array" ref="G1040">IF(B1040="insumo",_xlfn.XLOOKUP($D1040,Insumos!$B$1:$B$993,Insumos!$D$1:$D$993),"")</f>
        <v/>
      </c>
      <c r="H1040" s="92" t="n">
        <v>0.387903</v>
      </c>
      <c r="I1040" s="2165" t="e">
        <v>#REF!</v>
      </c>
      <c r="J1040" s="2165" t="e">
        <v>#REF!</v>
      </c>
      <c r="K1040" s="2165" t="n"/>
    </row>
    <row r="1041" outlineLevel="3" ht="18" customHeight="1">
      <c r="A1041" s="471" t="n">
        <v>94</v>
      </c>
      <c r="B1041" s="471" t="inlineStr">
        <is>
          <t>Insumo</t>
        </is>
      </c>
      <c r="C1041" s="1053" t="inlineStr">
        <is>
          <t>Parede Com Sistema Em Chapas De Gesso Para Drywall, Uso Interno, Montante 48mm  (48 / HS)</t>
        </is>
      </c>
      <c r="D1041" s="1053" t="inlineStr">
        <is>
          <t>FITA DE PAPEL REFORCADA COM LAMINA DE METAL PARA REFORCO DE CANTOS DE CHAPA DE GESSO PARA DRYWALL</t>
        </is>
      </c>
      <c r="E1041" s="11">
        <f t="array" ref="E1041">_xlfn.XLOOKUP(D1041,Insumos!B:B,Insumos!C:$C)</f>
        <v/>
      </c>
      <c r="F1041" s="2164" t="n">
        <v>0.7407</v>
      </c>
      <c r="G1041" s="92">
        <f t="array" ref="G1041">IF(B1041="insumo",_xlfn.XLOOKUP($D1041,Insumos!$B$1:$B$993,Insumos!$D$1:$D$993),"")</f>
        <v/>
      </c>
      <c r="H1041" s="92" t="n">
        <v>2.029518</v>
      </c>
      <c r="I1041" s="2165" t="e">
        <v>#REF!</v>
      </c>
      <c r="J1041" s="2165" t="e">
        <v>#REF!</v>
      </c>
      <c r="K1041" s="2165" t="n"/>
    </row>
    <row r="1042" outlineLevel="3" ht="18" customHeight="1">
      <c r="A1042" s="471" t="n">
        <v>11</v>
      </c>
      <c r="B1042" s="471" t="inlineStr">
        <is>
          <t>Insumo</t>
        </is>
      </c>
      <c r="C1042" s="1053" t="inlineStr">
        <is>
          <t>Parede Com Sistema Em Chapas De Gesso Para Drywall, Uso Interno, Montante 48mm  (48 / HS)</t>
        </is>
      </c>
      <c r="D1042" s="1053" t="inlineStr">
        <is>
          <t>BANDA ACUSTICA</t>
        </is>
      </c>
      <c r="E1042" s="11">
        <f t="array" ref="E1042">_xlfn.XLOOKUP(D1042,Insumos!B:B,Insumos!C:$C)</f>
        <v/>
      </c>
      <c r="F1042" s="2164" t="n">
        <v>0.8</v>
      </c>
      <c r="G1042" s="92">
        <f t="array" ref="G1042">IF(B1042="insumo",_xlfn.XLOOKUP($D1042,Insumos!$B$1:$B$993,Insumos!$D$1:$D$993),"")</f>
        <v/>
      </c>
      <c r="H1042" s="92" t="n">
        <v>2.4</v>
      </c>
      <c r="I1042" s="2165" t="e">
        <v>#REF!</v>
      </c>
      <c r="J1042" s="2165" t="e">
        <v>#REF!</v>
      </c>
      <c r="K1042" s="2165" t="n"/>
    </row>
    <row r="1043" outlineLevel="3" ht="18" customHeight="1">
      <c r="A1043" s="471" t="n">
        <v>11</v>
      </c>
      <c r="B1043" s="471" t="inlineStr">
        <is>
          <t>Insumo</t>
        </is>
      </c>
      <c r="C1043" s="1053" t="inlineStr">
        <is>
          <t>Parede Com Sistema Em Chapas De Gesso Para Drywall, Uso Interno, Montante 48mm  (48 / HS)</t>
        </is>
      </c>
      <c r="D1043" s="1053" t="inlineStr">
        <is>
          <t>Aplicação de zarcão nas guias inferiores</t>
        </is>
      </c>
      <c r="E1043" s="11">
        <f t="array" ref="E1043">_xlfn.XLOOKUP(D1043,Insumos!B:B,Insumos!C:$C)</f>
        <v/>
      </c>
      <c r="F1043" s="2164" t="n">
        <v>0.84</v>
      </c>
      <c r="G1043" s="92">
        <f t="array" ref="G1043">IF(B1043="insumo",_xlfn.XLOOKUP($D1043,Insumos!$B$1:$B$993,Insumos!$D$1:$D$993),"")</f>
        <v/>
      </c>
      <c r="H1043" s="92" t="n">
        <v>0.504</v>
      </c>
      <c r="I1043" s="2165" t="e">
        <v>#REF!</v>
      </c>
      <c r="J1043" s="2165" t="e">
        <v>#REF!</v>
      </c>
      <c r="K1043" s="2165" t="n"/>
    </row>
    <row r="1044" outlineLevel="3" ht="18" customHeight="1">
      <c r="A1044" s="471" t="n">
        <v>97</v>
      </c>
      <c r="B1044" s="471" t="inlineStr">
        <is>
          <t>Insumo</t>
        </is>
      </c>
      <c r="C1044" s="1053" t="inlineStr">
        <is>
          <t>Parede Com Sistema Em Chapas De Gesso Para Drywall, Uso Interno, Montante 48mm  (48 / HS)</t>
        </is>
      </c>
      <c r="D1044" s="1053" t="inlineStr">
        <is>
          <t>PARAFUSO DRY WALL, EM ACO FOSFATIZADO, CABECA TROMBETA E PONTA AGULHA (TA), COMPRIMENTO 25 MM</t>
        </is>
      </c>
      <c r="E1044" s="11">
        <f t="array" ref="E1044">_xlfn.XLOOKUP(D1044,Insumos!B:B,Insumos!C:$C)</f>
        <v/>
      </c>
      <c r="F1044" s="2164" t="n">
        <v>20.1868</v>
      </c>
      <c r="G1044" s="92">
        <f t="array" ref="G1044">IF(B1044="insumo",_xlfn.XLOOKUP($D1044,Insumos!$B$1:$B$993,Insumos!$D$1:$D$993),"")</f>
        <v/>
      </c>
      <c r="H1044" s="92" t="n">
        <v>1.816812</v>
      </c>
      <c r="I1044" s="2165" t="e">
        <v>#REF!</v>
      </c>
      <c r="J1044" s="2165" t="e">
        <v>#REF!</v>
      </c>
      <c r="K1044" s="2165" t="n"/>
    </row>
    <row r="1045" outlineLevel="3" ht="18" customHeight="1">
      <c r="A1045" s="471" t="n">
        <v>95</v>
      </c>
      <c r="B1045" s="471" t="inlineStr">
        <is>
          <t>Insumo</t>
        </is>
      </c>
      <c r="C1045" s="1053" t="inlineStr">
        <is>
          <t>Parede Com Sistema Em Chapas De Gesso Para Drywall, Uso Interno, Montante 48mm  (48 / HS)</t>
        </is>
      </c>
      <c r="D1045" s="1053" t="inlineStr">
        <is>
          <t>PARAFUSO DRY WALL, EM ACO ZINCADO, CABECA LENTILHA E PONTA BROCA (LB), LARGURA 4,2 MM, COMPRIMENTO 13 MM</t>
        </is>
      </c>
      <c r="E1045" s="11">
        <f t="array" ref="E1045">_xlfn.XLOOKUP(D1045,Insumos!B:B,Insumos!C:$C)</f>
        <v/>
      </c>
      <c r="F1045" s="2164" t="n">
        <v>0.4803</v>
      </c>
      <c r="G1045" s="92">
        <f t="array" ref="G1045">IF(B1045="insumo",_xlfn.XLOOKUP($D1045,Insumos!$B$1:$B$993,Insumos!$D$1:$D$993),"")</f>
        <v/>
      </c>
      <c r="H1045" s="92" t="n">
        <v>0.09606000000000001</v>
      </c>
      <c r="I1045" s="2165" t="e">
        <v>#REF!</v>
      </c>
      <c r="J1045" s="2165" t="e">
        <v>#REF!</v>
      </c>
      <c r="K1045" s="2165" t="n"/>
    </row>
    <row r="1046" outlineLevel="2" ht="18" customHeight="1">
      <c r="A1046" s="1076" t="n">
        <v>1</v>
      </c>
      <c r="B1046" s="1076" t="inlineStr">
        <is>
          <t>Serviço</t>
        </is>
      </c>
      <c r="C1046" s="1077" t="inlineStr">
        <is>
          <t>Parede Com Sistema Em Chapas De Gesso Para Drywall, Uso Interno, Montante 70mm  (70 / HS)</t>
        </is>
      </c>
      <c r="D1046" s="1077" t="inlineStr">
        <is>
          <t>Parede Com Sistema Em Chapas De Gesso Para Drywall, Uso Interno, Montante 70mm  (70 / HS)</t>
        </is>
      </c>
      <c r="E1046" s="1078" t="inlineStr">
        <is>
          <t>M2</t>
        </is>
      </c>
      <c r="F1046" s="1076" t="n"/>
      <c r="G1046" s="1069">
        <f t="array" ref="G1046">IF(B1046="insumo",_xlfn.XLOOKUP($D1046,Insumos!$B$1:$B$993,Insumos!$D$1:$D$993),"")</f>
        <v/>
      </c>
      <c r="H1046" s="1069" t="n">
        <v>96.52322100000001</v>
      </c>
      <c r="I1046" s="2167" t="e">
        <v>#REF!</v>
      </c>
      <c r="J1046" s="2167" t="e">
        <v>#REF!</v>
      </c>
      <c r="K1046" s="2167" t="n"/>
    </row>
    <row r="1047" outlineLevel="3" ht="18" customHeight="1">
      <c r="A1047" s="471" t="n">
        <v>47</v>
      </c>
      <c r="B1047" s="471" t="inlineStr">
        <is>
          <t>Insumo</t>
        </is>
      </c>
      <c r="C1047" s="1053" t="inlineStr">
        <is>
          <t>Parede Com Sistema Em Chapas De Gesso Para Drywall, Uso Interno, Montante 70mm  (70 / HS)</t>
        </is>
      </c>
      <c r="D1047" s="1053" t="inlineStr">
        <is>
          <t>PLACA / CHAPA DE GESSO ACARTONADO, STANDARD (ST), COR BRANCA, E = 12,5 MM, 1200 X 2400 MM (L X C)</t>
        </is>
      </c>
      <c r="E1047" s="11">
        <f t="array" ref="E1047">_xlfn.XLOOKUP(D1047,Insumos!B:B,Insumos!C:$C)</f>
        <v/>
      </c>
      <c r="F1047" s="2164">
        <f>1.053</f>
        <v/>
      </c>
      <c r="G1047" s="92">
        <f t="array" ref="G1047">IF(B1047="insumo",_xlfn.XLOOKUP($D1047,Insumos!$B$1:$B$993,Insumos!$D$1:$D$993),"")</f>
        <v/>
      </c>
      <c r="H1047" s="92" t="n">
        <v>21.22848</v>
      </c>
      <c r="I1047" s="2165" t="e">
        <v>#REF!</v>
      </c>
      <c r="J1047" s="2165" t="e">
        <v>#REF!</v>
      </c>
      <c r="K1047" s="2165" t="n"/>
    </row>
    <row r="1048" outlineLevel="3" ht="12.75" customHeight="1">
      <c r="A1048" s="471" t="n">
        <v>10</v>
      </c>
      <c r="B1048" s="471" t="inlineStr">
        <is>
          <t>Insumo</t>
        </is>
      </c>
      <c r="C1048" s="10" t="inlineStr">
        <is>
          <t>Parede Com Sistema Em Chapas De Gesso Para Drywall, Uso Interno, Montante 70mm  (70 / HS)</t>
        </is>
      </c>
      <c r="D1048" s="10" t="inlineStr">
        <is>
          <t>PLACA / CHAPA DE GESSO ACARTONADO HARDBOARD (HB) E = 12,5 MM, 1200 X 1800 MM (L X C)</t>
        </is>
      </c>
      <c r="E1048" s="11">
        <f t="array" ref="E1048">_xlfn.XLOOKUP(D1048,Insumos!B:B,Insumos!C:$C)</f>
        <v/>
      </c>
      <c r="F1048" s="2164">
        <f>1.053</f>
        <v/>
      </c>
      <c r="G1048" s="92">
        <f t="array" ref="G1048">IF(B1048="insumo",_xlfn.XLOOKUP($D1048,Insumos!$B$1:$B$993,Insumos!$D$1:$D$993),"")</f>
        <v/>
      </c>
      <c r="H1048" s="92" t="n">
        <v>36.343125</v>
      </c>
      <c r="I1048" s="2165" t="e">
        <v>#REF!</v>
      </c>
      <c r="J1048" s="2165" t="e">
        <v>#REF!</v>
      </c>
      <c r="K1048" s="2165" t="n"/>
    </row>
    <row r="1049" outlineLevel="3" ht="18" customHeight="1">
      <c r="A1049" s="471" t="n">
        <v>95</v>
      </c>
      <c r="B1049" s="471" t="inlineStr">
        <is>
          <t>Insumo</t>
        </is>
      </c>
      <c r="C1049" s="1053" t="inlineStr">
        <is>
          <t>Parede Com Sistema Em Chapas De Gesso Para Drywall, Uso Interno, Montante 70mm  (70 / HS)</t>
        </is>
      </c>
      <c r="D1049" s="1053" t="inlineStr">
        <is>
          <t>PINO DE ACO COM ARRUELA CONICA, DIAMETRO ARRUELA = *23* MM E COMP HASTE = *27* MM (ACAO INDIRETA)</t>
        </is>
      </c>
      <c r="E1049" s="11">
        <f t="array" ref="E1049">_xlfn.XLOOKUP(D1049,Insumos!B:B,Insumos!C:$C)</f>
        <v/>
      </c>
      <c r="F1049" s="2164" t="n">
        <v>4.95</v>
      </c>
      <c r="G1049" s="92">
        <f t="array" ref="G1049">IF(B1049="insumo",_xlfn.XLOOKUP($D1049,Insumos!$B$1:$B$993,Insumos!$D$1:$D$993),"")</f>
        <v/>
      </c>
      <c r="H1049" s="92" t="n">
        <v>2.4948</v>
      </c>
      <c r="I1049" s="2165" t="e">
        <v>#REF!</v>
      </c>
      <c r="J1049" s="2165" t="e">
        <v>#REF!</v>
      </c>
      <c r="K1049" s="2165" t="n"/>
    </row>
    <row r="1050" outlineLevel="3" ht="18" customHeight="1">
      <c r="A1050" s="471" t="n">
        <v>43</v>
      </c>
      <c r="B1050" s="471" t="inlineStr">
        <is>
          <t>Insumo</t>
        </is>
      </c>
      <c r="C1050" s="1053" t="inlineStr">
        <is>
          <t>Parede Com Sistema Em Chapas De Gesso Para Drywall, Uso Interno, Montante 70mm  (70 / HS)</t>
        </is>
      </c>
      <c r="D1050" s="1053" t="inlineStr">
        <is>
          <t>PERFIL GUIA, FORMATO U, EM ACO ZINCADO, PARA ESTRUTURA PAREDE DRYWALL, E = 0,5 MM, 70 X 3000 MM (L X C)</t>
        </is>
      </c>
      <c r="E1050" s="11">
        <f t="array" ref="E1050">_xlfn.XLOOKUP(D1050,Insumos!B:B,Insumos!C:$C)</f>
        <v/>
      </c>
      <c r="F1050" s="2164" t="n">
        <v>1.5248</v>
      </c>
      <c r="G1050" s="92">
        <f t="array" ref="G1050">IF(B1050="insumo",_xlfn.XLOOKUP($D1050,Insumos!$B$1:$B$993,Insumos!$D$1:$D$993),"")</f>
        <v/>
      </c>
      <c r="H1050" s="92" t="n">
        <v>11.375008</v>
      </c>
      <c r="I1050" s="2165" t="e">
        <v>#REF!</v>
      </c>
      <c r="J1050" s="2165" t="e">
        <v>#REF!</v>
      </c>
      <c r="K1050" s="2165" t="n"/>
    </row>
    <row r="1051" outlineLevel="3" ht="18" customHeight="1">
      <c r="A1051" s="471" t="n">
        <v>43</v>
      </c>
      <c r="B1051" s="471" t="inlineStr">
        <is>
          <t>Insumo</t>
        </is>
      </c>
      <c r="C1051" s="1053" t="inlineStr">
        <is>
          <t>Parede Com Sistema Em Chapas De Gesso Para Drywall, Uso Interno, Montante 70mm  (70 / HS)</t>
        </is>
      </c>
      <c r="D1051" s="1053" t="inlineStr">
        <is>
          <t>PERFIL MONTANTE, FORMATO C, EM ACO ZINCADO, PARA ESTRUTURA PAREDE DRYWALL, E = 0,5 MM, 70 X 3000 MM (L X C)</t>
        </is>
      </c>
      <c r="E1051" s="11">
        <f t="array" ref="E1051">_xlfn.XLOOKUP(D1051,Insumos!B:B,Insumos!C:$C)</f>
        <v/>
      </c>
      <c r="F1051" s="2164" t="n">
        <v>2.0006</v>
      </c>
      <c r="G1051" s="92">
        <f t="array" ref="G1051">IF(B1051="insumo",_xlfn.XLOOKUP($D1051,Insumos!$B$1:$B$993,Insumos!$D$1:$D$993),"")</f>
        <v/>
      </c>
      <c r="H1051" s="92" t="n">
        <v>15.964788</v>
      </c>
      <c r="I1051" s="2165" t="e">
        <v>#REF!</v>
      </c>
      <c r="J1051" s="2165" t="e">
        <v>#REF!</v>
      </c>
      <c r="K1051" s="2165" t="n"/>
    </row>
    <row r="1052" outlineLevel="3" ht="18" customHeight="1">
      <c r="A1052" s="471" t="n">
        <v>95</v>
      </c>
      <c r="B1052" s="471" t="inlineStr">
        <is>
          <t>Insumo</t>
        </is>
      </c>
      <c r="C1052" s="1053" t="inlineStr">
        <is>
          <t>Parede Com Sistema Em Chapas De Gesso Para Drywall, Uso Interno, Montante 70mm  (70 / HS)</t>
        </is>
      </c>
      <c r="D1052" s="1053" t="inlineStr">
        <is>
          <t>MASSA DE REJUNTE EM PO PARA DRYWALL, A BASE DE GESSO, SECAGEM RAPIDA, PARA TRATAMENTO DE JUNTAS DE CHAPA DE GESSO (NECESSITA ADICAO DE AGUA)</t>
        </is>
      </c>
      <c r="E1052" s="11">
        <f t="array" ref="E1052">_xlfn.XLOOKUP(D1052,Insumos!B:B,Insumos!C:$C)</f>
        <v/>
      </c>
      <c r="F1052" s="2164" t="n">
        <v>0.5489000000000001</v>
      </c>
      <c r="G1052" s="92">
        <f t="array" ref="G1052">IF(B1052="insumo",_xlfn.XLOOKUP($D1052,Insumos!$B$1:$B$993,Insumos!$D$1:$D$993),"")</f>
        <v/>
      </c>
      <c r="H1052" s="92" t="n">
        <v>1.882727</v>
      </c>
      <c r="I1052" s="2165" t="e">
        <v>#REF!</v>
      </c>
      <c r="J1052" s="2165" t="e">
        <v>#REF!</v>
      </c>
      <c r="K1052" s="2165" t="n"/>
    </row>
    <row r="1053" outlineLevel="3" ht="18" customHeight="1">
      <c r="A1053" s="471" t="n">
        <v>94</v>
      </c>
      <c r="B1053" s="471" t="inlineStr">
        <is>
          <t>Insumo</t>
        </is>
      </c>
      <c r="C1053" s="1053" t="inlineStr">
        <is>
          <t>Parede Com Sistema Em Chapas De Gesso Para Drywall, Uso Interno, Montante 70mm  (70 / HS)</t>
        </is>
      </c>
      <c r="D1053" s="1053" t="inlineStr">
        <is>
          <t>FITA DE PAPEL MICROPERFURADO, 50 X 150 MM, PARA TRATAMENTO DE JUNTAS DE CHAPA DE GESSO PARA DRYWALL</t>
        </is>
      </c>
      <c r="E1053" s="11">
        <f t="array" ref="E1053">_xlfn.XLOOKUP(D1053,Insumos!B:B,Insumos!C:$C)</f>
        <v/>
      </c>
      <c r="F1053" s="2164" t="n">
        <v>1.2513</v>
      </c>
      <c r="G1053" s="92">
        <f t="array" ref="G1053">IF(B1053="insumo",_xlfn.XLOOKUP($D1053,Insumos!$B$1:$B$993,Insumos!$D$1:$D$993),"")</f>
        <v/>
      </c>
      <c r="H1053" s="92" t="n">
        <v>0.387903</v>
      </c>
      <c r="I1053" s="2165" t="e">
        <v>#REF!</v>
      </c>
      <c r="J1053" s="2165" t="e">
        <v>#REF!</v>
      </c>
      <c r="K1053" s="2165" t="n"/>
    </row>
    <row r="1054" outlineLevel="3" ht="18" customHeight="1">
      <c r="A1054" s="471" t="n">
        <v>94</v>
      </c>
      <c r="B1054" s="471" t="inlineStr">
        <is>
          <t>Insumo</t>
        </is>
      </c>
      <c r="C1054" s="1053" t="inlineStr">
        <is>
          <t>Parede Com Sistema Em Chapas De Gesso Para Drywall, Uso Interno, Montante 70mm  (70 / HS)</t>
        </is>
      </c>
      <c r="D1054" s="1053" t="inlineStr">
        <is>
          <t>FITA DE PAPEL REFORCADA COM LAMINA DE METAL PARA REFORCO DE CANTOS DE CHAPA DE GESSO PARA DRYWALL</t>
        </is>
      </c>
      <c r="E1054" s="11">
        <f t="array" ref="E1054">_xlfn.XLOOKUP(D1054,Insumos!B:B,Insumos!C:$C)</f>
        <v/>
      </c>
      <c r="F1054" s="2164" t="n">
        <v>0.7407</v>
      </c>
      <c r="G1054" s="92">
        <f t="array" ref="G1054">IF(B1054="insumo",_xlfn.XLOOKUP($D1054,Insumos!$B$1:$B$993,Insumos!$D$1:$D$993),"")</f>
        <v/>
      </c>
      <c r="H1054" s="92" t="n">
        <v>2.029518</v>
      </c>
      <c r="I1054" s="2165" t="e">
        <v>#REF!</v>
      </c>
      <c r="J1054" s="2165" t="e">
        <v>#REF!</v>
      </c>
      <c r="K1054" s="2165" t="n"/>
    </row>
    <row r="1055" outlineLevel="3" ht="18" customHeight="1">
      <c r="A1055" s="471" t="n">
        <v>11</v>
      </c>
      <c r="B1055" s="471" t="inlineStr">
        <is>
          <t>Insumo</t>
        </is>
      </c>
      <c r="C1055" s="1053" t="inlineStr">
        <is>
          <t>Parede Com Sistema Em Chapas De Gesso Para Drywall, Uso Interno, Montante 70mm  (70 / HS)</t>
        </is>
      </c>
      <c r="D1055" s="1053" t="inlineStr">
        <is>
          <t>BANDA ACUSTICA</t>
        </is>
      </c>
      <c r="E1055" s="11">
        <f t="array" ref="E1055">_xlfn.XLOOKUP(D1055,Insumos!B:B,Insumos!C:$C)</f>
        <v/>
      </c>
      <c r="F1055" s="2164" t="n">
        <v>0.8</v>
      </c>
      <c r="G1055" s="92">
        <f t="array" ref="G1055">IF(B1055="insumo",_xlfn.XLOOKUP($D1055,Insumos!$B$1:$B$993,Insumos!$D$1:$D$993),"")</f>
        <v/>
      </c>
      <c r="H1055" s="92" t="n">
        <v>2.4</v>
      </c>
      <c r="I1055" s="2165" t="e">
        <v>#REF!</v>
      </c>
      <c r="J1055" s="2165" t="e">
        <v>#REF!</v>
      </c>
      <c r="K1055" s="2165" t="n"/>
    </row>
    <row r="1056" outlineLevel="3" ht="18" customHeight="1">
      <c r="A1056" s="471" t="n">
        <v>11</v>
      </c>
      <c r="B1056" s="471" t="inlineStr">
        <is>
          <t>Insumo</t>
        </is>
      </c>
      <c r="C1056" s="1053" t="inlineStr">
        <is>
          <t>Parede Com Sistema Em Chapas De Gesso Para Drywall, Uso Interno, Montante 70mm  (70 / HS)</t>
        </is>
      </c>
      <c r="D1056" s="1053" t="inlineStr">
        <is>
          <t>Aplicação de zarcão nas guias inferiores</t>
        </is>
      </c>
      <c r="E1056" s="11">
        <f t="array" ref="E1056">_xlfn.XLOOKUP(D1056,Insumos!B:B,Insumos!C:$C)</f>
        <v/>
      </c>
      <c r="F1056" s="2164" t="n">
        <v>0.84</v>
      </c>
      <c r="G1056" s="92">
        <f t="array" ref="G1056">IF(B1056="insumo",_xlfn.XLOOKUP($D1056,Insumos!$B$1:$B$993,Insumos!$D$1:$D$993),"")</f>
        <v/>
      </c>
      <c r="H1056" s="92" t="n">
        <v>0.504</v>
      </c>
      <c r="I1056" s="2165" t="e">
        <v>#REF!</v>
      </c>
      <c r="J1056" s="2165" t="e">
        <v>#REF!</v>
      </c>
      <c r="K1056" s="2165" t="n"/>
    </row>
    <row r="1057" outlineLevel="3" ht="18" customHeight="1">
      <c r="A1057" s="471" t="n">
        <v>97</v>
      </c>
      <c r="B1057" s="471" t="inlineStr">
        <is>
          <t>Insumo</t>
        </is>
      </c>
      <c r="C1057" s="1053" t="inlineStr">
        <is>
          <t>Parede Com Sistema Em Chapas De Gesso Para Drywall, Uso Interno, Montante 70mm  (70 / HS)</t>
        </is>
      </c>
      <c r="D1057" s="1053" t="inlineStr">
        <is>
          <t>PARAFUSO DRY WALL, EM ACO FOSFATIZADO, CABECA TROMBETA E PONTA AGULHA (TA), COMPRIMENTO 25 MM</t>
        </is>
      </c>
      <c r="E1057" s="11">
        <f t="array" ref="E1057">_xlfn.XLOOKUP(D1057,Insumos!B:B,Insumos!C:$C)</f>
        <v/>
      </c>
      <c r="F1057" s="2164" t="n">
        <v>20.1868</v>
      </c>
      <c r="G1057" s="92">
        <f t="array" ref="G1057">IF(B1057="insumo",_xlfn.XLOOKUP($D1057,Insumos!$B$1:$B$993,Insumos!$D$1:$D$993),"")</f>
        <v/>
      </c>
      <c r="H1057" s="92" t="n">
        <v>1.816812</v>
      </c>
      <c r="I1057" s="2165" t="e">
        <v>#REF!</v>
      </c>
      <c r="J1057" s="2165" t="e">
        <v>#REF!</v>
      </c>
      <c r="K1057" s="2165" t="n"/>
    </row>
    <row r="1058" outlineLevel="3" ht="18" customHeight="1">
      <c r="A1058" s="471" t="n">
        <v>95</v>
      </c>
      <c r="B1058" s="471" t="inlineStr">
        <is>
          <t>Insumo</t>
        </is>
      </c>
      <c r="C1058" s="1053" t="inlineStr">
        <is>
          <t>Parede Com Sistema Em Chapas De Gesso Para Drywall, Uso Interno, Montante 70mm  (70 / HS)</t>
        </is>
      </c>
      <c r="D1058" s="1053" t="inlineStr">
        <is>
          <t>PARAFUSO DRY WALL, EM ACO ZINCADO, CABECA LENTILHA E PONTA BROCA (LB), LARGURA 4,2 MM, COMPRIMENTO 13 MM</t>
        </is>
      </c>
      <c r="E1058" s="11">
        <f t="array" ref="E1058">_xlfn.XLOOKUP(D1058,Insumos!B:B,Insumos!C:$C)</f>
        <v/>
      </c>
      <c r="F1058" s="2164" t="n">
        <v>0.4803</v>
      </c>
      <c r="G1058" s="92">
        <f t="array" ref="G1058">IF(B1058="insumo",_xlfn.XLOOKUP($D1058,Insumos!$B$1:$B$993,Insumos!$D$1:$D$993),"")</f>
        <v/>
      </c>
      <c r="H1058" s="92" t="n">
        <v>0.09606000000000001</v>
      </c>
      <c r="I1058" s="2165" t="e">
        <v>#REF!</v>
      </c>
      <c r="J1058" s="2165" t="e">
        <v>#REF!</v>
      </c>
      <c r="K1058" s="2165" t="n"/>
    </row>
    <row r="1059" outlineLevel="2" ht="18" customHeight="1">
      <c r="A1059" s="1076" t="n">
        <v>1</v>
      </c>
      <c r="B1059" s="1076" t="inlineStr">
        <is>
          <t>Serviço</t>
        </is>
      </c>
      <c r="C1059" s="1077" t="inlineStr">
        <is>
          <t>Parede Com Sistema Em Chapas De Gesso Para Drywall, Uso Interno, Montante 70mm  (70 / HU)</t>
        </is>
      </c>
      <c r="D1059" s="1077" t="inlineStr">
        <is>
          <t>Parede Com Sistema Em Chapas De Gesso Para Drywall, Uso Interno, Montante 70mm  (70 / HU)</t>
        </is>
      </c>
      <c r="E1059" s="1078" t="inlineStr">
        <is>
          <t>M2</t>
        </is>
      </c>
      <c r="F1059" s="1076" t="n"/>
      <c r="G1059" s="1069">
        <f t="array" ref="G1059">IF(B1059="insumo",_xlfn.XLOOKUP($D1059,Insumos!$B$1:$B$993,Insumos!$D$1:$D$993),"")</f>
        <v/>
      </c>
      <c r="H1059" s="1069" t="n">
        <v>103.831041</v>
      </c>
      <c r="I1059" s="2167" t="n">
        <v>0</v>
      </c>
      <c r="J1059" s="2167" t="n">
        <v>0</v>
      </c>
      <c r="K1059" s="2167" t="n"/>
    </row>
    <row r="1060" outlineLevel="3" ht="18" customHeight="1">
      <c r="A1060" s="471" t="n">
        <v>49</v>
      </c>
      <c r="B1060" s="471" t="inlineStr">
        <is>
          <t>Insumo</t>
        </is>
      </c>
      <c r="C1060" s="1053" t="inlineStr">
        <is>
          <t>Parede Com Sistema Em Chapas De Gesso Para Drywall, Uso Interno, Montante 70mm  (70 / HU)</t>
        </is>
      </c>
      <c r="D1060" s="1053" t="inlineStr">
        <is>
          <t>PLACA / CHAPA DE GESSO ACARTONADO, RESISTENTE A UMIDADE (RU), COR VERDE, E = 12,5 MM, 1200 X 2400 MM (L X C)</t>
        </is>
      </c>
      <c r="E1060" s="11">
        <f t="array" ref="E1060">_xlfn.XLOOKUP(D1060,Insumos!B:B,Insumos!C:$C)</f>
        <v/>
      </c>
      <c r="F1060" s="2164">
        <f>1.053</f>
        <v/>
      </c>
      <c r="G1060" s="92">
        <f t="array" ref="G1060">IF(B1060="insumo",_xlfn.XLOOKUP($D1060,Insumos!$B$1:$B$993,Insumos!$D$1:$D$993),"")</f>
        <v/>
      </c>
      <c r="H1060" s="92" t="n">
        <v>28.5363</v>
      </c>
      <c r="I1060" s="2165" t="n">
        <v>0</v>
      </c>
      <c r="J1060" s="2165" t="n">
        <v>0</v>
      </c>
      <c r="K1060" s="2165" t="n"/>
    </row>
    <row r="1061" outlineLevel="3" ht="12.75" customHeight="1">
      <c r="A1061" s="471" t="n">
        <v>10</v>
      </c>
      <c r="B1061" s="471" t="inlineStr">
        <is>
          <t>Insumo</t>
        </is>
      </c>
      <c r="C1061" s="10" t="inlineStr">
        <is>
          <t>Parede Com Sistema Em Chapas De Gesso Para Drywall, Uso Interno, Montante 70mm  (70 / HU)</t>
        </is>
      </c>
      <c r="D1061" s="10" t="inlineStr">
        <is>
          <t>PLACA / CHAPA DE GESSO ACARTONADO HARDBOARD (HB) E = 12,5 MM, 1200 X 1800 MM (L X C)</t>
        </is>
      </c>
      <c r="E1061" s="11">
        <f t="array" ref="E1061">_xlfn.XLOOKUP(D1061,Insumos!B:B,Insumos!C:$C)</f>
        <v/>
      </c>
      <c r="F1061" s="2164">
        <f>1.053</f>
        <v/>
      </c>
      <c r="G1061" s="92">
        <f t="array" ref="G1061">IF(B1061="insumo",_xlfn.XLOOKUP($D1061,Insumos!$B$1:$B$993,Insumos!$D$1:$D$993),"")</f>
        <v/>
      </c>
      <c r="H1061" s="92" t="n">
        <v>36.343125</v>
      </c>
      <c r="I1061" s="2165" t="n">
        <v>0</v>
      </c>
      <c r="J1061" s="2165" t="n">
        <v>0</v>
      </c>
      <c r="K1061" s="2165" t="n"/>
    </row>
    <row r="1062" outlineLevel="3" ht="18" customHeight="1">
      <c r="A1062" s="471" t="n">
        <v>95</v>
      </c>
      <c r="B1062" s="471" t="inlineStr">
        <is>
          <t>Insumo</t>
        </is>
      </c>
      <c r="C1062" s="1053" t="inlineStr">
        <is>
          <t>Parede Com Sistema Em Chapas De Gesso Para Drywall, Uso Interno, Montante 70mm  (70 / HU)</t>
        </is>
      </c>
      <c r="D1062" s="1053" t="inlineStr">
        <is>
          <t>PINO DE ACO COM ARRUELA CONICA, DIAMETRO ARRUELA = *23* MM E COMP HASTE = *27* MM (ACAO INDIRETA)</t>
        </is>
      </c>
      <c r="E1062" s="11">
        <f t="array" ref="E1062">_xlfn.XLOOKUP(D1062,Insumos!B:B,Insumos!C:$C)</f>
        <v/>
      </c>
      <c r="F1062" s="2164" t="n">
        <v>4.95</v>
      </c>
      <c r="G1062" s="92">
        <f t="array" ref="G1062">IF(B1062="insumo",_xlfn.XLOOKUP($D1062,Insumos!$B$1:$B$993,Insumos!$D$1:$D$993),"")</f>
        <v/>
      </c>
      <c r="H1062" s="92" t="n">
        <v>2.4948</v>
      </c>
      <c r="I1062" s="2165" t="n">
        <v>0</v>
      </c>
      <c r="J1062" s="2165" t="n">
        <v>0</v>
      </c>
      <c r="K1062" s="2165" t="n"/>
    </row>
    <row r="1063" outlineLevel="3" ht="18" customHeight="1">
      <c r="A1063" s="471" t="n">
        <v>43</v>
      </c>
      <c r="B1063" s="471" t="inlineStr">
        <is>
          <t>Insumo</t>
        </is>
      </c>
      <c r="C1063" s="1053" t="inlineStr">
        <is>
          <t>Parede Com Sistema Em Chapas De Gesso Para Drywall, Uso Interno, Montante 70mm  (70 / HU)</t>
        </is>
      </c>
      <c r="D1063" s="1053" t="inlineStr">
        <is>
          <t>PERFIL GUIA, FORMATO U, EM ACO ZINCADO, PARA ESTRUTURA PAREDE DRYWALL, E = 0,5 MM, 70 X 3000 MM (L X C)</t>
        </is>
      </c>
      <c r="E1063" s="11">
        <f t="array" ref="E1063">_xlfn.XLOOKUP(D1063,Insumos!B:B,Insumos!C:$C)</f>
        <v/>
      </c>
      <c r="F1063" s="2164" t="n">
        <v>1.5248</v>
      </c>
      <c r="G1063" s="92">
        <f t="array" ref="G1063">IF(B1063="insumo",_xlfn.XLOOKUP($D1063,Insumos!$B$1:$B$993,Insumos!$D$1:$D$993),"")</f>
        <v/>
      </c>
      <c r="H1063" s="92" t="n">
        <v>11.375008</v>
      </c>
      <c r="I1063" s="2165" t="n">
        <v>0</v>
      </c>
      <c r="J1063" s="2165" t="n">
        <v>0</v>
      </c>
      <c r="K1063" s="2165" t="n"/>
    </row>
    <row r="1064" outlineLevel="3" ht="18" customHeight="1">
      <c r="A1064" s="471" t="n">
        <v>43</v>
      </c>
      <c r="B1064" s="471" t="inlineStr">
        <is>
          <t>Insumo</t>
        </is>
      </c>
      <c r="C1064" s="1053" t="inlineStr">
        <is>
          <t>Parede Com Sistema Em Chapas De Gesso Para Drywall, Uso Interno, Montante 70mm  (70 / HU)</t>
        </is>
      </c>
      <c r="D1064" s="1053" t="inlineStr">
        <is>
          <t>PERFIL MONTANTE, FORMATO C, EM ACO ZINCADO, PARA ESTRUTURA PAREDE DRYWALL, E = 0,5 MM, 70 X 3000 MM (L X C)</t>
        </is>
      </c>
      <c r="E1064" s="11">
        <f t="array" ref="E1064">_xlfn.XLOOKUP(D1064,Insumos!B:B,Insumos!C:$C)</f>
        <v/>
      </c>
      <c r="F1064" s="2164" t="n">
        <v>2.0006</v>
      </c>
      <c r="G1064" s="92">
        <f t="array" ref="G1064">IF(B1064="insumo",_xlfn.XLOOKUP($D1064,Insumos!$B$1:$B$993,Insumos!$D$1:$D$993),"")</f>
        <v/>
      </c>
      <c r="H1064" s="92" t="n">
        <v>15.964788</v>
      </c>
      <c r="I1064" s="2165" t="n">
        <v>0</v>
      </c>
      <c r="J1064" s="2165" t="n">
        <v>0</v>
      </c>
      <c r="K1064" s="2165" t="n"/>
    </row>
    <row r="1065" outlineLevel="3" ht="18" customHeight="1">
      <c r="A1065" s="471" t="n">
        <v>95</v>
      </c>
      <c r="B1065" s="471" t="inlineStr">
        <is>
          <t>Insumo</t>
        </is>
      </c>
      <c r="C1065" s="1053" t="inlineStr">
        <is>
          <t>Parede Com Sistema Em Chapas De Gesso Para Drywall, Uso Interno, Montante 70mm  (70 / HU)</t>
        </is>
      </c>
      <c r="D1065" s="1053" t="inlineStr">
        <is>
          <t>MASSA DE REJUNTE EM PO PARA DRYWALL, A BASE DE GESSO, SECAGEM RAPIDA, PARA TRATAMENTO DE JUNTAS DE CHAPA DE GESSO (NECESSITA ADICAO DE AGUA)</t>
        </is>
      </c>
      <c r="E1065" s="11">
        <f t="array" ref="E1065">_xlfn.XLOOKUP(D1065,Insumos!B:B,Insumos!C:$C)</f>
        <v/>
      </c>
      <c r="F1065" s="2164" t="n">
        <v>0.5489000000000001</v>
      </c>
      <c r="G1065" s="92">
        <f t="array" ref="G1065">IF(B1065="insumo",_xlfn.XLOOKUP($D1065,Insumos!$B$1:$B$993,Insumos!$D$1:$D$993),"")</f>
        <v/>
      </c>
      <c r="H1065" s="92" t="n">
        <v>1.882727</v>
      </c>
      <c r="I1065" s="2165" t="n">
        <v>0</v>
      </c>
      <c r="J1065" s="2165" t="n">
        <v>0</v>
      </c>
      <c r="K1065" s="2165" t="n"/>
    </row>
    <row r="1066" outlineLevel="3" ht="18" customHeight="1">
      <c r="A1066" s="471" t="n">
        <v>94</v>
      </c>
      <c r="B1066" s="471" t="inlineStr">
        <is>
          <t>Insumo</t>
        </is>
      </c>
      <c r="C1066" s="1053" t="inlineStr">
        <is>
          <t>Parede Com Sistema Em Chapas De Gesso Para Drywall, Uso Interno, Montante 70mm  (70 / HU)</t>
        </is>
      </c>
      <c r="D1066" s="1053" t="inlineStr">
        <is>
          <t>FITA DE PAPEL MICROPERFURADO, 50 X 150 MM, PARA TRATAMENTO DE JUNTAS DE CHAPA DE GESSO PARA DRYWALL</t>
        </is>
      </c>
      <c r="E1066" s="11">
        <f t="array" ref="E1066">_xlfn.XLOOKUP(D1066,Insumos!B:B,Insumos!C:$C)</f>
        <v/>
      </c>
      <c r="F1066" s="2164" t="n">
        <v>1.2513</v>
      </c>
      <c r="G1066" s="92">
        <f t="array" ref="G1066">IF(B1066="insumo",_xlfn.XLOOKUP($D1066,Insumos!$B$1:$B$993,Insumos!$D$1:$D$993),"")</f>
        <v/>
      </c>
      <c r="H1066" s="92" t="n">
        <v>0.387903</v>
      </c>
      <c r="I1066" s="2165" t="n">
        <v>0</v>
      </c>
      <c r="J1066" s="2165" t="n">
        <v>0</v>
      </c>
      <c r="K1066" s="2165" t="n"/>
    </row>
    <row r="1067" outlineLevel="3" ht="18" customHeight="1">
      <c r="A1067" s="471" t="n">
        <v>94</v>
      </c>
      <c r="B1067" s="471" t="inlineStr">
        <is>
          <t>Insumo</t>
        </is>
      </c>
      <c r="C1067" s="1053" t="inlineStr">
        <is>
          <t>Parede Com Sistema Em Chapas De Gesso Para Drywall, Uso Interno, Montante 70mm  (70 / HU)</t>
        </is>
      </c>
      <c r="D1067" s="1053" t="inlineStr">
        <is>
          <t>FITA DE PAPEL REFORCADA COM LAMINA DE METAL PARA REFORCO DE CANTOS DE CHAPA DE GESSO PARA DRYWALL</t>
        </is>
      </c>
      <c r="E1067" s="11">
        <f t="array" ref="E1067">_xlfn.XLOOKUP(D1067,Insumos!B:B,Insumos!C:$C)</f>
        <v/>
      </c>
      <c r="F1067" s="2164" t="n">
        <v>0.7407</v>
      </c>
      <c r="G1067" s="92">
        <f t="array" ref="G1067">IF(B1067="insumo",_xlfn.XLOOKUP($D1067,Insumos!$B$1:$B$993,Insumos!$D$1:$D$993),"")</f>
        <v/>
      </c>
      <c r="H1067" s="92" t="n">
        <v>2.029518</v>
      </c>
      <c r="I1067" s="2165" t="n">
        <v>0</v>
      </c>
      <c r="J1067" s="2165" t="n">
        <v>0</v>
      </c>
      <c r="K1067" s="2165" t="n"/>
    </row>
    <row r="1068" outlineLevel="3" ht="18" customHeight="1">
      <c r="A1068" s="471" t="n">
        <v>11</v>
      </c>
      <c r="B1068" s="471" t="inlineStr">
        <is>
          <t>Insumo</t>
        </is>
      </c>
      <c r="C1068" s="1053" t="inlineStr">
        <is>
          <t>Parede Com Sistema Em Chapas De Gesso Para Drywall, Uso Interno, Montante 70mm  (70 / HU)</t>
        </is>
      </c>
      <c r="D1068" s="1053" t="inlineStr">
        <is>
          <t>BANDA ACUSTICA</t>
        </is>
      </c>
      <c r="E1068" s="11">
        <f t="array" ref="E1068">_xlfn.XLOOKUP(D1068,Insumos!B:B,Insumos!C:$C)</f>
        <v/>
      </c>
      <c r="F1068" s="2164" t="n">
        <v>0.8</v>
      </c>
      <c r="G1068" s="92">
        <f t="array" ref="G1068">IF(B1068="insumo",_xlfn.XLOOKUP($D1068,Insumos!$B$1:$B$993,Insumos!$D$1:$D$993),"")</f>
        <v/>
      </c>
      <c r="H1068" s="92" t="n">
        <v>2.4</v>
      </c>
      <c r="I1068" s="2165" t="n">
        <v>0</v>
      </c>
      <c r="J1068" s="2165" t="n">
        <v>0</v>
      </c>
      <c r="K1068" s="2165" t="n"/>
    </row>
    <row r="1069" outlineLevel="3" ht="18" customHeight="1">
      <c r="A1069" s="471" t="n">
        <v>11</v>
      </c>
      <c r="B1069" s="471" t="inlineStr">
        <is>
          <t>Insumo</t>
        </is>
      </c>
      <c r="C1069" s="1053" t="inlineStr">
        <is>
          <t>Parede Com Sistema Em Chapas De Gesso Para Drywall, Uso Interno, Montante 70mm  (70 / HU)</t>
        </is>
      </c>
      <c r="D1069" s="1053" t="inlineStr">
        <is>
          <t>Aplicação de zarcão nas guias inferiores</t>
        </is>
      </c>
      <c r="E1069" s="11">
        <f t="array" ref="E1069">_xlfn.XLOOKUP(D1069,Insumos!B:B,Insumos!C:$C)</f>
        <v/>
      </c>
      <c r="F1069" s="2164" t="n">
        <v>0.84</v>
      </c>
      <c r="G1069" s="92">
        <f t="array" ref="G1069">IF(B1069="insumo",_xlfn.XLOOKUP($D1069,Insumos!$B$1:$B$993,Insumos!$D$1:$D$993),"")</f>
        <v/>
      </c>
      <c r="H1069" s="92" t="n">
        <v>0.504</v>
      </c>
      <c r="I1069" s="2165" t="n">
        <v>0</v>
      </c>
      <c r="J1069" s="2165" t="n">
        <v>0</v>
      </c>
      <c r="K1069" s="2165" t="n"/>
    </row>
    <row r="1070" outlineLevel="3" ht="18" customHeight="1">
      <c r="A1070" s="471" t="n">
        <v>97</v>
      </c>
      <c r="B1070" s="471" t="inlineStr">
        <is>
          <t>Insumo</t>
        </is>
      </c>
      <c r="C1070" s="1053" t="inlineStr">
        <is>
          <t>Parede Com Sistema Em Chapas De Gesso Para Drywall, Uso Interno, Montante 70mm  (70 / HU)</t>
        </is>
      </c>
      <c r="D1070" s="1053" t="inlineStr">
        <is>
          <t>PARAFUSO DRY WALL, EM ACO FOSFATIZADO, CABECA TROMBETA E PONTA AGULHA (TA), COMPRIMENTO 25 MM</t>
        </is>
      </c>
      <c r="E1070" s="11">
        <f t="array" ref="E1070">_xlfn.XLOOKUP(D1070,Insumos!B:B,Insumos!C:$C)</f>
        <v/>
      </c>
      <c r="F1070" s="2164" t="n">
        <v>20.1868</v>
      </c>
      <c r="G1070" s="92">
        <f t="array" ref="G1070">IF(B1070="insumo",_xlfn.XLOOKUP($D1070,Insumos!$B$1:$B$993,Insumos!$D$1:$D$993),"")</f>
        <v/>
      </c>
      <c r="H1070" s="92" t="n">
        <v>1.816812</v>
      </c>
      <c r="I1070" s="2165" t="n">
        <v>0</v>
      </c>
      <c r="J1070" s="2165" t="n">
        <v>0</v>
      </c>
      <c r="K1070" s="2165" t="n"/>
    </row>
    <row r="1071" outlineLevel="3" ht="18" customHeight="1">
      <c r="A1071" s="471" t="n">
        <v>95</v>
      </c>
      <c r="B1071" s="471" t="inlineStr">
        <is>
          <t>Insumo</t>
        </is>
      </c>
      <c r="C1071" s="1053" t="inlineStr">
        <is>
          <t>Parede Com Sistema Em Chapas De Gesso Para Drywall, Uso Interno, Montante 70mm  (70 / HU)</t>
        </is>
      </c>
      <c r="D1071" s="1053" t="inlineStr">
        <is>
          <t>PARAFUSO DRY WALL, EM ACO ZINCADO, CABECA LENTILHA E PONTA BROCA (LB), LARGURA 4,2 MM, COMPRIMENTO 13 MM</t>
        </is>
      </c>
      <c r="E1071" s="11">
        <f t="array" ref="E1071">_xlfn.XLOOKUP(D1071,Insumos!B:B,Insumos!C:$C)</f>
        <v/>
      </c>
      <c r="F1071" s="2164" t="n">
        <v>0.4803</v>
      </c>
      <c r="G1071" s="92">
        <f t="array" ref="G1071">IF(B1071="insumo",_xlfn.XLOOKUP($D1071,Insumos!$B$1:$B$993,Insumos!$D$1:$D$993),"")</f>
        <v/>
      </c>
      <c r="H1071" s="92" t="n">
        <v>0.09606000000000001</v>
      </c>
      <c r="I1071" s="2165" t="n">
        <v>0</v>
      </c>
      <c r="J1071" s="2165" t="n">
        <v>0</v>
      </c>
      <c r="K1071" s="2165" t="n"/>
    </row>
    <row r="1072" outlineLevel="2" ht="27" customHeight="1">
      <c r="A1072" s="1076" t="n">
        <v>1</v>
      </c>
      <c r="B1072" s="1076" t="inlineStr">
        <is>
          <t>Serviço</t>
        </is>
      </c>
      <c r="C1072" s="1077" t="inlineStr">
        <is>
          <t>Parede Com Sistema Em Chapas De Gesso Para Drywall, Uso Interno, Montante 70mm  (HS / 70 / HS)</t>
        </is>
      </c>
      <c r="D1072" s="1077" t="inlineStr">
        <is>
          <t>Parede Com Sistema Em Chapas De Gesso Para Drywall, Uso Interno, Montante 70mm  (HS / 70 / HS)</t>
        </is>
      </c>
      <c r="E1072" s="1078" t="inlineStr">
        <is>
          <t>M2</t>
        </is>
      </c>
      <c r="F1072" s="1076" t="n"/>
      <c r="G1072" s="1069">
        <f t="array" ref="G1072">IF(B1072="insumo",_xlfn.XLOOKUP($D1072,Insumos!$B$1:$B$993,Insumos!$D$1:$D$993),"")</f>
        <v/>
      </c>
      <c r="H1072" s="1069" t="n">
        <v>158.395279</v>
      </c>
      <c r="I1072" s="2167" t="n">
        <v>0</v>
      </c>
      <c r="J1072" s="2167" t="n">
        <v>0</v>
      </c>
      <c r="K1072" s="2167" t="n"/>
    </row>
    <row r="1073" outlineLevel="3" ht="27" customHeight="1">
      <c r="A1073" s="471" t="n">
        <v>47</v>
      </c>
      <c r="B1073" s="471" t="inlineStr">
        <is>
          <t>Insumo</t>
        </is>
      </c>
      <c r="C1073" s="1053" t="inlineStr">
        <is>
          <t>Parede Com Sistema Em Chapas De Gesso Para Drywall, Uso Interno, Montante 70mm  (HS / 70 / HS)</t>
        </is>
      </c>
      <c r="D1073" s="1053" t="inlineStr">
        <is>
          <t>PLACA / CHAPA DE GESSO ACARTONADO, STANDARD (ST), COR BRANCA, E = 12,5 MM, 1200 X 2400 MM (L X C)</t>
        </is>
      </c>
      <c r="E1073" s="11">
        <f t="array" ref="E1073">_xlfn.XLOOKUP(D1073,Insumos!B:B,Insumos!C:$C)</f>
        <v/>
      </c>
      <c r="F1073" s="2164">
        <f>1.053*2</f>
        <v/>
      </c>
      <c r="G1073" s="92">
        <f t="array" ref="G1073">IF(B1073="insumo",_xlfn.XLOOKUP($D1073,Insumos!$B$1:$B$993,Insumos!$D$1:$D$993),"")</f>
        <v/>
      </c>
      <c r="H1073" s="92" t="n">
        <v>42.45696</v>
      </c>
      <c r="I1073" s="2165" t="n">
        <v>0</v>
      </c>
      <c r="J1073" s="2165" t="n">
        <v>0</v>
      </c>
      <c r="K1073" s="2165" t="n"/>
    </row>
    <row r="1074" outlineLevel="3" ht="12.75" customHeight="1">
      <c r="A1074" s="471" t="n">
        <v>10</v>
      </c>
      <c r="B1074" s="471" t="inlineStr">
        <is>
          <t>Insumo</t>
        </is>
      </c>
      <c r="C1074" s="10" t="inlineStr">
        <is>
          <t>Parede Com Sistema Em Chapas De Gesso Para Drywall, Uso Interno, Montante 70mm  (HS / 70 / HS)</t>
        </is>
      </c>
      <c r="D1074" s="10" t="inlineStr">
        <is>
          <t>PLACA / CHAPA DE GESSO ACARTONADO HARDBOARD (HB) E = 12,5 MM, 1200 X 1800 MM (L X C)</t>
        </is>
      </c>
      <c r="E1074" s="11">
        <f t="array" ref="E1074">_xlfn.XLOOKUP(D1074,Insumos!B:B,Insumos!C:$C)</f>
        <v/>
      </c>
      <c r="F1074" s="2164">
        <f>1.053*2</f>
        <v/>
      </c>
      <c r="G1074" s="92">
        <f t="array" ref="G1074">IF(B1074="insumo",_xlfn.XLOOKUP($D1074,Insumos!$B$1:$B$993,Insumos!$D$1:$D$993),"")</f>
        <v/>
      </c>
      <c r="H1074" s="92" t="n">
        <v>72.68625</v>
      </c>
      <c r="I1074" s="2165" t="n">
        <v>0</v>
      </c>
      <c r="J1074" s="2165" t="n">
        <v>0</v>
      </c>
      <c r="K1074" s="2165" t="n"/>
    </row>
    <row r="1075" outlineLevel="3" ht="27" customHeight="1">
      <c r="A1075" s="471" t="n">
        <v>95</v>
      </c>
      <c r="B1075" s="471" t="inlineStr">
        <is>
          <t>Insumo</t>
        </is>
      </c>
      <c r="C1075" s="1053" t="inlineStr">
        <is>
          <t>Parede Com Sistema Em Chapas De Gesso Para Drywall, Uso Interno, Montante 70mm  (HS / 70 / HS)</t>
        </is>
      </c>
      <c r="D1075" s="1053" t="inlineStr">
        <is>
          <t>PINO DE ACO COM ARRUELA CONICA, DIAMETRO ARRUELA = *23* MM E COMP HASTE = *27* MM (ACAO INDIRETA)</t>
        </is>
      </c>
      <c r="E1075" s="11">
        <f t="array" ref="E1075">_xlfn.XLOOKUP(D1075,Insumos!B:B,Insumos!C:$C)</f>
        <v/>
      </c>
      <c r="F1075" s="2164" t="n">
        <v>4.95</v>
      </c>
      <c r="G1075" s="92">
        <f t="array" ref="G1075">IF(B1075="insumo",_xlfn.XLOOKUP($D1075,Insumos!$B$1:$B$993,Insumos!$D$1:$D$993),"")</f>
        <v/>
      </c>
      <c r="H1075" s="92" t="n">
        <v>2.4948</v>
      </c>
      <c r="I1075" s="2165" t="n">
        <v>0</v>
      </c>
      <c r="J1075" s="2165" t="n">
        <v>0</v>
      </c>
      <c r="K1075" s="2165" t="n"/>
    </row>
    <row r="1076" outlineLevel="3" ht="27" customHeight="1">
      <c r="A1076" s="471" t="n">
        <v>43</v>
      </c>
      <c r="B1076" s="471" t="inlineStr">
        <is>
          <t>Insumo</t>
        </is>
      </c>
      <c r="C1076" s="1053" t="inlineStr">
        <is>
          <t>Parede Com Sistema Em Chapas De Gesso Para Drywall, Uso Interno, Montante 70mm  (HS / 70 / HS)</t>
        </is>
      </c>
      <c r="D1076" s="1053" t="inlineStr">
        <is>
          <t>PERFIL GUIA, FORMATO U, EM ACO ZINCADO, PARA ESTRUTURA PAREDE DRYWALL, E = 0,5 MM, 70 X 3000 MM (L X C)</t>
        </is>
      </c>
      <c r="E1076" s="11">
        <f t="array" ref="E1076">_xlfn.XLOOKUP(D1076,Insumos!B:B,Insumos!C:$C)</f>
        <v/>
      </c>
      <c r="F1076" s="2164" t="n">
        <v>1.5248</v>
      </c>
      <c r="G1076" s="92">
        <f t="array" ref="G1076">IF(B1076="insumo",_xlfn.XLOOKUP($D1076,Insumos!$B$1:$B$993,Insumos!$D$1:$D$993),"")</f>
        <v/>
      </c>
      <c r="H1076" s="92" t="n">
        <v>11.375008</v>
      </c>
      <c r="I1076" s="2165" t="n">
        <v>0</v>
      </c>
      <c r="J1076" s="2165" t="n">
        <v>0</v>
      </c>
      <c r="K1076" s="2165" t="n"/>
    </row>
    <row r="1077" outlineLevel="3" ht="27" customHeight="1">
      <c r="A1077" s="471" t="n">
        <v>43</v>
      </c>
      <c r="B1077" s="471" t="inlineStr">
        <is>
          <t>Insumo</t>
        </is>
      </c>
      <c r="C1077" s="1053" t="inlineStr">
        <is>
          <t>Parede Com Sistema Em Chapas De Gesso Para Drywall, Uso Interno, Montante 70mm  (HS / 70 / HS)</t>
        </is>
      </c>
      <c r="D1077" s="1053" t="inlineStr">
        <is>
          <t>PERFIL MONTANTE, FORMATO C, EM ACO ZINCADO, PARA ESTRUTURA PAREDE DRYWALL, E = 0,5 MM, 70 X 3000 MM (L X C)</t>
        </is>
      </c>
      <c r="E1077" s="11">
        <f t="array" ref="E1077">_xlfn.XLOOKUP(D1077,Insumos!B:B,Insumos!C:$C)</f>
        <v/>
      </c>
      <c r="F1077" s="2164" t="n">
        <v>2.0006</v>
      </c>
      <c r="G1077" s="92">
        <f t="array" ref="G1077">IF(B1077="insumo",_xlfn.XLOOKUP($D1077,Insumos!$B$1:$B$993,Insumos!$D$1:$D$993),"")</f>
        <v/>
      </c>
      <c r="H1077" s="92" t="n">
        <v>15.964788</v>
      </c>
      <c r="I1077" s="2165" t="n">
        <v>0</v>
      </c>
      <c r="J1077" s="2165" t="n">
        <v>0</v>
      </c>
      <c r="K1077" s="2165" t="n"/>
    </row>
    <row r="1078" outlineLevel="3" ht="27" customHeight="1">
      <c r="A1078" s="471" t="n">
        <v>95</v>
      </c>
      <c r="B1078" s="471" t="inlineStr">
        <is>
          <t>Insumo</t>
        </is>
      </c>
      <c r="C1078" s="1053" t="inlineStr">
        <is>
          <t>Parede Com Sistema Em Chapas De Gesso Para Drywall, Uso Interno, Montante 70mm  (HS / 70 / HS)</t>
        </is>
      </c>
      <c r="D1078" s="1053" t="inlineStr">
        <is>
          <t>MASSA DE REJUNTE EM PO PARA DRYWALL, A BASE DE GESSO, SECAGEM RAPIDA, PARA TRATAMENTO DE JUNTAS DE CHAPA DE GESSO (NECESSITA ADICAO DE AGUA)</t>
        </is>
      </c>
      <c r="E1078" s="11">
        <f t="array" ref="E1078">_xlfn.XLOOKUP(D1078,Insumos!B:B,Insumos!C:$C)</f>
        <v/>
      </c>
      <c r="F1078" s="2164" t="n">
        <v>1.0978</v>
      </c>
      <c r="G1078" s="92">
        <f t="array" ref="G1078">IF(B1078="insumo",_xlfn.XLOOKUP($D1078,Insumos!$B$1:$B$993,Insumos!$D$1:$D$993),"")</f>
        <v/>
      </c>
      <c r="H1078" s="92" t="n">
        <v>3.765454</v>
      </c>
      <c r="I1078" s="2165" t="n">
        <v>0</v>
      </c>
      <c r="J1078" s="2165" t="n">
        <v>0</v>
      </c>
      <c r="K1078" s="2165" t="n"/>
    </row>
    <row r="1079" outlineLevel="3" ht="27" customHeight="1">
      <c r="A1079" s="471" t="n">
        <v>94</v>
      </c>
      <c r="B1079" s="471" t="inlineStr">
        <is>
          <t>Insumo</t>
        </is>
      </c>
      <c r="C1079" s="1053" t="inlineStr">
        <is>
          <t>Parede Com Sistema Em Chapas De Gesso Para Drywall, Uso Interno, Montante 70mm  (HS / 70 / HS)</t>
        </is>
      </c>
      <c r="D1079" s="1053" t="inlineStr">
        <is>
          <t>FITA DE PAPEL MICROPERFURADO, 50 X 150 MM, PARA TRATAMENTO DE JUNTAS DE CHAPA DE GESSO PARA DRYWALL</t>
        </is>
      </c>
      <c r="E1079" s="11">
        <f t="array" ref="E1079">_xlfn.XLOOKUP(D1079,Insumos!B:B,Insumos!C:$C)</f>
        <v/>
      </c>
      <c r="F1079" s="2164" t="n">
        <v>2.5027</v>
      </c>
      <c r="G1079" s="92">
        <f t="array" ref="G1079">IF(B1079="insumo",_xlfn.XLOOKUP($D1079,Insumos!$B$1:$B$993,Insumos!$D$1:$D$993),"")</f>
        <v/>
      </c>
      <c r="H1079" s="92" t="n">
        <v>0.775837</v>
      </c>
      <c r="I1079" s="2165" t="n">
        <v>0</v>
      </c>
      <c r="J1079" s="2165" t="n">
        <v>0</v>
      </c>
      <c r="K1079" s="2165" t="n"/>
    </row>
    <row r="1080" outlineLevel="3" ht="27" customHeight="1">
      <c r="A1080" s="471" t="n">
        <v>94</v>
      </c>
      <c r="B1080" s="471" t="inlineStr">
        <is>
          <t>Insumo</t>
        </is>
      </c>
      <c r="C1080" s="1053" t="inlineStr">
        <is>
          <t>Parede Com Sistema Em Chapas De Gesso Para Drywall, Uso Interno, Montante 70mm  (HS / 70 / HS)</t>
        </is>
      </c>
      <c r="D1080" s="1053" t="inlineStr">
        <is>
          <t>FITA DE PAPEL REFORCADA COM LAMINA DE METAL PARA REFORCO DE CANTOS DE CHAPA DE GESSO PARA DRYWALL</t>
        </is>
      </c>
      <c r="E1080" s="11">
        <f t="array" ref="E1080">_xlfn.XLOOKUP(D1080,Insumos!B:B,Insumos!C:$C)</f>
        <v/>
      </c>
      <c r="F1080" s="2164" t="n">
        <v>1.4815</v>
      </c>
      <c r="G1080" s="92">
        <f t="array" ref="G1080">IF(B1080="insumo",_xlfn.XLOOKUP($D1080,Insumos!$B$1:$B$993,Insumos!$D$1:$D$993),"")</f>
        <v/>
      </c>
      <c r="H1080" s="92" t="n">
        <v>4.05931</v>
      </c>
      <c r="I1080" s="2165" t="n">
        <v>0</v>
      </c>
      <c r="J1080" s="2165" t="n">
        <v>0</v>
      </c>
      <c r="K1080" s="2165" t="n"/>
    </row>
    <row r="1081" outlineLevel="3" ht="27" customHeight="1">
      <c r="A1081" s="471" t="n">
        <v>11</v>
      </c>
      <c r="B1081" s="471" t="inlineStr">
        <is>
          <t>Insumo</t>
        </is>
      </c>
      <c r="C1081" s="1053" t="inlineStr">
        <is>
          <t>Parede Com Sistema Em Chapas De Gesso Para Drywall, Uso Interno, Montante 70mm  (HS / 70 / HS)</t>
        </is>
      </c>
      <c r="D1081" s="1053" t="inlineStr">
        <is>
          <t>BANDA ACUSTICA</t>
        </is>
      </c>
      <c r="E1081" s="11">
        <f t="array" ref="E1081">_xlfn.XLOOKUP(D1081,Insumos!B:B,Insumos!C:$C)</f>
        <v/>
      </c>
      <c r="F1081" s="2164" t="n">
        <v>0.8</v>
      </c>
      <c r="G1081" s="92">
        <f t="array" ref="G1081">IF(B1081="insumo",_xlfn.XLOOKUP($D1081,Insumos!$B$1:$B$993,Insumos!$D$1:$D$993),"")</f>
        <v/>
      </c>
      <c r="H1081" s="92" t="n">
        <v>2.4</v>
      </c>
      <c r="I1081" s="2165" t="n">
        <v>0</v>
      </c>
      <c r="J1081" s="2165" t="n">
        <v>0</v>
      </c>
      <c r="K1081" s="2165" t="n"/>
    </row>
    <row r="1082" outlineLevel="3" ht="27" customHeight="1">
      <c r="A1082" s="471" t="n">
        <v>11</v>
      </c>
      <c r="B1082" s="471" t="inlineStr">
        <is>
          <t>Insumo</t>
        </is>
      </c>
      <c r="C1082" s="1053" t="inlineStr">
        <is>
          <t>Parede Com Sistema Em Chapas De Gesso Para Drywall, Uso Interno, Montante 70mm  (HS / 70 / HS)</t>
        </is>
      </c>
      <c r="D1082" s="1053" t="inlineStr">
        <is>
          <t>Aplicação de zarcão nas guias inferiores</t>
        </is>
      </c>
      <c r="E1082" s="11">
        <f t="array" ref="E1082">_xlfn.XLOOKUP(D1082,Insumos!B:B,Insumos!C:$C)</f>
        <v/>
      </c>
      <c r="F1082" s="2164" t="n">
        <v>0.84</v>
      </c>
      <c r="G1082" s="92">
        <f t="array" ref="G1082">IF(B1082="insumo",_xlfn.XLOOKUP($D1082,Insumos!$B$1:$B$993,Insumos!$D$1:$D$993),"")</f>
        <v/>
      </c>
      <c r="H1082" s="92" t="n">
        <v>0.504</v>
      </c>
      <c r="I1082" s="2165" t="n">
        <v>0</v>
      </c>
      <c r="J1082" s="2165" t="n">
        <v>0</v>
      </c>
      <c r="K1082" s="2165" t="n"/>
    </row>
    <row r="1083" outlineLevel="3" ht="27" customHeight="1">
      <c r="A1083" s="471" t="n">
        <v>97</v>
      </c>
      <c r="B1083" s="471" t="inlineStr">
        <is>
          <t>Insumo</t>
        </is>
      </c>
      <c r="C1083" s="1053" t="inlineStr">
        <is>
          <t>Parede Com Sistema Em Chapas De Gesso Para Drywall, Uso Interno, Montante 70mm  (HS / 70 / HS)</t>
        </is>
      </c>
      <c r="D1083" s="1053" t="inlineStr">
        <is>
          <t>PARAFUSO DRY WALL, EM ACO FOSFATIZADO, CABECA TROMBETA E PONTA AGULHA (TA), COMPRIMENTO 25 MM</t>
        </is>
      </c>
      <c r="E1083" s="11">
        <f t="array" ref="E1083">_xlfn.XLOOKUP(D1083,Insumos!B:B,Insumos!C:$C)</f>
        <v/>
      </c>
      <c r="F1083" s="2164" t="n">
        <v>20.1868</v>
      </c>
      <c r="G1083" s="92">
        <f t="array" ref="G1083">IF(B1083="insumo",_xlfn.XLOOKUP($D1083,Insumos!$B$1:$B$993,Insumos!$D$1:$D$993),"")</f>
        <v/>
      </c>
      <c r="H1083" s="92" t="n">
        <v>1.816812</v>
      </c>
      <c r="I1083" s="2165" t="n">
        <v>0</v>
      </c>
      <c r="J1083" s="2165" t="n">
        <v>0</v>
      </c>
      <c r="K1083" s="2165" t="n"/>
    </row>
    <row r="1084" outlineLevel="3" ht="27" customHeight="1">
      <c r="A1084" s="471" t="n">
        <v>95</v>
      </c>
      <c r="B1084" s="471" t="inlineStr">
        <is>
          <t>Insumo</t>
        </is>
      </c>
      <c r="C1084" s="1053" t="inlineStr">
        <is>
          <t>Parede Com Sistema Em Chapas De Gesso Para Drywall, Uso Interno, Montante 70mm  (HS / 70 / HS)</t>
        </is>
      </c>
      <c r="D1084" s="1053" t="inlineStr">
        <is>
          <t>PARAFUSO DRY WALL, EM ACO ZINCADO, CABECA LENTILHA E PONTA BROCA (LB), LARGURA 4,2 MM, COMPRIMENTO 13 MM</t>
        </is>
      </c>
      <c r="E1084" s="11">
        <f t="array" ref="E1084">_xlfn.XLOOKUP(D1084,Insumos!B:B,Insumos!C:$C)</f>
        <v/>
      </c>
      <c r="F1084" s="2164" t="n">
        <v>0.4803</v>
      </c>
      <c r="G1084" s="92">
        <f t="array" ref="G1084">IF(B1084="insumo",_xlfn.XLOOKUP($D1084,Insumos!$B$1:$B$993,Insumos!$D$1:$D$993),"")</f>
        <v/>
      </c>
      <c r="H1084" s="92" t="n">
        <v>0.09606000000000001</v>
      </c>
      <c r="I1084" s="2165" t="n">
        <v>0</v>
      </c>
      <c r="J1084" s="2165" t="n">
        <v>0</v>
      </c>
      <c r="K1084" s="2165" t="n"/>
    </row>
    <row r="1085" outlineLevel="2" ht="27" customHeight="1">
      <c r="A1085" s="1076" t="n">
        <v>1</v>
      </c>
      <c r="B1085" s="1076" t="inlineStr">
        <is>
          <t>Serviço</t>
        </is>
      </c>
      <c r="C1085" s="1077" t="inlineStr">
        <is>
          <t>Parede Com Sistema Em Chapas De Gesso Para Drywall, Uso Interno, Montante 70mm  (HU / 70 / HU)</t>
        </is>
      </c>
      <c r="D1085" s="1077" t="inlineStr">
        <is>
          <t>Parede Com Sistema Em Chapas De Gesso Para Drywall, Uso Interno, Montante 70mm  (HU / 70 / HU)</t>
        </is>
      </c>
      <c r="E1085" s="1078" t="inlineStr">
        <is>
          <t>M2</t>
        </is>
      </c>
      <c r="F1085" s="1076" t="n"/>
      <c r="G1085" s="1069">
        <f t="array" ref="G1085">IF(B1085="insumo",_xlfn.XLOOKUP($D1085,Insumos!$B$1:$B$993,Insumos!$D$1:$D$993),"")</f>
        <v/>
      </c>
      <c r="H1085" s="1069" t="n">
        <v>173.010919</v>
      </c>
      <c r="I1085" s="2167" t="n">
        <v>0</v>
      </c>
      <c r="J1085" s="2167" t="n">
        <v>0</v>
      </c>
      <c r="K1085" s="2167" t="n"/>
    </row>
    <row r="1086" outlineLevel="3" ht="27" customHeight="1">
      <c r="A1086" s="471" t="n">
        <v>49</v>
      </c>
      <c r="B1086" s="471" t="inlineStr">
        <is>
          <t>Insumo</t>
        </is>
      </c>
      <c r="C1086" s="1053" t="inlineStr">
        <is>
          <t>Parede Com Sistema Em Chapas De Gesso Para Drywall, Uso Interno, Montante 70mm  (HU / 70 / HU)</t>
        </is>
      </c>
      <c r="D1086" s="1053" t="inlineStr">
        <is>
          <t>PLACA / CHAPA DE GESSO ACARTONADO, RESISTENTE A UMIDADE (RU), COR VERDE, E = 12,5 MM, 1200 X 2400 MM (L X C)</t>
        </is>
      </c>
      <c r="E1086" s="11">
        <f t="array" ref="E1086">_xlfn.XLOOKUP(D1086,Insumos!B:B,Insumos!C:$C)</f>
        <v/>
      </c>
      <c r="F1086" s="2164">
        <f>1.053*2</f>
        <v/>
      </c>
      <c r="G1086" s="92">
        <f t="array" ref="G1086">IF(B1086="insumo",_xlfn.XLOOKUP($D1086,Insumos!$B$1:$B$993,Insumos!$D$1:$D$993),"")</f>
        <v/>
      </c>
      <c r="H1086" s="92" t="n">
        <v>57.0726</v>
      </c>
      <c r="I1086" s="2165" t="n">
        <v>0</v>
      </c>
      <c r="J1086" s="2165" t="n">
        <v>0</v>
      </c>
      <c r="K1086" s="2165" t="n"/>
    </row>
    <row r="1087" outlineLevel="3" ht="12.75" customHeight="1">
      <c r="A1087" s="471" t="n">
        <v>10</v>
      </c>
      <c r="B1087" s="471" t="inlineStr">
        <is>
          <t>Insumo</t>
        </is>
      </c>
      <c r="C1087" s="10" t="inlineStr">
        <is>
          <t>Parede Com Sistema Em Chapas De Gesso Para Drywall, Uso Interno, Montante 70mm  (HU / 70 / HU)</t>
        </is>
      </c>
      <c r="D1087" s="10" t="inlineStr">
        <is>
          <t>PLACA / CHAPA DE GESSO ACARTONADO HARDBOARD (HB) E = 12,5 MM, 1200 X 1800 MM (L X C)</t>
        </is>
      </c>
      <c r="E1087" s="11">
        <f t="array" ref="E1087">_xlfn.XLOOKUP(D1087,Insumos!B:B,Insumos!C:$C)</f>
        <v/>
      </c>
      <c r="F1087" s="2164">
        <f>1.053*2</f>
        <v/>
      </c>
      <c r="G1087" s="92">
        <f t="array" ref="G1087">IF(B1087="insumo",_xlfn.XLOOKUP($D1087,Insumos!$B$1:$B$993,Insumos!$D$1:$D$993),"")</f>
        <v/>
      </c>
      <c r="H1087" s="92" t="n">
        <v>72.68625</v>
      </c>
      <c r="I1087" s="2165" t="n">
        <v>0</v>
      </c>
      <c r="J1087" s="2165" t="n">
        <v>0</v>
      </c>
      <c r="K1087" s="2165" t="n"/>
    </row>
    <row r="1088" outlineLevel="3" ht="27" customHeight="1">
      <c r="A1088" s="471" t="n">
        <v>95</v>
      </c>
      <c r="B1088" s="471" t="inlineStr">
        <is>
          <t>Insumo</t>
        </is>
      </c>
      <c r="C1088" s="1053" t="inlineStr">
        <is>
          <t>Parede Com Sistema Em Chapas De Gesso Para Drywall, Uso Interno, Montante 70mm  (HU / 70 / HU)</t>
        </is>
      </c>
      <c r="D1088" s="1053" t="inlineStr">
        <is>
          <t>PINO DE ACO COM ARRUELA CONICA, DIAMETRO ARRUELA = *23* MM E COMP HASTE = *27* MM (ACAO INDIRETA)</t>
        </is>
      </c>
      <c r="E1088" s="11">
        <f t="array" ref="E1088">_xlfn.XLOOKUP(D1088,Insumos!B:B,Insumos!C:$C)</f>
        <v/>
      </c>
      <c r="F1088" s="2164" t="n">
        <v>4.95</v>
      </c>
      <c r="G1088" s="92">
        <f t="array" ref="G1088">IF(B1088="insumo",_xlfn.XLOOKUP($D1088,Insumos!$B$1:$B$993,Insumos!$D$1:$D$993),"")</f>
        <v/>
      </c>
      <c r="H1088" s="92" t="n">
        <v>2.4948</v>
      </c>
      <c r="I1088" s="2165" t="n">
        <v>0</v>
      </c>
      <c r="J1088" s="2165" t="n">
        <v>0</v>
      </c>
      <c r="K1088" s="2165" t="n"/>
    </row>
    <row r="1089" outlineLevel="3" ht="27" customHeight="1">
      <c r="A1089" s="471" t="n">
        <v>43</v>
      </c>
      <c r="B1089" s="471" t="inlineStr">
        <is>
          <t>Insumo</t>
        </is>
      </c>
      <c r="C1089" s="1053" t="inlineStr">
        <is>
          <t>Parede Com Sistema Em Chapas De Gesso Para Drywall, Uso Interno, Montante 70mm  (HU / 70 / HU)</t>
        </is>
      </c>
      <c r="D1089" s="1053" t="inlineStr">
        <is>
          <t>PERFIL GUIA, FORMATO U, EM ACO ZINCADO, PARA ESTRUTURA PAREDE DRYWALL, E = 0,5 MM, 70 X 3000 MM (L X C)</t>
        </is>
      </c>
      <c r="E1089" s="11">
        <f t="array" ref="E1089">_xlfn.XLOOKUP(D1089,Insumos!B:B,Insumos!C:$C)</f>
        <v/>
      </c>
      <c r="F1089" s="2164" t="n">
        <v>1.5248</v>
      </c>
      <c r="G1089" s="92">
        <f t="array" ref="G1089">IF(B1089="insumo",_xlfn.XLOOKUP($D1089,Insumos!$B$1:$B$993,Insumos!$D$1:$D$993),"")</f>
        <v/>
      </c>
      <c r="H1089" s="92" t="n">
        <v>11.375008</v>
      </c>
      <c r="I1089" s="2165" t="n">
        <v>0</v>
      </c>
      <c r="J1089" s="2165" t="n">
        <v>0</v>
      </c>
      <c r="K1089" s="2165" t="n"/>
    </row>
    <row r="1090" outlineLevel="3" ht="27" customHeight="1">
      <c r="A1090" s="471" t="n">
        <v>43</v>
      </c>
      <c r="B1090" s="471" t="inlineStr">
        <is>
          <t>Insumo</t>
        </is>
      </c>
      <c r="C1090" s="1053" t="inlineStr">
        <is>
          <t>Parede Com Sistema Em Chapas De Gesso Para Drywall, Uso Interno, Montante 70mm  (HU / 70 / HU)</t>
        </is>
      </c>
      <c r="D1090" s="1053" t="inlineStr">
        <is>
          <t>PERFIL MONTANTE, FORMATO C, EM ACO ZINCADO, PARA ESTRUTURA PAREDE DRYWALL, E = 0,5 MM, 70 X 3000 MM (L X C)</t>
        </is>
      </c>
      <c r="E1090" s="11">
        <f t="array" ref="E1090">_xlfn.XLOOKUP(D1090,Insumos!B:B,Insumos!C:$C)</f>
        <v/>
      </c>
      <c r="F1090" s="2164" t="n">
        <v>2.0006</v>
      </c>
      <c r="G1090" s="92">
        <f t="array" ref="G1090">IF(B1090="insumo",_xlfn.XLOOKUP($D1090,Insumos!$B$1:$B$993,Insumos!$D$1:$D$993),"")</f>
        <v/>
      </c>
      <c r="H1090" s="92" t="n">
        <v>15.964788</v>
      </c>
      <c r="I1090" s="2165" t="n">
        <v>0</v>
      </c>
      <c r="J1090" s="2165" t="n">
        <v>0</v>
      </c>
      <c r="K1090" s="2165" t="n"/>
    </row>
    <row r="1091" outlineLevel="3" ht="27" customHeight="1">
      <c r="A1091" s="471" t="n">
        <v>95</v>
      </c>
      <c r="B1091" s="471" t="inlineStr">
        <is>
          <t>Insumo</t>
        </is>
      </c>
      <c r="C1091" s="1053" t="inlineStr">
        <is>
          <t>Parede Com Sistema Em Chapas De Gesso Para Drywall, Uso Interno, Montante 70mm  (HU / 70 / HU)</t>
        </is>
      </c>
      <c r="D1091" s="1053" t="inlineStr">
        <is>
          <t>MASSA DE REJUNTE EM PO PARA DRYWALL, A BASE DE GESSO, SECAGEM RAPIDA, PARA TRATAMENTO DE JUNTAS DE CHAPA DE GESSO (NECESSITA ADICAO DE AGUA)</t>
        </is>
      </c>
      <c r="E1091" s="11">
        <f t="array" ref="E1091">_xlfn.XLOOKUP(D1091,Insumos!B:B,Insumos!C:$C)</f>
        <v/>
      </c>
      <c r="F1091" s="2164" t="n">
        <v>1.0978</v>
      </c>
      <c r="G1091" s="92">
        <f t="array" ref="G1091">IF(B1091="insumo",_xlfn.XLOOKUP($D1091,Insumos!$B$1:$B$993,Insumos!$D$1:$D$993),"")</f>
        <v/>
      </c>
      <c r="H1091" s="92" t="n">
        <v>3.765454</v>
      </c>
      <c r="I1091" s="2165" t="n">
        <v>0</v>
      </c>
      <c r="J1091" s="2165" t="n">
        <v>0</v>
      </c>
      <c r="K1091" s="2165" t="n"/>
    </row>
    <row r="1092" outlineLevel="3" ht="27" customHeight="1">
      <c r="A1092" s="471" t="n">
        <v>94</v>
      </c>
      <c r="B1092" s="471" t="inlineStr">
        <is>
          <t>Insumo</t>
        </is>
      </c>
      <c r="C1092" s="1053" t="inlineStr">
        <is>
          <t>Parede Com Sistema Em Chapas De Gesso Para Drywall, Uso Interno, Montante 70mm  (HU / 70 / HU)</t>
        </is>
      </c>
      <c r="D1092" s="1053" t="inlineStr">
        <is>
          <t>FITA DE PAPEL MICROPERFURADO, 50 X 150 MM, PARA TRATAMENTO DE JUNTAS DE CHAPA DE GESSO PARA DRYWALL</t>
        </is>
      </c>
      <c r="E1092" s="11">
        <f t="array" ref="E1092">_xlfn.XLOOKUP(D1092,Insumos!B:B,Insumos!C:$C)</f>
        <v/>
      </c>
      <c r="F1092" s="2164" t="n">
        <v>2.5027</v>
      </c>
      <c r="G1092" s="92">
        <f t="array" ref="G1092">IF(B1092="insumo",_xlfn.XLOOKUP($D1092,Insumos!$B$1:$B$993,Insumos!$D$1:$D$993),"")</f>
        <v/>
      </c>
      <c r="H1092" s="92" t="n">
        <v>0.775837</v>
      </c>
      <c r="I1092" s="2165" t="n">
        <v>0</v>
      </c>
      <c r="J1092" s="2165" t="n">
        <v>0</v>
      </c>
      <c r="K1092" s="2165" t="n"/>
    </row>
    <row r="1093" outlineLevel="3" ht="27" customHeight="1">
      <c r="A1093" s="471" t="n">
        <v>94</v>
      </c>
      <c r="B1093" s="471" t="inlineStr">
        <is>
          <t>Insumo</t>
        </is>
      </c>
      <c r="C1093" s="1053" t="inlineStr">
        <is>
          <t>Parede Com Sistema Em Chapas De Gesso Para Drywall, Uso Interno, Montante 70mm  (HU / 70 / HU)</t>
        </is>
      </c>
      <c r="D1093" s="1053" t="inlineStr">
        <is>
          <t>FITA DE PAPEL REFORCADA COM LAMINA DE METAL PARA REFORCO DE CANTOS DE CHAPA DE GESSO PARA DRYWALL</t>
        </is>
      </c>
      <c r="E1093" s="11">
        <f t="array" ref="E1093">_xlfn.XLOOKUP(D1093,Insumos!B:B,Insumos!C:$C)</f>
        <v/>
      </c>
      <c r="F1093" s="2164" t="n">
        <v>1.4815</v>
      </c>
      <c r="G1093" s="92">
        <f t="array" ref="G1093">IF(B1093="insumo",_xlfn.XLOOKUP($D1093,Insumos!$B$1:$B$993,Insumos!$D$1:$D$993),"")</f>
        <v/>
      </c>
      <c r="H1093" s="92" t="n">
        <v>4.05931</v>
      </c>
      <c r="I1093" s="2165" t="n">
        <v>0</v>
      </c>
      <c r="J1093" s="2165" t="n">
        <v>0</v>
      </c>
      <c r="K1093" s="2165" t="n"/>
    </row>
    <row r="1094" outlineLevel="3" ht="27" customHeight="1">
      <c r="A1094" s="471" t="n">
        <v>11</v>
      </c>
      <c r="B1094" s="471" t="inlineStr">
        <is>
          <t>Insumo</t>
        </is>
      </c>
      <c r="C1094" s="1053" t="inlineStr">
        <is>
          <t>Parede Com Sistema Em Chapas De Gesso Para Drywall, Uso Interno, Montante 70mm  (HU / 70 / HU)</t>
        </is>
      </c>
      <c r="D1094" s="1053" t="inlineStr">
        <is>
          <t>BANDA ACUSTICA</t>
        </is>
      </c>
      <c r="E1094" s="11">
        <f t="array" ref="E1094">_xlfn.XLOOKUP(D1094,Insumos!B:B,Insumos!C:$C)</f>
        <v/>
      </c>
      <c r="F1094" s="2164" t="n">
        <v>0.8</v>
      </c>
      <c r="G1094" s="92">
        <f t="array" ref="G1094">IF(B1094="insumo",_xlfn.XLOOKUP($D1094,Insumos!$B$1:$B$993,Insumos!$D$1:$D$993),"")</f>
        <v/>
      </c>
      <c r="H1094" s="92" t="n">
        <v>2.4</v>
      </c>
      <c r="I1094" s="2165" t="n">
        <v>0</v>
      </c>
      <c r="J1094" s="2165" t="n">
        <v>0</v>
      </c>
      <c r="K1094" s="2165" t="n"/>
    </row>
    <row r="1095" outlineLevel="3" ht="27" customHeight="1">
      <c r="A1095" s="471" t="n">
        <v>11</v>
      </c>
      <c r="B1095" s="471" t="inlineStr">
        <is>
          <t>Insumo</t>
        </is>
      </c>
      <c r="C1095" s="1053" t="inlineStr">
        <is>
          <t>Parede Com Sistema Em Chapas De Gesso Para Drywall, Uso Interno, Montante 70mm  (HU / 70 / HU)</t>
        </is>
      </c>
      <c r="D1095" s="1053" t="inlineStr">
        <is>
          <t>Aplicação de zarcão nas guias inferiores</t>
        </is>
      </c>
      <c r="E1095" s="11">
        <f t="array" ref="E1095">_xlfn.XLOOKUP(D1095,Insumos!B:B,Insumos!C:$C)</f>
        <v/>
      </c>
      <c r="F1095" s="2164" t="n">
        <v>0.84</v>
      </c>
      <c r="G1095" s="92">
        <f t="array" ref="G1095">IF(B1095="insumo",_xlfn.XLOOKUP($D1095,Insumos!$B$1:$B$993,Insumos!$D$1:$D$993),"")</f>
        <v/>
      </c>
      <c r="H1095" s="92" t="n">
        <v>0.504</v>
      </c>
      <c r="I1095" s="2165" t="n">
        <v>0</v>
      </c>
      <c r="J1095" s="2165" t="n">
        <v>0</v>
      </c>
      <c r="K1095" s="2165" t="n"/>
    </row>
    <row r="1096" outlineLevel="3" ht="27" customHeight="1">
      <c r="A1096" s="471" t="n">
        <v>97</v>
      </c>
      <c r="B1096" s="471" t="inlineStr">
        <is>
          <t>Insumo</t>
        </is>
      </c>
      <c r="C1096" s="1053" t="inlineStr">
        <is>
          <t>Parede Com Sistema Em Chapas De Gesso Para Drywall, Uso Interno, Montante 70mm  (HU / 70 / HU)</t>
        </is>
      </c>
      <c r="D1096" s="1053" t="inlineStr">
        <is>
          <t>PARAFUSO DRY WALL, EM ACO FOSFATIZADO, CABECA TROMBETA E PONTA AGULHA (TA), COMPRIMENTO 25 MM</t>
        </is>
      </c>
      <c r="E1096" s="11">
        <f t="array" ref="E1096">_xlfn.XLOOKUP(D1096,Insumos!B:B,Insumos!C:$C)</f>
        <v/>
      </c>
      <c r="F1096" s="2164" t="n">
        <v>20.1868</v>
      </c>
      <c r="G1096" s="92">
        <f t="array" ref="G1096">IF(B1096="insumo",_xlfn.XLOOKUP($D1096,Insumos!$B$1:$B$993,Insumos!$D$1:$D$993),"")</f>
        <v/>
      </c>
      <c r="H1096" s="92" t="n">
        <v>1.816812</v>
      </c>
      <c r="I1096" s="2165" t="n">
        <v>0</v>
      </c>
      <c r="J1096" s="2165" t="n">
        <v>0</v>
      </c>
      <c r="K1096" s="2165" t="n"/>
    </row>
    <row r="1097" outlineLevel="3" ht="27" customHeight="1">
      <c r="A1097" s="471" t="n">
        <v>95</v>
      </c>
      <c r="B1097" s="471" t="inlineStr">
        <is>
          <t>Insumo</t>
        </is>
      </c>
      <c r="C1097" s="1053" t="inlineStr">
        <is>
          <t>Parede Com Sistema Em Chapas De Gesso Para Drywall, Uso Interno, Montante 70mm  (HU / 70 / HU)</t>
        </is>
      </c>
      <c r="D1097" s="1053" t="inlineStr">
        <is>
          <t>PARAFUSO DRY WALL, EM ACO ZINCADO, CABECA LENTILHA E PONTA BROCA (LB), LARGURA 4,2 MM, COMPRIMENTO 13 MM</t>
        </is>
      </c>
      <c r="E1097" s="11">
        <f t="array" ref="E1097">_xlfn.XLOOKUP(D1097,Insumos!B:B,Insumos!C:$C)</f>
        <v/>
      </c>
      <c r="F1097" s="2164" t="n">
        <v>0.4803</v>
      </c>
      <c r="G1097" s="92">
        <f t="array" ref="G1097">IF(B1097="insumo",_xlfn.XLOOKUP($D1097,Insumos!$B$1:$B$993,Insumos!$D$1:$D$993),"")</f>
        <v/>
      </c>
      <c r="H1097" s="92" t="n">
        <v>0.09606000000000001</v>
      </c>
      <c r="I1097" s="2165" t="n">
        <v>0</v>
      </c>
      <c r="J1097" s="2165" t="n">
        <v>0</v>
      </c>
      <c r="K1097" s="2165" t="n"/>
    </row>
    <row r="1098" outlineLevel="2" ht="27" customHeight="1">
      <c r="A1098" s="1076" t="n">
        <v>1</v>
      </c>
      <c r="B1098" s="1076" t="inlineStr">
        <is>
          <t>Serviço</t>
        </is>
      </c>
      <c r="C1098" s="1077" t="inlineStr">
        <is>
          <t>Parede Com Sistema Em Chapas De Gesso Para Drywall, Uso Interno, Montante 70mm  (HU / 70 / HS)</t>
        </is>
      </c>
      <c r="D1098" s="1077" t="inlineStr">
        <is>
          <t>Parede Com Sistema Em Chapas De Gesso Para Drywall, Uso Interno, Montante 70mm  (HU / 70 / HS)</t>
        </is>
      </c>
      <c r="E1098" s="1078" t="inlineStr">
        <is>
          <t>M2</t>
        </is>
      </c>
      <c r="F1098" s="1076" t="n"/>
      <c r="G1098" s="1069">
        <f t="array" ref="G1098">IF(B1098="insumo",_xlfn.XLOOKUP($D1098,Insumos!$B$1:$B$993,Insumos!$D$1:$D$993),"")</f>
        <v/>
      </c>
      <c r="H1098" s="1069" t="n">
        <v>165.703099</v>
      </c>
      <c r="I1098" s="2167" t="e">
        <v>#REF!</v>
      </c>
      <c r="J1098" s="2167" t="e">
        <v>#REF!</v>
      </c>
      <c r="K1098" s="2167" t="n"/>
    </row>
    <row r="1099" outlineLevel="3" ht="27" customHeight="1">
      <c r="A1099" s="471" t="n">
        <v>49</v>
      </c>
      <c r="B1099" s="471" t="inlineStr">
        <is>
          <t>Insumo</t>
        </is>
      </c>
      <c r="C1099" s="1053" t="inlineStr">
        <is>
          <t>Parede Com Sistema Em Chapas De Gesso Para Drywall, Uso Interno, Montante 70mm  (HU / 70 / HS)</t>
        </is>
      </c>
      <c r="D1099" s="1053" t="inlineStr">
        <is>
          <t>PLACA / CHAPA DE GESSO ACARTONADO, RESISTENTE A UMIDADE (RU), COR VERDE, E = 12,5 MM, 1200 X 2400 MM (L X C)</t>
        </is>
      </c>
      <c r="E1099" s="11">
        <f t="array" ref="E1099">_xlfn.XLOOKUP(D1099,Insumos!B:B,Insumos!C:$C)</f>
        <v/>
      </c>
      <c r="F1099" s="2164">
        <f>1.053</f>
        <v/>
      </c>
      <c r="G1099" s="92">
        <f t="array" ref="G1099">IF(B1099="insumo",_xlfn.XLOOKUP($D1099,Insumos!$B$1:$B$993,Insumos!$D$1:$D$993),"")</f>
        <v/>
      </c>
      <c r="H1099" s="92" t="n">
        <v>28.5363</v>
      </c>
      <c r="I1099" s="2165" t="e">
        <v>#REF!</v>
      </c>
      <c r="J1099" s="2165" t="e">
        <v>#REF!</v>
      </c>
      <c r="K1099" s="2165" t="n"/>
    </row>
    <row r="1100" outlineLevel="3" ht="27" customHeight="1">
      <c r="A1100" s="471" t="n">
        <v>47</v>
      </c>
      <c r="B1100" s="471" t="inlineStr">
        <is>
          <t>Insumo</t>
        </is>
      </c>
      <c r="C1100" s="1053" t="inlineStr">
        <is>
          <t>Parede Com Sistema Em Chapas De Gesso Para Drywall, Uso Interno, Montante 70mm  (HU / 70 / HS)</t>
        </is>
      </c>
      <c r="D1100" s="1053" t="inlineStr">
        <is>
          <t>PLACA / CHAPA DE GESSO ACARTONADO, STANDARD (ST), COR BRANCA, E = 12,5 MM, 1200 X 2400 MM (L X C)</t>
        </is>
      </c>
      <c r="E1100" s="11">
        <f t="array" ref="E1100">_xlfn.XLOOKUP(D1100,Insumos!B:B,Insumos!C:$C)</f>
        <v/>
      </c>
      <c r="F1100" s="2164">
        <f>1.053</f>
        <v/>
      </c>
      <c r="G1100" s="92">
        <f t="array" ref="G1100">IF(B1100="insumo",_xlfn.XLOOKUP($D1100,Insumos!$B$1:$B$993,Insumos!$D$1:$D$993),"")</f>
        <v/>
      </c>
      <c r="H1100" s="92" t="n">
        <v>21.22848</v>
      </c>
      <c r="I1100" s="2165" t="e">
        <v>#REF!</v>
      </c>
      <c r="J1100" s="2165" t="e">
        <v>#REF!</v>
      </c>
      <c r="K1100" s="2165" t="n"/>
    </row>
    <row r="1101" outlineLevel="3" ht="12.75" customHeight="1">
      <c r="A1101" s="471" t="n">
        <v>10</v>
      </c>
      <c r="B1101" s="471" t="inlineStr">
        <is>
          <t>Insumo</t>
        </is>
      </c>
      <c r="C1101" s="10" t="inlineStr">
        <is>
          <t>Parede Com Sistema Em Chapas De Gesso Para Drywall, Uso Interno, Montante 70mm  (HU / 70 / HS)</t>
        </is>
      </c>
      <c r="D1101" s="10" t="inlineStr">
        <is>
          <t>PLACA / CHAPA DE GESSO ACARTONADO HARDBOARD (HB) E = 12,5 MM, 1200 X 1800 MM (L X C)</t>
        </is>
      </c>
      <c r="E1101" s="11">
        <f t="array" ref="E1101">_xlfn.XLOOKUP(D1101,Insumos!B:B,Insumos!C:$C)</f>
        <v/>
      </c>
      <c r="F1101" s="2164">
        <f>1.053*2</f>
        <v/>
      </c>
      <c r="G1101" s="92">
        <f t="array" ref="G1101">IF(B1101="insumo",_xlfn.XLOOKUP($D1101,Insumos!$B$1:$B$993,Insumos!$D$1:$D$993),"")</f>
        <v/>
      </c>
      <c r="H1101" s="92" t="n">
        <v>72.68625</v>
      </c>
      <c r="I1101" s="2165" t="e">
        <v>#REF!</v>
      </c>
      <c r="J1101" s="2165" t="e">
        <v>#REF!</v>
      </c>
      <c r="K1101" s="2165" t="n"/>
    </row>
    <row r="1102" outlineLevel="3" ht="27" customHeight="1">
      <c r="A1102" s="471" t="n">
        <v>95</v>
      </c>
      <c r="B1102" s="471" t="inlineStr">
        <is>
          <t>Insumo</t>
        </is>
      </c>
      <c r="C1102" s="1053" t="inlineStr">
        <is>
          <t>Parede Com Sistema Em Chapas De Gesso Para Drywall, Uso Interno, Montante 70mm  (HU / 70 / HS)</t>
        </is>
      </c>
      <c r="D1102" s="1053" t="inlineStr">
        <is>
          <t>PINO DE ACO COM ARRUELA CONICA, DIAMETRO ARRUELA = *23* MM E COMP HASTE = *27* MM (ACAO INDIRETA)</t>
        </is>
      </c>
      <c r="E1102" s="11">
        <f t="array" ref="E1102">_xlfn.XLOOKUP(D1102,Insumos!B:B,Insumos!C:$C)</f>
        <v/>
      </c>
      <c r="F1102" s="2164" t="n">
        <v>4.95</v>
      </c>
      <c r="G1102" s="92">
        <f t="array" ref="G1102">IF(B1102="insumo",_xlfn.XLOOKUP($D1102,Insumos!$B$1:$B$993,Insumos!$D$1:$D$993),"")</f>
        <v/>
      </c>
      <c r="H1102" s="92" t="n">
        <v>2.4948</v>
      </c>
      <c r="I1102" s="2165" t="e">
        <v>#REF!</v>
      </c>
      <c r="J1102" s="2165" t="e">
        <v>#REF!</v>
      </c>
      <c r="K1102" s="2165" t="n"/>
    </row>
    <row r="1103" outlineLevel="3" ht="27" customHeight="1">
      <c r="A1103" s="471" t="n">
        <v>43</v>
      </c>
      <c r="B1103" s="471" t="inlineStr">
        <is>
          <t>Insumo</t>
        </is>
      </c>
      <c r="C1103" s="1053" t="inlineStr">
        <is>
          <t>Parede Com Sistema Em Chapas De Gesso Para Drywall, Uso Interno, Montante 70mm  (HU / 70 / HS)</t>
        </is>
      </c>
      <c r="D1103" s="1053" t="inlineStr">
        <is>
          <t>PERFIL GUIA, FORMATO U, EM ACO ZINCADO, PARA ESTRUTURA PAREDE DRYWALL, E = 0,5 MM, 70 X 3000 MM (L X C)</t>
        </is>
      </c>
      <c r="E1103" s="11">
        <f t="array" ref="E1103">_xlfn.XLOOKUP(D1103,Insumos!B:B,Insumos!C:$C)</f>
        <v/>
      </c>
      <c r="F1103" s="2164" t="n">
        <v>1.5248</v>
      </c>
      <c r="G1103" s="92">
        <f t="array" ref="G1103">IF(B1103="insumo",_xlfn.XLOOKUP($D1103,Insumos!$B$1:$B$993,Insumos!$D$1:$D$993),"")</f>
        <v/>
      </c>
      <c r="H1103" s="92" t="n">
        <v>11.375008</v>
      </c>
      <c r="I1103" s="2165" t="e">
        <v>#REF!</v>
      </c>
      <c r="J1103" s="2165" t="e">
        <v>#REF!</v>
      </c>
      <c r="K1103" s="2165" t="n"/>
    </row>
    <row r="1104" outlineLevel="3" ht="27" customHeight="1">
      <c r="A1104" s="471" t="n">
        <v>43</v>
      </c>
      <c r="B1104" s="471" t="inlineStr">
        <is>
          <t>Insumo</t>
        </is>
      </c>
      <c r="C1104" s="1053" t="inlineStr">
        <is>
          <t>Parede Com Sistema Em Chapas De Gesso Para Drywall, Uso Interno, Montante 70mm  (HU / 70 / HS)</t>
        </is>
      </c>
      <c r="D1104" s="1053" t="inlineStr">
        <is>
          <t>PERFIL MONTANTE, FORMATO C, EM ACO ZINCADO, PARA ESTRUTURA PAREDE DRYWALL, E = 0,5 MM, 70 X 3000 MM (L X C)</t>
        </is>
      </c>
      <c r="E1104" s="11">
        <f t="array" ref="E1104">_xlfn.XLOOKUP(D1104,Insumos!B:B,Insumos!C:$C)</f>
        <v/>
      </c>
      <c r="F1104" s="2164" t="n">
        <v>2.0006</v>
      </c>
      <c r="G1104" s="92">
        <f t="array" ref="G1104">IF(B1104="insumo",_xlfn.XLOOKUP($D1104,Insumos!$B$1:$B$993,Insumos!$D$1:$D$993),"")</f>
        <v/>
      </c>
      <c r="H1104" s="92" t="n">
        <v>15.964788</v>
      </c>
      <c r="I1104" s="2165" t="e">
        <v>#REF!</v>
      </c>
      <c r="J1104" s="2165" t="e">
        <v>#REF!</v>
      </c>
      <c r="K1104" s="2165" t="n"/>
    </row>
    <row r="1105" outlineLevel="3" ht="27" customHeight="1">
      <c r="A1105" s="471" t="n">
        <v>95</v>
      </c>
      <c r="B1105" s="471" t="inlineStr">
        <is>
          <t>Insumo</t>
        </is>
      </c>
      <c r="C1105" s="1053" t="inlineStr">
        <is>
          <t>Parede Com Sistema Em Chapas De Gesso Para Drywall, Uso Interno, Montante 70mm  (HU / 70 / HS)</t>
        </is>
      </c>
      <c r="D1105" s="1053" t="inlineStr">
        <is>
          <t>MASSA DE REJUNTE EM PO PARA DRYWALL, A BASE DE GESSO, SECAGEM RAPIDA, PARA TRATAMENTO DE JUNTAS DE CHAPA DE GESSO (NECESSITA ADICAO DE AGUA)</t>
        </is>
      </c>
      <c r="E1105" s="11">
        <f t="array" ref="E1105">_xlfn.XLOOKUP(D1105,Insumos!B:B,Insumos!C:$C)</f>
        <v/>
      </c>
      <c r="F1105" s="2164" t="n">
        <v>1.0978</v>
      </c>
      <c r="G1105" s="92">
        <f t="array" ref="G1105">IF(B1105="insumo",_xlfn.XLOOKUP($D1105,Insumos!$B$1:$B$993,Insumos!$D$1:$D$993),"")</f>
        <v/>
      </c>
      <c r="H1105" s="92" t="n">
        <v>3.765454</v>
      </c>
      <c r="I1105" s="2165" t="e">
        <v>#REF!</v>
      </c>
      <c r="J1105" s="2165" t="e">
        <v>#REF!</v>
      </c>
      <c r="K1105" s="2165" t="n"/>
    </row>
    <row r="1106" outlineLevel="3" ht="27" customHeight="1">
      <c r="A1106" s="471" t="n">
        <v>94</v>
      </c>
      <c r="B1106" s="471" t="inlineStr">
        <is>
          <t>Insumo</t>
        </is>
      </c>
      <c r="C1106" s="1053" t="inlineStr">
        <is>
          <t>Parede Com Sistema Em Chapas De Gesso Para Drywall, Uso Interno, Montante 70mm  (HU / 70 / HS)</t>
        </is>
      </c>
      <c r="D1106" s="1053" t="inlineStr">
        <is>
          <t>FITA DE PAPEL MICROPERFURADO, 50 X 150 MM, PARA TRATAMENTO DE JUNTAS DE CHAPA DE GESSO PARA DRYWALL</t>
        </is>
      </c>
      <c r="E1106" s="11">
        <f t="array" ref="E1106">_xlfn.XLOOKUP(D1106,Insumos!B:B,Insumos!C:$C)</f>
        <v/>
      </c>
      <c r="F1106" s="2164" t="n">
        <v>2.5027</v>
      </c>
      <c r="G1106" s="92">
        <f t="array" ref="G1106">IF(B1106="insumo",_xlfn.XLOOKUP($D1106,Insumos!$B$1:$B$993,Insumos!$D$1:$D$993),"")</f>
        <v/>
      </c>
      <c r="H1106" s="92" t="n">
        <v>0.775837</v>
      </c>
      <c r="I1106" s="2165" t="e">
        <v>#REF!</v>
      </c>
      <c r="J1106" s="2165" t="e">
        <v>#REF!</v>
      </c>
      <c r="K1106" s="2165" t="n"/>
    </row>
    <row r="1107" outlineLevel="3" ht="27" customHeight="1">
      <c r="A1107" s="471" t="n">
        <v>94</v>
      </c>
      <c r="B1107" s="471" t="inlineStr">
        <is>
          <t>Insumo</t>
        </is>
      </c>
      <c r="C1107" s="1053" t="inlineStr">
        <is>
          <t>Parede Com Sistema Em Chapas De Gesso Para Drywall, Uso Interno, Montante 70mm  (HU / 70 / HS)</t>
        </is>
      </c>
      <c r="D1107" s="1053" t="inlineStr">
        <is>
          <t>FITA DE PAPEL REFORCADA COM LAMINA DE METAL PARA REFORCO DE CANTOS DE CHAPA DE GESSO PARA DRYWALL</t>
        </is>
      </c>
      <c r="E1107" s="11">
        <f t="array" ref="E1107">_xlfn.XLOOKUP(D1107,Insumos!B:B,Insumos!C:$C)</f>
        <v/>
      </c>
      <c r="F1107" s="2164" t="n">
        <v>1.4815</v>
      </c>
      <c r="G1107" s="92">
        <f t="array" ref="G1107">IF(B1107="insumo",_xlfn.XLOOKUP($D1107,Insumos!$B$1:$B$993,Insumos!$D$1:$D$993),"")</f>
        <v/>
      </c>
      <c r="H1107" s="92" t="n">
        <v>4.05931</v>
      </c>
      <c r="I1107" s="2165" t="e">
        <v>#REF!</v>
      </c>
      <c r="J1107" s="2165" t="e">
        <v>#REF!</v>
      </c>
      <c r="K1107" s="2165" t="n"/>
    </row>
    <row r="1108" outlineLevel="3" ht="27" customHeight="1">
      <c r="A1108" s="471" t="n">
        <v>11</v>
      </c>
      <c r="B1108" s="471" t="inlineStr">
        <is>
          <t>Insumo</t>
        </is>
      </c>
      <c r="C1108" s="1053" t="inlineStr">
        <is>
          <t>Parede Com Sistema Em Chapas De Gesso Para Drywall, Uso Interno, Montante 70mm  (HU / 70 / HS)</t>
        </is>
      </c>
      <c r="D1108" s="1053" t="inlineStr">
        <is>
          <t>BANDA ACUSTICA</t>
        </is>
      </c>
      <c r="E1108" s="11">
        <f t="array" ref="E1108">_xlfn.XLOOKUP(D1108,Insumos!B:B,Insumos!C:$C)</f>
        <v/>
      </c>
      <c r="F1108" s="2164" t="n">
        <v>0.8</v>
      </c>
      <c r="G1108" s="92">
        <f t="array" ref="G1108">IF(B1108="insumo",_xlfn.XLOOKUP($D1108,Insumos!$B$1:$B$993,Insumos!$D$1:$D$993),"")</f>
        <v/>
      </c>
      <c r="H1108" s="92" t="n">
        <v>2.4</v>
      </c>
      <c r="I1108" s="2165" t="e">
        <v>#REF!</v>
      </c>
      <c r="J1108" s="2165" t="e">
        <v>#REF!</v>
      </c>
      <c r="K1108" s="2165" t="n"/>
    </row>
    <row r="1109" outlineLevel="3" ht="27" customHeight="1">
      <c r="A1109" s="471" t="n">
        <v>11</v>
      </c>
      <c r="B1109" s="471" t="inlineStr">
        <is>
          <t>Insumo</t>
        </is>
      </c>
      <c r="C1109" s="1053" t="inlineStr">
        <is>
          <t>Parede Com Sistema Em Chapas De Gesso Para Drywall, Uso Interno, Montante 70mm  (HU / 70 / HS)</t>
        </is>
      </c>
      <c r="D1109" s="1053" t="inlineStr">
        <is>
          <t>Aplicação de zarcão nas guias inferiores</t>
        </is>
      </c>
      <c r="E1109" s="11">
        <f t="array" ref="E1109">_xlfn.XLOOKUP(D1109,Insumos!B:B,Insumos!C:$C)</f>
        <v/>
      </c>
      <c r="F1109" s="2164" t="n">
        <v>0.84</v>
      </c>
      <c r="G1109" s="92">
        <f t="array" ref="G1109">IF(B1109="insumo",_xlfn.XLOOKUP($D1109,Insumos!$B$1:$B$993,Insumos!$D$1:$D$993),"")</f>
        <v/>
      </c>
      <c r="H1109" s="92" t="n">
        <v>0.504</v>
      </c>
      <c r="I1109" s="2165" t="e">
        <v>#REF!</v>
      </c>
      <c r="J1109" s="2165" t="e">
        <v>#REF!</v>
      </c>
      <c r="K1109" s="2165" t="n"/>
    </row>
    <row r="1110" outlineLevel="3" ht="27" customHeight="1">
      <c r="A1110" s="471" t="n">
        <v>97</v>
      </c>
      <c r="B1110" s="471" t="inlineStr">
        <is>
          <t>Insumo</t>
        </is>
      </c>
      <c r="C1110" s="1053" t="inlineStr">
        <is>
          <t>Parede Com Sistema Em Chapas De Gesso Para Drywall, Uso Interno, Montante 70mm  (HU / 70 / HS)</t>
        </is>
      </c>
      <c r="D1110" s="1053" t="inlineStr">
        <is>
          <t>PARAFUSO DRY WALL, EM ACO FOSFATIZADO, CABECA TROMBETA E PONTA AGULHA (TA), COMPRIMENTO 25 MM</t>
        </is>
      </c>
      <c r="E1110" s="11">
        <f t="array" ref="E1110">_xlfn.XLOOKUP(D1110,Insumos!B:B,Insumos!C:$C)</f>
        <v/>
      </c>
      <c r="F1110" s="2164" t="n">
        <v>20.1868</v>
      </c>
      <c r="G1110" s="92">
        <f t="array" ref="G1110">IF(B1110="insumo",_xlfn.XLOOKUP($D1110,Insumos!$B$1:$B$993,Insumos!$D$1:$D$993),"")</f>
        <v/>
      </c>
      <c r="H1110" s="92" t="n">
        <v>1.816812</v>
      </c>
      <c r="I1110" s="2165" t="e">
        <v>#REF!</v>
      </c>
      <c r="J1110" s="2165" t="e">
        <v>#REF!</v>
      </c>
      <c r="K1110" s="2165" t="n"/>
    </row>
    <row r="1111" outlineLevel="3" ht="27" customHeight="1">
      <c r="A1111" s="471" t="n">
        <v>95</v>
      </c>
      <c r="B1111" s="471" t="inlineStr">
        <is>
          <t>Insumo</t>
        </is>
      </c>
      <c r="C1111" s="1053" t="inlineStr">
        <is>
          <t>Parede Com Sistema Em Chapas De Gesso Para Drywall, Uso Interno, Montante 70mm  (HU / 70 / HS)</t>
        </is>
      </c>
      <c r="D1111" s="1053" t="inlineStr">
        <is>
          <t>PARAFUSO DRY WALL, EM ACO ZINCADO, CABECA LENTILHA E PONTA BROCA (LB), LARGURA 4,2 MM, COMPRIMENTO 13 MM</t>
        </is>
      </c>
      <c r="E1111" s="11">
        <f t="array" ref="E1111">_xlfn.XLOOKUP(D1111,Insumos!B:B,Insumos!C:$C)</f>
        <v/>
      </c>
      <c r="F1111" s="2164" t="n">
        <v>0.4803</v>
      </c>
      <c r="G1111" s="92">
        <f t="array" ref="G1111">IF(B1111="insumo",_xlfn.XLOOKUP($D1111,Insumos!$B$1:$B$993,Insumos!$D$1:$D$993),"")</f>
        <v/>
      </c>
      <c r="H1111" s="92" t="n">
        <v>0.09606000000000001</v>
      </c>
      <c r="I1111" s="2165" t="e">
        <v>#REF!</v>
      </c>
      <c r="J1111" s="2165" t="e">
        <v>#REF!</v>
      </c>
      <c r="K1111" s="2165" t="n"/>
    </row>
    <row r="1112" outlineLevel="2" ht="27" customHeight="1">
      <c r="A1112" s="1076" t="n">
        <v>1</v>
      </c>
      <c r="B1112" s="1076" t="inlineStr">
        <is>
          <t>Serviço</t>
        </is>
      </c>
      <c r="C1112" s="1077" t="inlineStr">
        <is>
          <t>Parede Com Sistema Em Chapas De Gesso Para Drywall, Uso Interno, Montante 70mm  (CIM/70/CIM/70/CIM)</t>
        </is>
      </c>
      <c r="D1112" s="1077" t="inlineStr">
        <is>
          <t>Parede Com Sistema Em Chapas De Gesso Para Drywall, Uso Interno, Montante 70mm  (CIM/70/CIM/70/CIM)</t>
        </is>
      </c>
      <c r="E1112" s="1078" t="inlineStr">
        <is>
          <t>M2</t>
        </is>
      </c>
      <c r="F1112" s="1076" t="n"/>
      <c r="G1112" s="1069">
        <f t="array" ref="G1112">IF(B1112="insumo",_xlfn.XLOOKUP($D1112,Insumos!$B$1:$B$993,Insumos!$D$1:$D$993),"")</f>
        <v/>
      </c>
      <c r="H1112" s="1069" t="n">
        <v>172.95653075</v>
      </c>
      <c r="I1112" s="2167" t="n">
        <v>0</v>
      </c>
      <c r="J1112" s="2167" t="n">
        <v>0</v>
      </c>
      <c r="K1112" s="2167" t="n"/>
    </row>
    <row r="1113" outlineLevel="3" ht="12.75" customHeight="1">
      <c r="A1113" s="471" t="n">
        <v>11</v>
      </c>
      <c r="B1113" s="471" t="inlineStr">
        <is>
          <t>Insumo</t>
        </is>
      </c>
      <c r="C1113" s="10" t="inlineStr">
        <is>
          <t>Parede Com Sistema Em Chapas De Gesso Para Drywall, Uso Interno, Montante 70mm  (CIM/70/CIM/70/CIM)</t>
        </is>
      </c>
      <c r="D1113" s="10" t="inlineStr">
        <is>
          <t>PLACA CIMENTÍCIA(CT) PARA STEEL FRAME BRASILIT-ETERNIT 8MM X 1,20M X 2,40M</t>
        </is>
      </c>
      <c r="E1113" s="11">
        <f t="array" ref="E1113">_xlfn.XLOOKUP(D1113,Insumos!B:B,Insumos!C:$C)</f>
        <v/>
      </c>
      <c r="F1113" s="2164">
        <f>1.053*3</f>
        <v/>
      </c>
      <c r="G1113" s="92">
        <f t="array" ref="G1113">IF(B1113="insumo",_xlfn.XLOOKUP($D1113,Insumos!$B$1:$B$993,Insumos!$D$1:$D$993),"")</f>
        <v/>
      </c>
      <c r="H1113" s="92" t="n">
        <v>95.05299375</v>
      </c>
      <c r="I1113" s="2165" t="n">
        <v>0</v>
      </c>
      <c r="J1113" s="2165" t="n">
        <v>0</v>
      </c>
      <c r="K1113" s="2165" t="n"/>
    </row>
    <row r="1114" outlineLevel="3" ht="27" customHeight="1">
      <c r="A1114" s="471" t="n">
        <v>95</v>
      </c>
      <c r="B1114" s="471" t="inlineStr">
        <is>
          <t>Insumo</t>
        </is>
      </c>
      <c r="C1114" s="1053" t="inlineStr">
        <is>
          <t>Parede Com Sistema Em Chapas De Gesso Para Drywall, Uso Interno, Montante 70mm  (CIM/70/CIM/70/CIM)</t>
        </is>
      </c>
      <c r="D1114" s="1053" t="inlineStr">
        <is>
          <t>PINO DE ACO COM ARRUELA CONICA, DIAMETRO ARRUELA = *23* MM E COMP HASTE = *27* MM (ACAO INDIRETA)</t>
        </is>
      </c>
      <c r="E1114" s="11">
        <f t="array" ref="E1114">_xlfn.XLOOKUP(D1114,Insumos!B:B,Insumos!C:$C)</f>
        <v/>
      </c>
      <c r="F1114" s="2164">
        <f>4.95*2</f>
        <v/>
      </c>
      <c r="G1114" s="92">
        <f t="array" ref="G1114">IF(B1114="insumo",_xlfn.XLOOKUP($D1114,Insumos!$B$1:$B$993,Insumos!$D$1:$D$993),"")</f>
        <v/>
      </c>
      <c r="H1114" s="92" t="n">
        <v>4.9896</v>
      </c>
      <c r="I1114" s="2165" t="n">
        <v>0</v>
      </c>
      <c r="J1114" s="2165" t="n">
        <v>0</v>
      </c>
      <c r="K1114" s="2165" t="n"/>
    </row>
    <row r="1115" outlineLevel="3" ht="27" customHeight="1">
      <c r="A1115" s="471" t="n">
        <v>43</v>
      </c>
      <c r="B1115" s="471" t="inlineStr">
        <is>
          <t>Insumo</t>
        </is>
      </c>
      <c r="C1115" s="1053" t="inlineStr">
        <is>
          <t>Parede Com Sistema Em Chapas De Gesso Para Drywall, Uso Interno, Montante 70mm  (CIM/70/CIM/70/CIM)</t>
        </is>
      </c>
      <c r="D1115" s="1053" t="inlineStr">
        <is>
          <t>PERFIL GUIA, FORMATO U, EM ACO ZINCADO, PARA ESTRUTURA PAREDE DRYWALL, E = 0,5 MM, 70 X 3000 MM (L X C)</t>
        </is>
      </c>
      <c r="E1115" s="11">
        <f t="array" ref="E1115">_xlfn.XLOOKUP(D1115,Insumos!B:B,Insumos!C:$C)</f>
        <v/>
      </c>
      <c r="F1115" s="2164">
        <f>1.5248*2</f>
        <v/>
      </c>
      <c r="G1115" s="92">
        <f t="array" ref="G1115">IF(B1115="insumo",_xlfn.XLOOKUP($D1115,Insumos!$B$1:$B$993,Insumos!$D$1:$D$993),"")</f>
        <v/>
      </c>
      <c r="H1115" s="92" t="n">
        <v>22.750016</v>
      </c>
      <c r="I1115" s="2165" t="n">
        <v>0</v>
      </c>
      <c r="J1115" s="2165" t="n">
        <v>0</v>
      </c>
      <c r="K1115" s="2165" t="n"/>
    </row>
    <row r="1116" outlineLevel="3" ht="27" customHeight="1">
      <c r="A1116" s="471" t="n">
        <v>43</v>
      </c>
      <c r="B1116" s="471" t="inlineStr">
        <is>
          <t>Insumo</t>
        </is>
      </c>
      <c r="C1116" s="1053" t="inlineStr">
        <is>
          <t>Parede Com Sistema Em Chapas De Gesso Para Drywall, Uso Interno, Montante 70mm  (CIM/70/CIM/70/CIM)</t>
        </is>
      </c>
      <c r="D1116" s="1053" t="inlineStr">
        <is>
          <t>PERFIL MONTANTE, FORMATO C, EM ACO ZINCADO, PARA ESTRUTURA PAREDE DRYWALL, E = 0,5 MM, 70 X 3000 MM (L X C)</t>
        </is>
      </c>
      <c r="E1116" s="11">
        <f t="array" ref="E1116">_xlfn.XLOOKUP(D1116,Insumos!B:B,Insumos!C:$C)</f>
        <v/>
      </c>
      <c r="F1116" s="2164">
        <f>2.0006*2</f>
        <v/>
      </c>
      <c r="G1116" s="92">
        <f t="array" ref="G1116">IF(B1116="insumo",_xlfn.XLOOKUP($D1116,Insumos!$B$1:$B$993,Insumos!$D$1:$D$993),"")</f>
        <v/>
      </c>
      <c r="H1116" s="92" t="n">
        <v>31.929576</v>
      </c>
      <c r="I1116" s="2165" t="n">
        <v>0</v>
      </c>
      <c r="J1116" s="2165" t="n">
        <v>0</v>
      </c>
      <c r="K1116" s="2165" t="n"/>
    </row>
    <row r="1117" outlineLevel="3" ht="27" customHeight="1">
      <c r="A1117" s="471" t="n">
        <v>95</v>
      </c>
      <c r="B1117" s="471" t="inlineStr">
        <is>
          <t>Insumo</t>
        </is>
      </c>
      <c r="C1117" s="1053" t="inlineStr">
        <is>
          <t>Parede Com Sistema Em Chapas De Gesso Para Drywall, Uso Interno, Montante 70mm  (CIM/70/CIM/70/CIM)</t>
        </is>
      </c>
      <c r="D1117" s="1053" t="inlineStr">
        <is>
          <t>MASSA DE REJUNTE EM PO PARA DRYWALL, A BASE DE GESSO, SECAGEM RAPIDA, PARA TRATAMENTO DE JUNTAS DE CHAPA DE GESSO (NECESSITA ADICAO DE AGUA)</t>
        </is>
      </c>
      <c r="E1117" s="11">
        <f t="array" ref="E1117">_xlfn.XLOOKUP(D1117,Insumos!B:B,Insumos!C:$C)</f>
        <v/>
      </c>
      <c r="F1117" s="2164" t="n">
        <v>1.0978</v>
      </c>
      <c r="G1117" s="92">
        <f t="array" ref="G1117">IF(B1117="insumo",_xlfn.XLOOKUP($D1117,Insumos!$B$1:$B$993,Insumos!$D$1:$D$993),"")</f>
        <v/>
      </c>
      <c r="H1117" s="92" t="n">
        <v>3.765454</v>
      </c>
      <c r="I1117" s="2165" t="n">
        <v>0</v>
      </c>
      <c r="J1117" s="2165" t="n">
        <v>0</v>
      </c>
      <c r="K1117" s="2165" t="n"/>
    </row>
    <row r="1118" outlineLevel="3" ht="27" customHeight="1">
      <c r="A1118" s="471" t="n">
        <v>94</v>
      </c>
      <c r="B1118" s="471" t="inlineStr">
        <is>
          <t>Insumo</t>
        </is>
      </c>
      <c r="C1118" s="1053" t="inlineStr">
        <is>
          <t>Parede Com Sistema Em Chapas De Gesso Para Drywall, Uso Interno, Montante 70mm  (CIM/70/CIM/70/CIM)</t>
        </is>
      </c>
      <c r="D1118" s="1053" t="inlineStr">
        <is>
          <t>FITA DE PAPEL MICROPERFURADO, 50 X 150 MM, PARA TRATAMENTO DE JUNTAS DE CHAPA DE GESSO PARA DRYWALL</t>
        </is>
      </c>
      <c r="E1118" s="11">
        <f t="array" ref="E1118">_xlfn.XLOOKUP(D1118,Insumos!B:B,Insumos!C:$C)</f>
        <v/>
      </c>
      <c r="F1118" s="2164" t="n">
        <v>2.5027</v>
      </c>
      <c r="G1118" s="92">
        <f t="array" ref="G1118">IF(B1118="insumo",_xlfn.XLOOKUP($D1118,Insumos!$B$1:$B$993,Insumos!$D$1:$D$993),"")</f>
        <v/>
      </c>
      <c r="H1118" s="92" t="n">
        <v>0.775837</v>
      </c>
      <c r="I1118" s="2165" t="n">
        <v>0</v>
      </c>
      <c r="J1118" s="2165" t="n">
        <v>0</v>
      </c>
      <c r="K1118" s="2165" t="n"/>
    </row>
    <row r="1119" outlineLevel="3" ht="27" customHeight="1">
      <c r="A1119" s="471" t="n">
        <v>94</v>
      </c>
      <c r="B1119" s="471" t="inlineStr">
        <is>
          <t>Insumo</t>
        </is>
      </c>
      <c r="C1119" s="1053" t="inlineStr">
        <is>
          <t>Parede Com Sistema Em Chapas De Gesso Para Drywall, Uso Interno, Montante 70mm  (CIM/70/CIM/70/CIM)</t>
        </is>
      </c>
      <c r="D1119" s="1053" t="inlineStr">
        <is>
          <t>FITA DE PAPEL REFORCADA COM LAMINA DE METAL PARA REFORCO DE CANTOS DE CHAPA DE GESSO PARA DRYWALL</t>
        </is>
      </c>
      <c r="E1119" s="11">
        <f t="array" ref="E1119">_xlfn.XLOOKUP(D1119,Insumos!B:B,Insumos!C:$C)</f>
        <v/>
      </c>
      <c r="F1119" s="2164" t="n">
        <v>1.4815</v>
      </c>
      <c r="G1119" s="92">
        <f t="array" ref="G1119">IF(B1119="insumo",_xlfn.XLOOKUP($D1119,Insumos!$B$1:$B$993,Insumos!$D$1:$D$993),"")</f>
        <v/>
      </c>
      <c r="H1119" s="92" t="n">
        <v>4.05931</v>
      </c>
      <c r="I1119" s="2165" t="n">
        <v>0</v>
      </c>
      <c r="J1119" s="2165" t="n">
        <v>0</v>
      </c>
      <c r="K1119" s="2165" t="n"/>
    </row>
    <row r="1120" outlineLevel="3" ht="27" customHeight="1">
      <c r="A1120" s="471" t="n">
        <v>11</v>
      </c>
      <c r="B1120" s="471" t="inlineStr">
        <is>
          <t>Insumo</t>
        </is>
      </c>
      <c r="C1120" s="1053" t="inlineStr">
        <is>
          <t>Parede Com Sistema Em Chapas De Gesso Para Drywall, Uso Interno, Montante 70mm  (CIM/70/CIM/70/CIM)</t>
        </is>
      </c>
      <c r="D1120" s="1053" t="inlineStr">
        <is>
          <t>BANDA ACUSTICA</t>
        </is>
      </c>
      <c r="E1120" s="11">
        <f t="array" ref="E1120">_xlfn.XLOOKUP(D1120,Insumos!B:B,Insumos!C:$C)</f>
        <v/>
      </c>
      <c r="F1120" s="2164">
        <f>0.8*2</f>
        <v/>
      </c>
      <c r="G1120" s="92">
        <f t="array" ref="G1120">IF(B1120="insumo",_xlfn.XLOOKUP($D1120,Insumos!$B$1:$B$993,Insumos!$D$1:$D$993),"")</f>
        <v/>
      </c>
      <c r="H1120" s="92" t="n">
        <v>4.8</v>
      </c>
      <c r="I1120" s="2165" t="n">
        <v>0</v>
      </c>
      <c r="J1120" s="2165" t="n">
        <v>0</v>
      </c>
      <c r="K1120" s="2165" t="n"/>
    </row>
    <row r="1121" outlineLevel="3" ht="27" customHeight="1">
      <c r="A1121" s="471" t="n">
        <v>11</v>
      </c>
      <c r="B1121" s="471" t="inlineStr">
        <is>
          <t>Insumo</t>
        </is>
      </c>
      <c r="C1121" s="1053" t="inlineStr">
        <is>
          <t>Parede Com Sistema Em Chapas De Gesso Para Drywall, Uso Interno, Montante 70mm  (CIM/70/CIM/70/CIM)</t>
        </is>
      </c>
      <c r="D1121" s="1053" t="inlineStr">
        <is>
          <t>Aplicação de zarcão nas guias inferiores</t>
        </is>
      </c>
      <c r="E1121" s="11">
        <f t="array" ref="E1121">_xlfn.XLOOKUP(D1121,Insumos!B:B,Insumos!C:$C)</f>
        <v/>
      </c>
      <c r="F1121" s="2164">
        <f>0.84*2</f>
        <v/>
      </c>
      <c r="G1121" s="92">
        <f t="array" ref="G1121">IF(B1121="insumo",_xlfn.XLOOKUP($D1121,Insumos!$B$1:$B$993,Insumos!$D$1:$D$993),"")</f>
        <v/>
      </c>
      <c r="H1121" s="92" t="n">
        <v>1.008</v>
      </c>
      <c r="I1121" s="2165" t="n">
        <v>0</v>
      </c>
      <c r="J1121" s="2165" t="n">
        <v>0</v>
      </c>
      <c r="K1121" s="2165" t="n"/>
    </row>
    <row r="1122" outlineLevel="3" ht="27" customHeight="1">
      <c r="A1122" s="471" t="n">
        <v>97</v>
      </c>
      <c r="B1122" s="471" t="inlineStr">
        <is>
          <t>Insumo</t>
        </is>
      </c>
      <c r="C1122" s="1053" t="inlineStr">
        <is>
          <t>Parede Com Sistema Em Chapas De Gesso Para Drywall, Uso Interno, Montante 70mm  (CIM/70/CIM/70/CIM)</t>
        </is>
      </c>
      <c r="D1122" s="1053" t="inlineStr">
        <is>
          <t>PARAFUSO DRY WALL, EM ACO FOSFATIZADO, CABECA TROMBETA E PONTA AGULHA (TA), COMPRIMENTO 25 MM</t>
        </is>
      </c>
      <c r="E1122" s="11">
        <f t="array" ref="E1122">_xlfn.XLOOKUP(D1122,Insumos!B:B,Insumos!C:$C)</f>
        <v/>
      </c>
      <c r="F1122" s="2164">
        <f>20.1868*2</f>
        <v/>
      </c>
      <c r="G1122" s="92">
        <f t="array" ref="G1122">IF(B1122="insumo",_xlfn.XLOOKUP($D1122,Insumos!$B$1:$B$993,Insumos!$D$1:$D$993),"")</f>
        <v/>
      </c>
      <c r="H1122" s="92" t="n">
        <v>3.633624</v>
      </c>
      <c r="I1122" s="2165" t="n">
        <v>0</v>
      </c>
      <c r="J1122" s="2165" t="n">
        <v>0</v>
      </c>
      <c r="K1122" s="2165" t="n"/>
    </row>
    <row r="1123" outlineLevel="3" ht="27" customHeight="1">
      <c r="A1123" s="471" t="n">
        <v>95</v>
      </c>
      <c r="B1123" s="471" t="inlineStr">
        <is>
          <t>Insumo</t>
        </is>
      </c>
      <c r="C1123" s="1053" t="inlineStr">
        <is>
          <t>Parede Com Sistema Em Chapas De Gesso Para Drywall, Uso Interno, Montante 70mm  (CIM/70/CIM/70/CIM)</t>
        </is>
      </c>
      <c r="D1123" s="1053" t="inlineStr">
        <is>
          <t>PARAFUSO DRY WALL, EM ACO ZINCADO, CABECA LENTILHA E PONTA BROCA (LB), LARGURA 4,2 MM, COMPRIMENTO 13 MM</t>
        </is>
      </c>
      <c r="E1123" s="11">
        <f t="array" ref="E1123">_xlfn.XLOOKUP(D1123,Insumos!B:B,Insumos!C:$C)</f>
        <v/>
      </c>
      <c r="F1123" s="2164">
        <f>0.4803*2</f>
        <v/>
      </c>
      <c r="G1123" s="92">
        <f t="array" ref="G1123">IF(B1123="insumo",_xlfn.XLOOKUP($D1123,Insumos!$B$1:$B$993,Insumos!$D$1:$D$993),"")</f>
        <v/>
      </c>
      <c r="H1123" s="92" t="n">
        <v>0.19212</v>
      </c>
      <c r="I1123" s="2165" t="n">
        <v>0</v>
      </c>
      <c r="J1123" s="2165" t="n">
        <v>0</v>
      </c>
      <c r="K1123" s="2165" t="n"/>
    </row>
    <row r="1124" outlineLevel="2" ht="27" customHeight="1">
      <c r="A1124" s="1076" t="n">
        <v>1</v>
      </c>
      <c r="B1124" s="1076" t="inlineStr">
        <is>
          <t>Serviço</t>
        </is>
      </c>
      <c r="C1124" s="1077" t="inlineStr">
        <is>
          <t>Parede Com Sistema Em Chapas De Gesso Para Drywall, Uso Interno, Montante 70mm  (HD/70/CIM/70/HU)</t>
        </is>
      </c>
      <c r="D1124" s="1077" t="inlineStr">
        <is>
          <t>Parede Com Sistema Em Chapas De Gesso Para Drywall, Uso Interno, Montante 70mm  (HD/70/CIM/70/HU)</t>
        </is>
      </c>
      <c r="E1124" s="1078" t="inlineStr">
        <is>
          <t>M2</t>
        </is>
      </c>
      <c r="F1124" s="1076" t="n"/>
      <c r="G1124" s="1069">
        <f t="array" ref="G1124">IF(B1124="insumo",_xlfn.XLOOKUP($D1124,Insumos!$B$1:$B$993,Insumos!$D$1:$D$993),"")</f>
        <v/>
      </c>
      <c r="H1124" s="1069" t="n">
        <v>232.03889825</v>
      </c>
      <c r="I1124" s="2167" t="n">
        <v>0</v>
      </c>
      <c r="J1124" s="2167" t="n">
        <v>0</v>
      </c>
      <c r="K1124" s="2167" t="n"/>
    </row>
    <row r="1125" outlineLevel="3" ht="12.75" customHeight="1">
      <c r="A1125" s="471" t="n">
        <v>11</v>
      </c>
      <c r="B1125" s="471" t="inlineStr">
        <is>
          <t>Insumo</t>
        </is>
      </c>
      <c r="C1125" s="10" t="inlineStr">
        <is>
          <t>Parede Com Sistema Em Chapas De Gesso Para Drywall, Uso Interno, Montante 70mm  (HD/70/CIM/70/HU)</t>
        </is>
      </c>
      <c r="D1125" s="10" t="inlineStr">
        <is>
          <t>PLACA CIMENTÍCIA(CT) PARA STEEL FRAME BRASILIT-ETERNIT 8MM X 1,20M X 2,40M</t>
        </is>
      </c>
      <c r="E1125" s="11">
        <f t="array" ref="E1125">_xlfn.XLOOKUP(D1125,Insumos!B:B,Insumos!C:$C)</f>
        <v/>
      </c>
      <c r="F1125" s="2164">
        <f>1.053</f>
        <v/>
      </c>
      <c r="G1125" s="92">
        <f t="array" ref="G1125">IF(B1125="insumo",_xlfn.XLOOKUP($D1125,Insumos!$B$1:$B$993,Insumos!$D$1:$D$993),"")</f>
        <v/>
      </c>
      <c r="H1125" s="92" t="n">
        <v>31.68433125</v>
      </c>
      <c r="I1125" s="2165" t="n">
        <v>0</v>
      </c>
      <c r="J1125" s="2165" t="n">
        <v>0</v>
      </c>
      <c r="K1125" s="2165" t="n"/>
    </row>
    <row r="1126" outlineLevel="3" ht="27" customHeight="1">
      <c r="A1126" s="471" t="n">
        <v>47</v>
      </c>
      <c r="B1126" s="471" t="inlineStr">
        <is>
          <t>Insumo</t>
        </is>
      </c>
      <c r="C1126" s="1053" t="inlineStr">
        <is>
          <t>Parede Com Sistema Em Chapas De Gesso Para Drywall, Uso Interno, Montante 70mm  (HD/70/CIM/70/HU)</t>
        </is>
      </c>
      <c r="D1126" s="1053" t="inlineStr">
        <is>
          <t>PLACA / CHAPA DE GESSO ACARTONADO, STANDARD (ST), COR BRANCA, E = 12,5 MM, 1200 X 2400 MM (L X C)</t>
        </is>
      </c>
      <c r="E1126" s="11">
        <f t="array" ref="E1126">_xlfn.XLOOKUP(D1126,Insumos!B:B,Insumos!C:$C)</f>
        <v/>
      </c>
      <c r="F1126" s="2164">
        <f>1.053</f>
        <v/>
      </c>
      <c r="G1126" s="92">
        <f t="array" ref="G1126">IF(B1126="insumo",_xlfn.XLOOKUP($D1126,Insumos!$B$1:$B$993,Insumos!$D$1:$D$993),"")</f>
        <v/>
      </c>
      <c r="H1126" s="92" t="n">
        <v>21.22848</v>
      </c>
      <c r="I1126" s="2165" t="n">
        <v>0</v>
      </c>
      <c r="J1126" s="2165" t="n">
        <v>0</v>
      </c>
      <c r="K1126" s="2165" t="n"/>
    </row>
    <row r="1127" outlineLevel="3" ht="27" customHeight="1">
      <c r="A1127" s="471" t="n">
        <v>49</v>
      </c>
      <c r="B1127" s="471" t="inlineStr">
        <is>
          <t>Insumo</t>
        </is>
      </c>
      <c r="C1127" s="1053" t="inlineStr">
        <is>
          <t>Parede Com Sistema Em Chapas De Gesso Para Drywall, Uso Interno, Montante 70mm  (HD/70/CIM/70/HU)</t>
        </is>
      </c>
      <c r="D1127" s="1053" t="inlineStr">
        <is>
          <t>PLACA / CHAPA DE GESSO ACARTONADO, RESISTENTE A UMIDADE (RU), COR VERDE, E = 12,5 MM, 1200 X 2400 MM (L X C)</t>
        </is>
      </c>
      <c r="E1127" s="11">
        <f t="array" ref="E1127">_xlfn.XLOOKUP(D1127,Insumos!B:B,Insumos!C:$C)</f>
        <v/>
      </c>
      <c r="F1127" s="2164">
        <f>1.053</f>
        <v/>
      </c>
      <c r="G1127" s="92">
        <f t="array" ref="G1127">IF(B1127="insumo",_xlfn.XLOOKUP($D1127,Insumos!$B$1:$B$993,Insumos!$D$1:$D$993),"")</f>
        <v/>
      </c>
      <c r="H1127" s="92" t="n">
        <v>28.5363</v>
      </c>
      <c r="I1127" s="2165" t="n">
        <v>0</v>
      </c>
      <c r="J1127" s="2165" t="n">
        <v>0</v>
      </c>
      <c r="K1127" s="2165" t="n"/>
    </row>
    <row r="1128" outlineLevel="3" ht="12.75" customHeight="1">
      <c r="A1128" s="471" t="n">
        <v>10</v>
      </c>
      <c r="B1128" s="471" t="inlineStr">
        <is>
          <t>Insumo</t>
        </is>
      </c>
      <c r="C1128" s="10" t="inlineStr">
        <is>
          <t>Parede Com Sistema Em Chapas De Gesso Para Drywall, Uso Interno, Montante 70mm  (HD/70/CIM/70/HU)</t>
        </is>
      </c>
      <c r="D1128" s="10" t="inlineStr">
        <is>
          <t>PLACA / CHAPA DE GESSO ACARTONADO HARDBOARD (HB) E = 12,5 MM, 1200 X 1800 MM (L X C)</t>
        </is>
      </c>
      <c r="E1128" s="11">
        <f t="array" ref="E1128">_xlfn.XLOOKUP(D1128,Insumos!B:B,Insumos!C:$C)</f>
        <v/>
      </c>
      <c r="F1128" s="2164">
        <f>1.053*2</f>
        <v/>
      </c>
      <c r="G1128" s="92">
        <f t="array" ref="G1128">IF(B1128="insumo",_xlfn.XLOOKUP($D1128,Insumos!$B$1:$B$993,Insumos!$D$1:$D$993),"")</f>
        <v/>
      </c>
      <c r="H1128" s="92" t="n">
        <v>72.68625</v>
      </c>
      <c r="I1128" s="2165" t="n">
        <v>0</v>
      </c>
      <c r="J1128" s="2165" t="n">
        <v>0</v>
      </c>
      <c r="K1128" s="2165" t="n"/>
    </row>
    <row r="1129" outlineLevel="3" ht="27" customHeight="1">
      <c r="A1129" s="471" t="n">
        <v>95</v>
      </c>
      <c r="B1129" s="471" t="inlineStr">
        <is>
          <t>Insumo</t>
        </is>
      </c>
      <c r="C1129" s="1053" t="inlineStr">
        <is>
          <t>Parede Com Sistema Em Chapas De Gesso Para Drywall, Uso Interno, Montante 70mm  (HD/70/CIM/70/HU)</t>
        </is>
      </c>
      <c r="D1129" s="1053" t="inlineStr">
        <is>
          <t>PINO DE ACO COM ARRUELA CONICA, DIAMETRO ARRUELA = *23* MM E COMP HASTE = *27* MM (ACAO INDIRETA)</t>
        </is>
      </c>
      <c r="E1129" s="11">
        <f t="array" ref="E1129">_xlfn.XLOOKUP(D1129,Insumos!B:B,Insumos!C:$C)</f>
        <v/>
      </c>
      <c r="F1129" s="2164">
        <f>4.95*2</f>
        <v/>
      </c>
      <c r="G1129" s="92">
        <f t="array" ref="G1129">IF(B1129="insumo",_xlfn.XLOOKUP($D1129,Insumos!$B$1:$B$993,Insumos!$D$1:$D$993),"")</f>
        <v/>
      </c>
      <c r="H1129" s="92" t="n">
        <v>4.9896</v>
      </c>
      <c r="I1129" s="2165" t="n">
        <v>0</v>
      </c>
      <c r="J1129" s="2165" t="n">
        <v>0</v>
      </c>
      <c r="K1129" s="2165" t="n"/>
    </row>
    <row r="1130" outlineLevel="3" ht="27" customHeight="1">
      <c r="A1130" s="471" t="n">
        <v>43</v>
      </c>
      <c r="B1130" s="471" t="inlineStr">
        <is>
          <t>Insumo</t>
        </is>
      </c>
      <c r="C1130" s="1053" t="inlineStr">
        <is>
          <t>Parede Com Sistema Em Chapas De Gesso Para Drywall, Uso Interno, Montante 70mm  (HD/70/CIM/70/HU)</t>
        </is>
      </c>
      <c r="D1130" s="1053" t="inlineStr">
        <is>
          <t>PERFIL GUIA, FORMATO U, EM ACO ZINCADO, PARA ESTRUTURA PAREDE DRYWALL, E = 0,5 MM, 70 X 3000 MM (L X C)</t>
        </is>
      </c>
      <c r="E1130" s="11">
        <f t="array" ref="E1130">_xlfn.XLOOKUP(D1130,Insumos!B:B,Insumos!C:$C)</f>
        <v/>
      </c>
      <c r="F1130" s="2164">
        <f>1.5248*2</f>
        <v/>
      </c>
      <c r="G1130" s="92">
        <f t="array" ref="G1130">IF(B1130="insumo",_xlfn.XLOOKUP($D1130,Insumos!$B$1:$B$993,Insumos!$D$1:$D$993),"")</f>
        <v/>
      </c>
      <c r="H1130" s="92" t="n">
        <v>22.750016</v>
      </c>
      <c r="I1130" s="2165" t="n">
        <v>0</v>
      </c>
      <c r="J1130" s="2165" t="n">
        <v>0</v>
      </c>
      <c r="K1130" s="2165" t="n"/>
    </row>
    <row r="1131" outlineLevel="3" ht="27" customHeight="1">
      <c r="A1131" s="471" t="n">
        <v>43</v>
      </c>
      <c r="B1131" s="471" t="inlineStr">
        <is>
          <t>Insumo</t>
        </is>
      </c>
      <c r="C1131" s="1053" t="inlineStr">
        <is>
          <t>Parede Com Sistema Em Chapas De Gesso Para Drywall, Uso Interno, Montante 70mm  (HD/70/CIM/70/HU)</t>
        </is>
      </c>
      <c r="D1131" s="1053" t="inlineStr">
        <is>
          <t>PERFIL MONTANTE, FORMATO C, EM ACO ZINCADO, PARA ESTRUTURA PAREDE DRYWALL, E = 0,5 MM, 70 X 3000 MM (L X C)</t>
        </is>
      </c>
      <c r="E1131" s="11">
        <f t="array" ref="E1131">_xlfn.XLOOKUP(D1131,Insumos!B:B,Insumos!C:$C)</f>
        <v/>
      </c>
      <c r="F1131" s="2164">
        <f>2.0006*2</f>
        <v/>
      </c>
      <c r="G1131" s="92">
        <f t="array" ref="G1131">IF(B1131="insumo",_xlfn.XLOOKUP($D1131,Insumos!$B$1:$B$993,Insumos!$D$1:$D$993),"")</f>
        <v/>
      </c>
      <c r="H1131" s="92" t="n">
        <v>31.929576</v>
      </c>
      <c r="I1131" s="2165" t="n">
        <v>0</v>
      </c>
      <c r="J1131" s="2165" t="n">
        <v>0</v>
      </c>
      <c r="K1131" s="2165" t="n"/>
    </row>
    <row r="1132" outlineLevel="3" ht="27" customHeight="1">
      <c r="A1132" s="471" t="n">
        <v>95</v>
      </c>
      <c r="B1132" s="471" t="inlineStr">
        <is>
          <t>Insumo</t>
        </is>
      </c>
      <c r="C1132" s="1053" t="inlineStr">
        <is>
          <t>Parede Com Sistema Em Chapas De Gesso Para Drywall, Uso Interno, Montante 70mm  (HD/70/CIM/70/HU)</t>
        </is>
      </c>
      <c r="D1132" s="1053" t="inlineStr">
        <is>
          <t>MASSA DE REJUNTE EM PO PARA DRYWALL, A BASE DE GESSO, SECAGEM RAPIDA, PARA TRATAMENTO DE JUNTAS DE CHAPA DE GESSO (NECESSITA ADICAO DE AGUA)</t>
        </is>
      </c>
      <c r="E1132" s="11">
        <f t="array" ref="E1132">_xlfn.XLOOKUP(D1132,Insumos!B:B,Insumos!C:$C)</f>
        <v/>
      </c>
      <c r="F1132" s="2164" t="n">
        <v>1.0978</v>
      </c>
      <c r="G1132" s="92">
        <f t="array" ref="G1132">IF(B1132="insumo",_xlfn.XLOOKUP($D1132,Insumos!$B$1:$B$993,Insumos!$D$1:$D$993),"")</f>
        <v/>
      </c>
      <c r="H1132" s="92" t="n">
        <v>3.765454</v>
      </c>
      <c r="I1132" s="2165" t="n">
        <v>0</v>
      </c>
      <c r="J1132" s="2165" t="n">
        <v>0</v>
      </c>
      <c r="K1132" s="2165" t="n"/>
    </row>
    <row r="1133" outlineLevel="3" ht="27" customHeight="1">
      <c r="A1133" s="471" t="n">
        <v>94</v>
      </c>
      <c r="B1133" s="471" t="inlineStr">
        <is>
          <t>Insumo</t>
        </is>
      </c>
      <c r="C1133" s="1053" t="inlineStr">
        <is>
          <t>Parede Com Sistema Em Chapas De Gesso Para Drywall, Uso Interno, Montante 70mm  (HD/70/CIM/70/HU)</t>
        </is>
      </c>
      <c r="D1133" s="1053" t="inlineStr">
        <is>
          <t>FITA DE PAPEL MICROPERFURADO, 50 X 150 MM, PARA TRATAMENTO DE JUNTAS DE CHAPA DE GESSO PARA DRYWALL</t>
        </is>
      </c>
      <c r="E1133" s="11">
        <f t="array" ref="E1133">_xlfn.XLOOKUP(D1133,Insumos!B:B,Insumos!C:$C)</f>
        <v/>
      </c>
      <c r="F1133" s="2164" t="n">
        <v>2.5027</v>
      </c>
      <c r="G1133" s="92">
        <f t="array" ref="G1133">IF(B1133="insumo",_xlfn.XLOOKUP($D1133,Insumos!$B$1:$B$993,Insumos!$D$1:$D$993),"")</f>
        <v/>
      </c>
      <c r="H1133" s="92" t="n">
        <v>0.775837</v>
      </c>
      <c r="I1133" s="2165" t="n">
        <v>0</v>
      </c>
      <c r="J1133" s="2165" t="n">
        <v>0</v>
      </c>
      <c r="K1133" s="2165" t="n"/>
    </row>
    <row r="1134" outlineLevel="3" ht="27" customHeight="1">
      <c r="A1134" s="471" t="n">
        <v>94</v>
      </c>
      <c r="B1134" s="471" t="inlineStr">
        <is>
          <t>Insumo</t>
        </is>
      </c>
      <c r="C1134" s="1053" t="inlineStr">
        <is>
          <t>Parede Com Sistema Em Chapas De Gesso Para Drywall, Uso Interno, Montante 70mm  (HD/70/CIM/70/HU)</t>
        </is>
      </c>
      <c r="D1134" s="1053" t="inlineStr">
        <is>
          <t>FITA DE PAPEL REFORCADA COM LAMINA DE METAL PARA REFORCO DE CANTOS DE CHAPA DE GESSO PARA DRYWALL</t>
        </is>
      </c>
      <c r="E1134" s="11">
        <f t="array" ref="E1134">_xlfn.XLOOKUP(D1134,Insumos!B:B,Insumos!C:$C)</f>
        <v/>
      </c>
      <c r="F1134" s="2164" t="n">
        <v>1.4815</v>
      </c>
      <c r="G1134" s="92">
        <f t="array" ref="G1134">IF(B1134="insumo",_xlfn.XLOOKUP($D1134,Insumos!$B$1:$B$993,Insumos!$D$1:$D$993),"")</f>
        <v/>
      </c>
      <c r="H1134" s="92" t="n">
        <v>4.05931</v>
      </c>
      <c r="I1134" s="2165" t="n">
        <v>0</v>
      </c>
      <c r="J1134" s="2165" t="n">
        <v>0</v>
      </c>
      <c r="K1134" s="2165" t="n"/>
    </row>
    <row r="1135" outlineLevel="3" ht="27" customHeight="1">
      <c r="A1135" s="471" t="n">
        <v>11</v>
      </c>
      <c r="B1135" s="471" t="inlineStr">
        <is>
          <t>Insumo</t>
        </is>
      </c>
      <c r="C1135" s="1053" t="inlineStr">
        <is>
          <t>Parede Com Sistema Em Chapas De Gesso Para Drywall, Uso Interno, Montante 70mm  (HD/70/CIM/70/HU)</t>
        </is>
      </c>
      <c r="D1135" s="1053" t="inlineStr">
        <is>
          <t>BANDA ACUSTICA</t>
        </is>
      </c>
      <c r="E1135" s="11">
        <f t="array" ref="E1135">_xlfn.XLOOKUP(D1135,Insumos!B:B,Insumos!C:$C)</f>
        <v/>
      </c>
      <c r="F1135" s="2164">
        <f>0.8*2</f>
        <v/>
      </c>
      <c r="G1135" s="92">
        <f t="array" ref="G1135">IF(B1135="insumo",_xlfn.XLOOKUP($D1135,Insumos!$B$1:$B$993,Insumos!$D$1:$D$993),"")</f>
        <v/>
      </c>
      <c r="H1135" s="92" t="n">
        <v>4.8</v>
      </c>
      <c r="I1135" s="2165" t="n">
        <v>0</v>
      </c>
      <c r="J1135" s="2165" t="n">
        <v>0</v>
      </c>
      <c r="K1135" s="2165" t="n"/>
    </row>
    <row r="1136" outlineLevel="3" ht="27" customHeight="1">
      <c r="A1136" s="471" t="n">
        <v>11</v>
      </c>
      <c r="B1136" s="471" t="inlineStr">
        <is>
          <t>Insumo</t>
        </is>
      </c>
      <c r="C1136" s="1053" t="inlineStr">
        <is>
          <t>Parede Com Sistema Em Chapas De Gesso Para Drywall, Uso Interno, Montante 70mm  (HD/70/CIM/70/HU)</t>
        </is>
      </c>
      <c r="D1136" s="1053" t="inlineStr">
        <is>
          <t>Aplicação de zarcão nas guias inferiores</t>
        </is>
      </c>
      <c r="E1136" s="11">
        <f t="array" ref="E1136">_xlfn.XLOOKUP(D1136,Insumos!B:B,Insumos!C:$C)</f>
        <v/>
      </c>
      <c r="F1136" s="2164">
        <f>0.84*2</f>
        <v/>
      </c>
      <c r="G1136" s="92">
        <f t="array" ref="G1136">IF(B1136="insumo",_xlfn.XLOOKUP($D1136,Insumos!$B$1:$B$993,Insumos!$D$1:$D$993),"")</f>
        <v/>
      </c>
      <c r="H1136" s="92" t="n">
        <v>1.008</v>
      </c>
      <c r="I1136" s="2165" t="n">
        <v>0</v>
      </c>
      <c r="J1136" s="2165" t="n">
        <v>0</v>
      </c>
      <c r="K1136" s="2165" t="n"/>
    </row>
    <row r="1137" outlineLevel="3" ht="27" customHeight="1">
      <c r="A1137" s="471" t="n">
        <v>97</v>
      </c>
      <c r="B1137" s="471" t="inlineStr">
        <is>
          <t>Insumo</t>
        </is>
      </c>
      <c r="C1137" s="1053" t="inlineStr">
        <is>
          <t>Parede Com Sistema Em Chapas De Gesso Para Drywall, Uso Interno, Montante 70mm  (HD/70/CIM/70/HU)</t>
        </is>
      </c>
      <c r="D1137" s="1053" t="inlineStr">
        <is>
          <t>PARAFUSO DRY WALL, EM ACO FOSFATIZADO, CABECA TROMBETA E PONTA AGULHA (TA), COMPRIMENTO 25 MM</t>
        </is>
      </c>
      <c r="E1137" s="11">
        <f t="array" ref="E1137">_xlfn.XLOOKUP(D1137,Insumos!B:B,Insumos!C:$C)</f>
        <v/>
      </c>
      <c r="F1137" s="2164">
        <f>20.1868*2</f>
        <v/>
      </c>
      <c r="G1137" s="92">
        <f t="array" ref="G1137">IF(B1137="insumo",_xlfn.XLOOKUP($D1137,Insumos!$B$1:$B$993,Insumos!$D$1:$D$993),"")</f>
        <v/>
      </c>
      <c r="H1137" s="92" t="n">
        <v>3.633624</v>
      </c>
      <c r="I1137" s="2165" t="n">
        <v>0</v>
      </c>
      <c r="J1137" s="2165" t="n">
        <v>0</v>
      </c>
      <c r="K1137" s="2165" t="n"/>
    </row>
    <row r="1138" outlineLevel="3" ht="27" customHeight="1">
      <c r="A1138" s="471" t="n">
        <v>95</v>
      </c>
      <c r="B1138" s="471" t="inlineStr">
        <is>
          <t>Insumo</t>
        </is>
      </c>
      <c r="C1138" s="1053" t="inlineStr">
        <is>
          <t>Parede Com Sistema Em Chapas De Gesso Para Drywall, Uso Interno, Montante 70mm  (HD/70/CIM/70/HU)</t>
        </is>
      </c>
      <c r="D1138" s="1053" t="inlineStr">
        <is>
          <t>PARAFUSO DRY WALL, EM ACO ZINCADO, CABECA LENTILHA E PONTA BROCA (LB), LARGURA 4,2 MM, COMPRIMENTO 13 MM</t>
        </is>
      </c>
      <c r="E1138" s="11">
        <f t="array" ref="E1138">_xlfn.XLOOKUP(D1138,Insumos!B:B,Insumos!C:$C)</f>
        <v/>
      </c>
      <c r="F1138" s="2164">
        <f>0.4803*2</f>
        <v/>
      </c>
      <c r="G1138" s="92">
        <f t="array" ref="G1138">IF(B1138="insumo",_xlfn.XLOOKUP($D1138,Insumos!$B$1:$B$993,Insumos!$D$1:$D$993),"")</f>
        <v/>
      </c>
      <c r="H1138" s="92" t="n">
        <v>0.19212</v>
      </c>
      <c r="I1138" s="2165" t="n">
        <v>0</v>
      </c>
      <c r="J1138" s="2165" t="n">
        <v>0</v>
      </c>
      <c r="K1138" s="2165" t="n"/>
    </row>
    <row r="1139" outlineLevel="2" ht="27" customHeight="1">
      <c r="A1139" s="1076" t="n">
        <v>1</v>
      </c>
      <c r="B1139" s="1076" t="inlineStr">
        <is>
          <t>Serviço</t>
        </is>
      </c>
      <c r="C1139" s="1077" t="inlineStr">
        <is>
          <t>Parede Com Sistema Em Chapas De Gesso Para Drywall, Uso Interno, Montante 70mm  (70/CIM/70/HU)</t>
        </is>
      </c>
      <c r="D1139" s="1077" t="inlineStr">
        <is>
          <t>Parede Com Sistema Em Chapas De Gesso Para Drywall, Uso Interno, Montante 70mm  (70/CIM/70/HU)</t>
        </is>
      </c>
      <c r="E1139" s="1078" t="inlineStr">
        <is>
          <t>M2</t>
        </is>
      </c>
      <c r="F1139" s="1076" t="n"/>
      <c r="G1139" s="1069">
        <f t="array" ref="G1139">IF(B1139="insumo",_xlfn.XLOOKUP($D1139,Insumos!$B$1:$B$993,Insumos!$D$1:$D$993),"")</f>
        <v/>
      </c>
      <c r="H1139" s="1069" t="n">
        <v>138.482509</v>
      </c>
      <c r="I1139" s="2167" t="n">
        <v>0</v>
      </c>
      <c r="J1139" s="2167" t="n">
        <v>0</v>
      </c>
      <c r="K1139" s="2167" t="n"/>
    </row>
    <row r="1140" outlineLevel="3" ht="12.75" customHeight="1">
      <c r="A1140" s="471" t="n">
        <v>11</v>
      </c>
      <c r="B1140" s="471" t="inlineStr">
        <is>
          <t>Insumo</t>
        </is>
      </c>
      <c r="C1140" s="10" t="inlineStr">
        <is>
          <t>Parede Com Sistema Em Chapas De Gesso Para Drywall, Uso Interno, Montante 70mm  (70/CIM/70/HU)</t>
        </is>
      </c>
      <c r="D1140" s="10" t="inlineStr">
        <is>
          <t>PLACA CIMENTÍCIA(CT) PARA STEEL FRAME BRASILIT-ETERNIT 8MM X 1,20M X 2,40M</t>
        </is>
      </c>
      <c r="E1140" s="11">
        <f t="array" ref="E1140">_xlfn.XLOOKUP(D1140,Insumos!B:B,Insumos!C:$C)</f>
        <v/>
      </c>
      <c r="F1140" s="2164">
        <f>1.053*1</f>
        <v/>
      </c>
      <c r="G1140" s="92">
        <f t="array" ref="G1140">IF(B1140="insumo",_xlfn.XLOOKUP($D1140,Insumos!$B$1:$B$993,Insumos!$D$1:$D$993),"")</f>
        <v/>
      </c>
      <c r="H1140" s="92" t="n">
        <v>31.68433125</v>
      </c>
      <c r="I1140" s="2165" t="n">
        <v>0</v>
      </c>
      <c r="J1140" s="2165" t="n">
        <v>0</v>
      </c>
      <c r="K1140" s="2165" t="n"/>
    </row>
    <row r="1141" outlineLevel="3" ht="27" customHeight="1">
      <c r="A1141" s="471" t="n">
        <v>49</v>
      </c>
      <c r="B1141" s="471" t="inlineStr">
        <is>
          <t>Insumo</t>
        </is>
      </c>
      <c r="C1141" s="1053" t="inlineStr">
        <is>
          <t>Parede Com Sistema Em Chapas De Gesso Para Drywall, Uso Interno, Montante 70mm  (70/CIM/70/HU)</t>
        </is>
      </c>
      <c r="D1141" s="1053" t="inlineStr">
        <is>
          <t>PLACA / CHAPA DE GESSO ACARTONADO, RESISTENTE A UMIDADE (RU), COR VERDE, E = 12,5 MM, 1200 X 2400 MM (L X C)</t>
        </is>
      </c>
      <c r="E1141" s="11">
        <f t="array" ref="E1141">_xlfn.XLOOKUP(D1141,Insumos!B:B,Insumos!C:$C)</f>
        <v/>
      </c>
      <c r="F1141" s="2164">
        <f>1.053</f>
        <v/>
      </c>
      <c r="G1141" s="92">
        <f t="array" ref="G1141">IF(B1141="insumo",_xlfn.XLOOKUP($D1141,Insumos!$B$1:$B$993,Insumos!$D$1:$D$993),"")</f>
        <v/>
      </c>
      <c r="H1141" s="92" t="n">
        <v>28.5363</v>
      </c>
      <c r="I1141" s="2165" t="n">
        <v>0</v>
      </c>
      <c r="J1141" s="2165" t="n">
        <v>0</v>
      </c>
      <c r="K1141" s="2165" t="n"/>
    </row>
    <row r="1142" outlineLevel="3" ht="12.75" customHeight="1">
      <c r="A1142" s="471" t="n">
        <v>10</v>
      </c>
      <c r="B1142" s="471" t="inlineStr">
        <is>
          <t>Insumo</t>
        </is>
      </c>
      <c r="C1142" s="10" t="inlineStr">
        <is>
          <t>Parede Com Sistema Em Chapas De Gesso Para Drywall, Uso Interno, Montante 70mm  (70/CIM/70/HU)</t>
        </is>
      </c>
      <c r="D1142" s="10" t="inlineStr">
        <is>
          <t>PLACA / CHAPA DE GESSO ACARTONADO HARDBOARD (HB) E = 12,5 MM, 1200 X 1800 MM (L X C)</t>
        </is>
      </c>
      <c r="E1142" s="11">
        <f t="array" ref="E1142">_xlfn.XLOOKUP(D1142,Insumos!B:B,Insumos!C:$C)</f>
        <v/>
      </c>
      <c r="F1142" s="2164">
        <f>1.053</f>
        <v/>
      </c>
      <c r="G1142" s="92">
        <f t="array" ref="G1142">IF(B1142="insumo",_xlfn.XLOOKUP($D1142,Insumos!$B$1:$B$993,Insumos!$D$1:$D$993),"")</f>
        <v/>
      </c>
      <c r="H1142" s="92" t="n">
        <v>36.343125</v>
      </c>
      <c r="I1142" s="2165" t="n">
        <v>0</v>
      </c>
      <c r="J1142" s="2165" t="n">
        <v>0</v>
      </c>
      <c r="K1142" s="2165" t="n"/>
    </row>
    <row r="1143" outlineLevel="3" ht="27" customHeight="1">
      <c r="A1143" s="471" t="n">
        <v>95</v>
      </c>
      <c r="B1143" s="471" t="inlineStr">
        <is>
          <t>Insumo</t>
        </is>
      </c>
      <c r="C1143" s="1053" t="inlineStr">
        <is>
          <t>Parede Com Sistema Em Chapas De Gesso Para Drywall, Uso Interno, Montante 70mm  (70/CIM/70/HU)</t>
        </is>
      </c>
      <c r="D1143" s="1053" t="inlineStr">
        <is>
          <t>PINO DE ACO COM ARRUELA CONICA, DIAMETRO ARRUELA = *23* MM E COMP HASTE = *27* MM (ACAO INDIRETA)</t>
        </is>
      </c>
      <c r="E1143" s="11">
        <f t="array" ref="E1143">_xlfn.XLOOKUP(D1143,Insumos!B:B,Insumos!C:$C)</f>
        <v/>
      </c>
      <c r="F1143" s="2164">
        <f>4.95*2</f>
        <v/>
      </c>
      <c r="G1143" s="92">
        <f t="array" ref="G1143">IF(B1143="insumo",_xlfn.XLOOKUP($D1143,Insumos!$B$1:$B$993,Insumos!$D$1:$D$993),"")</f>
        <v/>
      </c>
      <c r="H1143" s="92" t="n">
        <v>4.9896</v>
      </c>
      <c r="I1143" s="2165" t="n">
        <v>0</v>
      </c>
      <c r="J1143" s="2165" t="n">
        <v>0</v>
      </c>
      <c r="K1143" s="2165" t="n"/>
    </row>
    <row r="1144" outlineLevel="3" ht="27" customHeight="1">
      <c r="A1144" s="471" t="n">
        <v>43</v>
      </c>
      <c r="B1144" s="471" t="inlineStr">
        <is>
          <t>Insumo</t>
        </is>
      </c>
      <c r="C1144" s="1053" t="inlineStr">
        <is>
          <t>Parede Com Sistema Em Chapas De Gesso Para Drywall, Uso Interno, Montante 70mm  (70/CIM/70/HU)</t>
        </is>
      </c>
      <c r="D1144" s="1053" t="inlineStr">
        <is>
          <t>PERFIL GUIA, FORMATO U, EM ACO ZINCADO, PARA ESTRUTURA PAREDE DRYWALL, E = 0,5 MM, 70 X 3000 MM (L X C)</t>
        </is>
      </c>
      <c r="E1144" s="11">
        <f t="array" ref="E1144">_xlfn.XLOOKUP(D1144,Insumos!B:B,Insumos!C:$C)</f>
        <v/>
      </c>
      <c r="F1144" s="2164">
        <f>1.5248*2</f>
        <v/>
      </c>
      <c r="G1144" s="92">
        <f t="array" ref="G1144">IF(B1144="insumo",_xlfn.XLOOKUP($D1144,Insumos!$B$1:$B$993,Insumos!$D$1:$D$993),"")</f>
        <v/>
      </c>
      <c r="H1144" s="92" t="n">
        <v>22.750016</v>
      </c>
      <c r="I1144" s="2165" t="n">
        <v>0</v>
      </c>
      <c r="J1144" s="2165" t="n">
        <v>0</v>
      </c>
      <c r="K1144" s="2165" t="n"/>
    </row>
    <row r="1145" outlineLevel="3" ht="27" customHeight="1">
      <c r="A1145" s="471" t="n">
        <v>43</v>
      </c>
      <c r="B1145" s="471" t="inlineStr">
        <is>
          <t>Insumo</t>
        </is>
      </c>
      <c r="C1145" s="1053" t="inlineStr">
        <is>
          <t>Parede Com Sistema Em Chapas De Gesso Para Drywall, Uso Interno, Montante 70mm  (70/CIM/70/HU)</t>
        </is>
      </c>
      <c r="D1145" s="1053" t="inlineStr">
        <is>
          <t>PERFIL MONTANTE, FORMATO C, EM ACO ZINCADO, PARA ESTRUTURA PAREDE DRYWALL, E = 0,5 MM, 70 X 3000 MM (L X C)</t>
        </is>
      </c>
      <c r="E1145" s="11">
        <f t="array" ref="E1145">_xlfn.XLOOKUP(D1145,Insumos!B:B,Insumos!C:$C)</f>
        <v/>
      </c>
      <c r="F1145" s="2164">
        <f>2.0006*2</f>
        <v/>
      </c>
      <c r="G1145" s="92">
        <f t="array" ref="G1145">IF(B1145="insumo",_xlfn.XLOOKUP($D1145,Insumos!$B$1:$B$993,Insumos!$D$1:$D$993),"")</f>
        <v/>
      </c>
      <c r="H1145" s="92" t="n">
        <v>31.929576</v>
      </c>
      <c r="I1145" s="2165" t="n">
        <v>0</v>
      </c>
      <c r="J1145" s="2165" t="n">
        <v>0</v>
      </c>
      <c r="K1145" s="2165" t="n"/>
    </row>
    <row r="1146" outlineLevel="3" ht="27" customHeight="1">
      <c r="A1146" s="471" t="n">
        <v>95</v>
      </c>
      <c r="B1146" s="471" t="inlineStr">
        <is>
          <t>Insumo</t>
        </is>
      </c>
      <c r="C1146" s="1053" t="inlineStr">
        <is>
          <t>Parede Com Sistema Em Chapas De Gesso Para Drywall, Uso Interno, Montante 70mm  (70/CIM/70/HU)</t>
        </is>
      </c>
      <c r="D1146" s="1053" t="inlineStr">
        <is>
          <t>MASSA DE REJUNTE EM PO PARA DRYWALL, A BASE DE GESSO, SECAGEM RAPIDA, PARA TRATAMENTO DE JUNTAS DE CHAPA DE GESSO (NECESSITA ADICAO DE AGUA)</t>
        </is>
      </c>
      <c r="E1146" s="11">
        <f t="array" ref="E1146">_xlfn.XLOOKUP(D1146,Insumos!B:B,Insumos!C:$C)</f>
        <v/>
      </c>
      <c r="F1146" s="2164" t="n">
        <v>0.5489000000000001</v>
      </c>
      <c r="G1146" s="92">
        <f t="array" ref="G1146">IF(B1146="insumo",_xlfn.XLOOKUP($D1146,Insumos!$B$1:$B$993,Insumos!$D$1:$D$993),"")</f>
        <v/>
      </c>
      <c r="H1146" s="92" t="n">
        <v>1.882727</v>
      </c>
      <c r="I1146" s="2165" t="n">
        <v>0</v>
      </c>
      <c r="J1146" s="2165" t="n">
        <v>0</v>
      </c>
      <c r="K1146" s="2165" t="n"/>
    </row>
    <row r="1147" outlineLevel="3" ht="27" customHeight="1">
      <c r="A1147" s="471" t="n">
        <v>94</v>
      </c>
      <c r="B1147" s="471" t="inlineStr">
        <is>
          <t>Insumo</t>
        </is>
      </c>
      <c r="C1147" s="1053" t="inlineStr">
        <is>
          <t>Parede Com Sistema Em Chapas De Gesso Para Drywall, Uso Interno, Montante 70mm  (70/CIM/70/HU)</t>
        </is>
      </c>
      <c r="D1147" s="1053" t="inlineStr">
        <is>
          <t>FITA DE PAPEL MICROPERFURADO, 50 X 150 MM, PARA TRATAMENTO DE JUNTAS DE CHAPA DE GESSO PARA DRYWALL</t>
        </is>
      </c>
      <c r="E1147" s="11">
        <f t="array" ref="E1147">_xlfn.XLOOKUP(D1147,Insumos!B:B,Insumos!C:$C)</f>
        <v/>
      </c>
      <c r="F1147" s="2164" t="n">
        <v>1.2513</v>
      </c>
      <c r="G1147" s="92">
        <f t="array" ref="G1147">IF(B1147="insumo",_xlfn.XLOOKUP($D1147,Insumos!$B$1:$B$993,Insumos!$D$1:$D$993),"")</f>
        <v/>
      </c>
      <c r="H1147" s="92" t="n">
        <v>0.387903</v>
      </c>
      <c r="I1147" s="2165" t="n">
        <v>0</v>
      </c>
      <c r="J1147" s="2165" t="n">
        <v>0</v>
      </c>
      <c r="K1147" s="2165" t="n"/>
    </row>
    <row r="1148" outlineLevel="3" ht="27" customHeight="1">
      <c r="A1148" s="471" t="n">
        <v>94</v>
      </c>
      <c r="B1148" s="471" t="inlineStr">
        <is>
          <t>Insumo</t>
        </is>
      </c>
      <c r="C1148" s="1053" t="inlineStr">
        <is>
          <t>Parede Com Sistema Em Chapas De Gesso Para Drywall, Uso Interno, Montante 70mm  (70/CIM/70/HU)</t>
        </is>
      </c>
      <c r="D1148" s="1053" t="inlineStr">
        <is>
          <t>FITA DE PAPEL REFORCADA COM LAMINA DE METAL PARA REFORCO DE CANTOS DE CHAPA DE GESSO PARA DRYWALL</t>
        </is>
      </c>
      <c r="E1148" s="11">
        <f t="array" ref="E1148">_xlfn.XLOOKUP(D1148,Insumos!B:B,Insumos!C:$C)</f>
        <v/>
      </c>
      <c r="F1148" s="2164" t="n">
        <v>0.7407</v>
      </c>
      <c r="G1148" s="92">
        <f t="array" ref="G1148">IF(B1148="insumo",_xlfn.XLOOKUP($D1148,Insumos!$B$1:$B$993,Insumos!$D$1:$D$993),"")</f>
        <v/>
      </c>
      <c r="H1148" s="92" t="n">
        <v>2.029518</v>
      </c>
      <c r="I1148" s="2165" t="n">
        <v>0</v>
      </c>
      <c r="J1148" s="2165" t="n">
        <v>0</v>
      </c>
      <c r="K1148" s="2165" t="n"/>
    </row>
    <row r="1149" outlineLevel="3" ht="27" customHeight="1">
      <c r="A1149" s="471" t="n">
        <v>11</v>
      </c>
      <c r="B1149" s="471" t="inlineStr">
        <is>
          <t>Insumo</t>
        </is>
      </c>
      <c r="C1149" s="1053" t="inlineStr">
        <is>
          <t>Parede Com Sistema Em Chapas De Gesso Para Drywall, Uso Interno, Montante 70mm  (70/CIM/70/HU)</t>
        </is>
      </c>
      <c r="D1149" s="1053" t="inlineStr">
        <is>
          <t>BANDA ACUSTICA</t>
        </is>
      </c>
      <c r="E1149" s="11">
        <f t="array" ref="E1149">_xlfn.XLOOKUP(D1149,Insumos!B:B,Insumos!C:$C)</f>
        <v/>
      </c>
      <c r="F1149" s="2164">
        <f>0.8*2</f>
        <v/>
      </c>
      <c r="G1149" s="92">
        <f t="array" ref="G1149">IF(B1149="insumo",_xlfn.XLOOKUP($D1149,Insumos!$B$1:$B$993,Insumos!$D$1:$D$993),"")</f>
        <v/>
      </c>
      <c r="H1149" s="92" t="n">
        <v>4.8</v>
      </c>
      <c r="I1149" s="2165" t="n">
        <v>0</v>
      </c>
      <c r="J1149" s="2165" t="n">
        <v>0</v>
      </c>
      <c r="K1149" s="2165" t="n"/>
    </row>
    <row r="1150" outlineLevel="3" ht="27" customHeight="1">
      <c r="A1150" s="471" t="n">
        <v>11</v>
      </c>
      <c r="B1150" s="471" t="inlineStr">
        <is>
          <t>Insumo</t>
        </is>
      </c>
      <c r="C1150" s="1053" t="inlineStr">
        <is>
          <t>Parede Com Sistema Em Chapas De Gesso Para Drywall, Uso Interno, Montante 70mm  (70/CIM/70/HU)</t>
        </is>
      </c>
      <c r="D1150" s="1053" t="inlineStr">
        <is>
          <t>Aplicação de zarcão nas guias inferiores</t>
        </is>
      </c>
      <c r="E1150" s="11">
        <f t="array" ref="E1150">_xlfn.XLOOKUP(D1150,Insumos!B:B,Insumos!C:$C)</f>
        <v/>
      </c>
      <c r="F1150" s="2164">
        <f>0.84*2</f>
        <v/>
      </c>
      <c r="G1150" s="92">
        <f t="array" ref="G1150">IF(B1150="insumo",_xlfn.XLOOKUP($D1150,Insumos!$B$1:$B$993,Insumos!$D$1:$D$993),"")</f>
        <v/>
      </c>
      <c r="H1150" s="92" t="n">
        <v>1.008</v>
      </c>
      <c r="I1150" s="2165" t="n">
        <v>0</v>
      </c>
      <c r="J1150" s="2165" t="n">
        <v>0</v>
      </c>
      <c r="K1150" s="2165" t="n"/>
    </row>
    <row r="1151" outlineLevel="3" ht="27" customHeight="1">
      <c r="A1151" s="471" t="n">
        <v>97</v>
      </c>
      <c r="B1151" s="471" t="inlineStr">
        <is>
          <t>Insumo</t>
        </is>
      </c>
      <c r="C1151" s="1053" t="inlineStr">
        <is>
          <t>Parede Com Sistema Em Chapas De Gesso Para Drywall, Uso Interno, Montante 70mm  (70/CIM/70/HU)</t>
        </is>
      </c>
      <c r="D1151" s="1053" t="inlineStr">
        <is>
          <t>PARAFUSO DRY WALL, EM ACO FOSFATIZADO, CABECA TROMBETA E PONTA AGULHA (TA), COMPRIMENTO 25 MM</t>
        </is>
      </c>
      <c r="E1151" s="11">
        <f t="array" ref="E1151">_xlfn.XLOOKUP(D1151,Insumos!B:B,Insumos!C:$C)</f>
        <v/>
      </c>
      <c r="F1151" s="2164">
        <f>20.1868*2</f>
        <v/>
      </c>
      <c r="G1151" s="92">
        <f t="array" ref="G1151">IF(B1151="insumo",_xlfn.XLOOKUP($D1151,Insumos!$B$1:$B$993,Insumos!$D$1:$D$993),"")</f>
        <v/>
      </c>
      <c r="H1151" s="92" t="n">
        <v>3.633624</v>
      </c>
      <c r="I1151" s="2165" t="n">
        <v>0</v>
      </c>
      <c r="J1151" s="2165" t="n">
        <v>0</v>
      </c>
      <c r="K1151" s="2165" t="n"/>
    </row>
    <row r="1152" outlineLevel="3" ht="27" customHeight="1">
      <c r="A1152" s="471" t="n">
        <v>95</v>
      </c>
      <c r="B1152" s="471" t="inlineStr">
        <is>
          <t>Insumo</t>
        </is>
      </c>
      <c r="C1152" s="1053" t="inlineStr">
        <is>
          <t>Parede Com Sistema Em Chapas De Gesso Para Drywall, Uso Interno, Montante 70mm  (70/CIM/70/HU)</t>
        </is>
      </c>
      <c r="D1152" s="1053" t="inlineStr">
        <is>
          <t>PARAFUSO DRY WALL, EM ACO ZINCADO, CABECA LENTILHA E PONTA BROCA (LB), LARGURA 4,2 MM, COMPRIMENTO 13 MM</t>
        </is>
      </c>
      <c r="E1152" s="11">
        <f t="array" ref="E1152">_xlfn.XLOOKUP(D1152,Insumos!B:B,Insumos!C:$C)</f>
        <v/>
      </c>
      <c r="F1152" s="2164">
        <f>0.4803*2</f>
        <v/>
      </c>
      <c r="G1152" s="92">
        <f t="array" ref="G1152">IF(B1152="insumo",_xlfn.XLOOKUP($D1152,Insumos!$B$1:$B$993,Insumos!$D$1:$D$993),"")</f>
        <v/>
      </c>
      <c r="H1152" s="92" t="n">
        <v>0.19212</v>
      </c>
      <c r="I1152" s="2165" t="n">
        <v>0</v>
      </c>
      <c r="J1152" s="2165" t="n">
        <v>0</v>
      </c>
      <c r="K1152" s="2165" t="n"/>
    </row>
    <row r="1153" outlineLevel="2" ht="27" customHeight="1">
      <c r="A1153" s="1076" t="n">
        <v>1</v>
      </c>
      <c r="B1153" s="1076" t="inlineStr">
        <is>
          <t>Serviço</t>
        </is>
      </c>
      <c r="C1153" s="1077" t="inlineStr">
        <is>
          <t>Parede Com Sistema Em Chapas De Gesso Para Drywall, Uso Interno, Montante 70mm  (70/HD+HU+CIM)</t>
        </is>
      </c>
      <c r="D1153" s="1077" t="inlineStr">
        <is>
          <t>Parede Com Sistema Em Chapas De Gesso Para Drywall, Uso Interno, Montante 70mm  (70/HD+HU+CIM)</t>
        </is>
      </c>
      <c r="E1153" s="1078" t="inlineStr">
        <is>
          <t>M2</t>
        </is>
      </c>
      <c r="F1153" s="1076" t="n"/>
      <c r="G1153" s="1069">
        <f t="array" ref="G1153">IF(B1153="insumo",_xlfn.XLOOKUP($D1153,Insumos!$B$1:$B$993,Insumos!$D$1:$D$993),"")</f>
        <v/>
      </c>
      <c r="H1153" s="1069" t="n">
        <v>159.23865225</v>
      </c>
      <c r="I1153" s="2167" t="n">
        <v>0</v>
      </c>
      <c r="J1153" s="2167" t="n">
        <v>0</v>
      </c>
      <c r="K1153" s="2167" t="n"/>
    </row>
    <row r="1154" outlineLevel="3" ht="12.75" customHeight="1">
      <c r="A1154" s="471" t="n">
        <v>11</v>
      </c>
      <c r="B1154" s="471" t="inlineStr">
        <is>
          <t>Insumo</t>
        </is>
      </c>
      <c r="C1154" s="10" t="inlineStr">
        <is>
          <t>Parede Com Sistema Em Chapas De Gesso Para Drywall, Uso Interno, Montante 70mm  (70/HD+HU+CIM)</t>
        </is>
      </c>
      <c r="D1154" s="10" t="inlineStr">
        <is>
          <t>PLACA CIMENTÍCIA(CT) PARA STEEL FRAME BRASILIT-ETERNIT 8MM X 1,20M X 2,40M</t>
        </is>
      </c>
      <c r="E1154" s="11">
        <f t="array" ref="E1154">_xlfn.XLOOKUP(D1154,Insumos!B:B,Insumos!C:$C)</f>
        <v/>
      </c>
      <c r="F1154" s="2164">
        <f>1.053*1</f>
        <v/>
      </c>
      <c r="G1154" s="92">
        <f t="array" ref="G1154">IF(B1154="insumo",_xlfn.XLOOKUP($D1154,Insumos!$B$1:$B$993,Insumos!$D$1:$D$993),"")</f>
        <v/>
      </c>
      <c r="H1154" s="92" t="n">
        <v>31.68433125</v>
      </c>
      <c r="I1154" s="2165" t="n">
        <v>0</v>
      </c>
      <c r="J1154" s="2165" t="n">
        <v>0</v>
      </c>
      <c r="K1154" s="2165" t="n"/>
    </row>
    <row r="1155" outlineLevel="3" ht="27" customHeight="1">
      <c r="A1155" s="471" t="n">
        <v>47</v>
      </c>
      <c r="B1155" s="471" t="inlineStr">
        <is>
          <t>Insumo</t>
        </is>
      </c>
      <c r="C1155" s="1053" t="inlineStr">
        <is>
          <t>Parede Com Sistema Em Chapas De Gesso Para Drywall, Uso Interno, Montante 70mm  (70/HD+HU+CIM)</t>
        </is>
      </c>
      <c r="D1155" s="1053" t="inlineStr">
        <is>
          <t>PLACA / CHAPA DE GESSO ACARTONADO, STANDARD (ST), COR BRANCA, E = 12,5 MM, 1200 X 2400 MM (L X C)</t>
        </is>
      </c>
      <c r="E1155" s="11">
        <f t="array" ref="E1155">_xlfn.XLOOKUP(D1155,Insumos!B:B,Insumos!C:$C)</f>
        <v/>
      </c>
      <c r="F1155" s="2164">
        <f>1.053</f>
        <v/>
      </c>
      <c r="G1155" s="92">
        <f t="array" ref="G1155">IF(B1155="insumo",_xlfn.XLOOKUP($D1155,Insumos!$B$1:$B$993,Insumos!$D$1:$D$993),"")</f>
        <v/>
      </c>
      <c r="H1155" s="92" t="n">
        <v>21.22848</v>
      </c>
      <c r="I1155" s="2165" t="n">
        <v>0</v>
      </c>
      <c r="J1155" s="2165" t="n">
        <v>0</v>
      </c>
      <c r="K1155" s="2165" t="n"/>
    </row>
    <row r="1156" outlineLevel="3" ht="27" customHeight="1">
      <c r="A1156" s="471" t="n">
        <v>49</v>
      </c>
      <c r="B1156" s="471" t="inlineStr">
        <is>
          <t>Insumo</t>
        </is>
      </c>
      <c r="C1156" s="1053" t="inlineStr">
        <is>
          <t>Parede Com Sistema Em Chapas De Gesso Para Drywall, Uso Interno, Montante 70mm  (70/HD+HU+CIM)</t>
        </is>
      </c>
      <c r="D1156" s="1053" t="inlineStr">
        <is>
          <t>PLACA / CHAPA DE GESSO ACARTONADO, RESISTENTE A UMIDADE (RU), COR VERDE, E = 12,5 MM, 1200 X 2400 MM (L X C)</t>
        </is>
      </c>
      <c r="E1156" s="11">
        <f t="array" ref="E1156">_xlfn.XLOOKUP(D1156,Insumos!B:B,Insumos!C:$C)</f>
        <v/>
      </c>
      <c r="F1156" s="2164">
        <f>1.053</f>
        <v/>
      </c>
      <c r="G1156" s="92">
        <f t="array" ref="G1156">IF(B1156="insumo",_xlfn.XLOOKUP($D1156,Insumos!$B$1:$B$993,Insumos!$D$1:$D$993),"")</f>
        <v/>
      </c>
      <c r="H1156" s="92" t="n">
        <v>28.5363</v>
      </c>
      <c r="I1156" s="2165" t="n">
        <v>0</v>
      </c>
      <c r="J1156" s="2165" t="n">
        <v>0</v>
      </c>
      <c r="K1156" s="2165" t="n"/>
    </row>
    <row r="1157" outlineLevel="3" ht="12.75" customHeight="1">
      <c r="A1157" s="471" t="n">
        <v>10</v>
      </c>
      <c r="B1157" s="471" t="inlineStr">
        <is>
          <t>Insumo</t>
        </is>
      </c>
      <c r="C1157" s="10" t="inlineStr">
        <is>
          <t>Parede Com Sistema Em Chapas De Gesso Para Drywall, Uso Interno, Montante 70mm  (70/HD+HU+CIM)</t>
        </is>
      </c>
      <c r="D1157" s="10" t="inlineStr">
        <is>
          <t>PLACA / CHAPA DE GESSO ACARTONADO HARDBOARD (HB) E = 12,5 MM, 1200 X 1800 MM (L X C)</t>
        </is>
      </c>
      <c r="E1157" s="11">
        <f t="array" ref="E1157">_xlfn.XLOOKUP(D1157,Insumos!B:B,Insumos!C:$C)</f>
        <v/>
      </c>
      <c r="F1157" s="2164">
        <f>1.053</f>
        <v/>
      </c>
      <c r="G1157" s="92">
        <f t="array" ref="G1157">IF(B1157="insumo",_xlfn.XLOOKUP($D1157,Insumos!$B$1:$B$993,Insumos!$D$1:$D$993),"")</f>
        <v/>
      </c>
      <c r="H1157" s="92" t="n">
        <v>36.343125</v>
      </c>
      <c r="I1157" s="2165" t="n">
        <v>0</v>
      </c>
      <c r="J1157" s="2165" t="n">
        <v>0</v>
      </c>
      <c r="K1157" s="2165" t="n"/>
    </row>
    <row r="1158" outlineLevel="3" ht="27" customHeight="1">
      <c r="A1158" s="471" t="n">
        <v>95</v>
      </c>
      <c r="B1158" s="471" t="inlineStr">
        <is>
          <t>Insumo</t>
        </is>
      </c>
      <c r="C1158" s="1053" t="inlineStr">
        <is>
          <t>Parede Com Sistema Em Chapas De Gesso Para Drywall, Uso Interno, Montante 70mm  (70/HD+HU+CIM)</t>
        </is>
      </c>
      <c r="D1158" s="1053" t="inlineStr">
        <is>
          <t>PINO DE ACO COM ARRUELA CONICA, DIAMETRO ARRUELA = *23* MM E COMP HASTE = *27* MM (ACAO INDIRETA)</t>
        </is>
      </c>
      <c r="E1158" s="11">
        <f t="array" ref="E1158">_xlfn.XLOOKUP(D1158,Insumos!B:B,Insumos!C:$C)</f>
        <v/>
      </c>
      <c r="F1158" s="2164">
        <f>4.95*2</f>
        <v/>
      </c>
      <c r="G1158" s="92">
        <f t="array" ref="G1158">IF(B1158="insumo",_xlfn.XLOOKUP($D1158,Insumos!$B$1:$B$993,Insumos!$D$1:$D$993),"")</f>
        <v/>
      </c>
      <c r="H1158" s="92" t="n">
        <v>4.9896</v>
      </c>
      <c r="I1158" s="2165" t="n">
        <v>0</v>
      </c>
      <c r="J1158" s="2165" t="n">
        <v>0</v>
      </c>
      <c r="K1158" s="2165" t="n"/>
    </row>
    <row r="1159" outlineLevel="3" ht="27" customHeight="1">
      <c r="A1159" s="471" t="n">
        <v>43</v>
      </c>
      <c r="B1159" s="471" t="inlineStr">
        <is>
          <t>Insumo</t>
        </is>
      </c>
      <c r="C1159" s="1053" t="inlineStr">
        <is>
          <t>Parede Com Sistema Em Chapas De Gesso Para Drywall, Uso Interno, Montante 70mm  (70/HD+HU+CIM)</t>
        </is>
      </c>
      <c r="D1159" s="1053" t="inlineStr">
        <is>
          <t>PERFIL GUIA, FORMATO U, EM ACO ZINCADO, PARA ESTRUTURA PAREDE DRYWALL, E = 0,5 MM, 70 X 3000 MM (L X C)</t>
        </is>
      </c>
      <c r="E1159" s="11">
        <f t="array" ref="E1159">_xlfn.XLOOKUP(D1159,Insumos!B:B,Insumos!C:$C)</f>
        <v/>
      </c>
      <c r="F1159" s="2164">
        <f>1.5248</f>
        <v/>
      </c>
      <c r="G1159" s="92">
        <f t="array" ref="G1159">IF(B1159="insumo",_xlfn.XLOOKUP($D1159,Insumos!$B$1:$B$993,Insumos!$D$1:$D$993),"")</f>
        <v/>
      </c>
      <c r="H1159" s="92" t="n">
        <v>11.375008</v>
      </c>
      <c r="I1159" s="2165" t="n">
        <v>0</v>
      </c>
      <c r="J1159" s="2165" t="n">
        <v>0</v>
      </c>
      <c r="K1159" s="2165" t="n"/>
    </row>
    <row r="1160" outlineLevel="3" ht="27" customHeight="1">
      <c r="A1160" s="471" t="n">
        <v>43</v>
      </c>
      <c r="B1160" s="471" t="inlineStr">
        <is>
          <t>Insumo</t>
        </is>
      </c>
      <c r="C1160" s="1053" t="inlineStr">
        <is>
          <t>Parede Com Sistema Em Chapas De Gesso Para Drywall, Uso Interno, Montante 70mm  (70/HD+HU+CIM)</t>
        </is>
      </c>
      <c r="D1160" s="1053" t="inlineStr">
        <is>
          <t>PERFIL MONTANTE, FORMATO C, EM ACO ZINCADO, PARA ESTRUTURA PAREDE DRYWALL, E = 0,5 MM, 70 X 3000 MM (L X C)</t>
        </is>
      </c>
      <c r="E1160" s="11">
        <f t="array" ref="E1160">_xlfn.XLOOKUP(D1160,Insumos!B:B,Insumos!C:$C)</f>
        <v/>
      </c>
      <c r="F1160" s="2164">
        <f>2.0006</f>
        <v/>
      </c>
      <c r="G1160" s="92">
        <f t="array" ref="G1160">IF(B1160="insumo",_xlfn.XLOOKUP($D1160,Insumos!$B$1:$B$993,Insumos!$D$1:$D$993),"")</f>
        <v/>
      </c>
      <c r="H1160" s="92" t="n">
        <v>15.964788</v>
      </c>
      <c r="I1160" s="2165" t="n">
        <v>0</v>
      </c>
      <c r="J1160" s="2165" t="n">
        <v>0</v>
      </c>
      <c r="K1160" s="2165" t="n"/>
    </row>
    <row r="1161" outlineLevel="3" ht="27" customHeight="1">
      <c r="A1161" s="471" t="n">
        <v>95</v>
      </c>
      <c r="B1161" s="471" t="inlineStr">
        <is>
          <t>Insumo</t>
        </is>
      </c>
      <c r="C1161" s="1053" t="inlineStr">
        <is>
          <t>Parede Com Sistema Em Chapas De Gesso Para Drywall, Uso Interno, Montante 70mm  (70/HD+HU+CIM)</t>
        </is>
      </c>
      <c r="D1161" s="1053" t="inlineStr">
        <is>
          <t>MASSA DE REJUNTE EM PO PARA DRYWALL, A BASE DE GESSO, SECAGEM RAPIDA, PARA TRATAMENTO DE JUNTAS DE CHAPA DE GESSO (NECESSITA ADICAO DE AGUA)</t>
        </is>
      </c>
      <c r="E1161" s="11">
        <f t="array" ref="E1161">_xlfn.XLOOKUP(D1161,Insumos!B:B,Insumos!C:$C)</f>
        <v/>
      </c>
      <c r="F1161" s="2164" t="n">
        <v>0.5489000000000001</v>
      </c>
      <c r="G1161" s="92">
        <f t="array" ref="G1161">IF(B1161="insumo",_xlfn.XLOOKUP($D1161,Insumos!$B$1:$B$993,Insumos!$D$1:$D$993),"")</f>
        <v/>
      </c>
      <c r="H1161" s="92" t="n">
        <v>1.882727</v>
      </c>
      <c r="I1161" s="2165" t="n">
        <v>0</v>
      </c>
      <c r="J1161" s="2165" t="n">
        <v>0</v>
      </c>
      <c r="K1161" s="2165" t="n"/>
    </row>
    <row r="1162" outlineLevel="3" ht="27" customHeight="1">
      <c r="A1162" s="471" t="n">
        <v>94</v>
      </c>
      <c r="B1162" s="471" t="inlineStr">
        <is>
          <t>Insumo</t>
        </is>
      </c>
      <c r="C1162" s="1053" t="inlineStr">
        <is>
          <t>Parede Com Sistema Em Chapas De Gesso Para Drywall, Uso Interno, Montante 70mm  (70/HD+HU+CIM)</t>
        </is>
      </c>
      <c r="D1162" s="1053" t="inlineStr">
        <is>
          <t>FITA DE PAPEL MICROPERFURADO, 50 X 150 MM, PARA TRATAMENTO DE JUNTAS DE CHAPA DE GESSO PARA DRYWALL</t>
        </is>
      </c>
      <c r="E1162" s="11">
        <f t="array" ref="E1162">_xlfn.XLOOKUP(D1162,Insumos!B:B,Insumos!C:$C)</f>
        <v/>
      </c>
      <c r="F1162" s="2164" t="n">
        <v>1.2513</v>
      </c>
      <c r="G1162" s="92">
        <f t="array" ref="G1162">IF(B1162="insumo",_xlfn.XLOOKUP($D1162,Insumos!$B$1:$B$993,Insumos!$D$1:$D$993),"")</f>
        <v/>
      </c>
      <c r="H1162" s="92" t="n">
        <v>0.387903</v>
      </c>
      <c r="I1162" s="2165" t="n">
        <v>0</v>
      </c>
      <c r="J1162" s="2165" t="n">
        <v>0</v>
      </c>
      <c r="K1162" s="2165" t="n"/>
    </row>
    <row r="1163" outlineLevel="3" ht="27" customHeight="1">
      <c r="A1163" s="471" t="n">
        <v>94</v>
      </c>
      <c r="B1163" s="471" t="inlineStr">
        <is>
          <t>Insumo</t>
        </is>
      </c>
      <c r="C1163" s="1053" t="inlineStr">
        <is>
          <t>Parede Com Sistema Em Chapas De Gesso Para Drywall, Uso Interno, Montante 70mm  (70/HD+HU+CIM)</t>
        </is>
      </c>
      <c r="D1163" s="1053" t="inlineStr">
        <is>
          <t>FITA DE PAPEL REFORCADA COM LAMINA DE METAL PARA REFORCO DE CANTOS DE CHAPA DE GESSO PARA DRYWALL</t>
        </is>
      </c>
      <c r="E1163" s="11">
        <f t="array" ref="E1163">_xlfn.XLOOKUP(D1163,Insumos!B:B,Insumos!C:$C)</f>
        <v/>
      </c>
      <c r="F1163" s="2164" t="n">
        <v>0.7407</v>
      </c>
      <c r="G1163" s="92">
        <f t="array" ref="G1163">IF(B1163="insumo",_xlfn.XLOOKUP($D1163,Insumos!$B$1:$B$993,Insumos!$D$1:$D$993),"")</f>
        <v/>
      </c>
      <c r="H1163" s="92" t="n">
        <v>2.029518</v>
      </c>
      <c r="I1163" s="2165" t="n">
        <v>0</v>
      </c>
      <c r="J1163" s="2165" t="n">
        <v>0</v>
      </c>
      <c r="K1163" s="2165" t="n"/>
    </row>
    <row r="1164" outlineLevel="3" ht="27" customHeight="1">
      <c r="A1164" s="471" t="n">
        <v>11</v>
      </c>
      <c r="B1164" s="471" t="inlineStr">
        <is>
          <t>Insumo</t>
        </is>
      </c>
      <c r="C1164" s="1053" t="inlineStr">
        <is>
          <t>Parede Com Sistema Em Chapas De Gesso Para Drywall, Uso Interno, Montante 70mm  (70/HD+HU+CIM)</t>
        </is>
      </c>
      <c r="D1164" s="1053" t="inlineStr">
        <is>
          <t>BANDA ACUSTICA</t>
        </is>
      </c>
      <c r="E1164" s="11">
        <f t="array" ref="E1164">_xlfn.XLOOKUP(D1164,Insumos!B:B,Insumos!C:$C)</f>
        <v/>
      </c>
      <c r="F1164" s="2164">
        <f>0.8</f>
        <v/>
      </c>
      <c r="G1164" s="92">
        <f t="array" ref="G1164">IF(B1164="insumo",_xlfn.XLOOKUP($D1164,Insumos!$B$1:$B$993,Insumos!$D$1:$D$993),"")</f>
        <v/>
      </c>
      <c r="H1164" s="92" t="n">
        <v>2.4</v>
      </c>
      <c r="I1164" s="2165" t="n">
        <v>0</v>
      </c>
      <c r="J1164" s="2165" t="n">
        <v>0</v>
      </c>
      <c r="K1164" s="2165" t="n"/>
    </row>
    <row r="1165" outlineLevel="3" ht="27" customHeight="1">
      <c r="A1165" s="471" t="n">
        <v>11</v>
      </c>
      <c r="B1165" s="471" t="inlineStr">
        <is>
          <t>Insumo</t>
        </is>
      </c>
      <c r="C1165" s="1053" t="inlineStr">
        <is>
          <t>Parede Com Sistema Em Chapas De Gesso Para Drywall, Uso Interno, Montante 70mm  (70/HD+HU+CIM)</t>
        </is>
      </c>
      <c r="D1165" s="1053" t="inlineStr">
        <is>
          <t>Aplicação de zarcão nas guias inferiores</t>
        </is>
      </c>
      <c r="E1165" s="11">
        <f t="array" ref="E1165">_xlfn.XLOOKUP(D1165,Insumos!B:B,Insumos!C:$C)</f>
        <v/>
      </c>
      <c r="F1165" s="2164">
        <f>0.84</f>
        <v/>
      </c>
      <c r="G1165" s="92">
        <f t="array" ref="G1165">IF(B1165="insumo",_xlfn.XLOOKUP($D1165,Insumos!$B$1:$B$993,Insumos!$D$1:$D$993),"")</f>
        <v/>
      </c>
      <c r="H1165" s="92" t="n">
        <v>0.504</v>
      </c>
      <c r="I1165" s="2165" t="n">
        <v>0</v>
      </c>
      <c r="J1165" s="2165" t="n">
        <v>0</v>
      </c>
      <c r="K1165" s="2165" t="n"/>
    </row>
    <row r="1166" outlineLevel="3" ht="27" customHeight="1">
      <c r="A1166" s="471" t="n">
        <v>97</v>
      </c>
      <c r="B1166" s="471" t="inlineStr">
        <is>
          <t>Insumo</t>
        </is>
      </c>
      <c r="C1166" s="1053" t="inlineStr">
        <is>
          <t>Parede Com Sistema Em Chapas De Gesso Para Drywall, Uso Interno, Montante 70mm  (70/HD+HU+CIM)</t>
        </is>
      </c>
      <c r="D1166" s="1053" t="inlineStr">
        <is>
          <t>PARAFUSO DRY WALL, EM ACO FOSFATIZADO, CABECA TROMBETA E PONTA AGULHA (TA), COMPRIMENTO 25 MM</t>
        </is>
      </c>
      <c r="E1166" s="11">
        <f t="array" ref="E1166">_xlfn.XLOOKUP(D1166,Insumos!B:B,Insumos!C:$C)</f>
        <v/>
      </c>
      <c r="F1166" s="2164">
        <f>20.1868</f>
        <v/>
      </c>
      <c r="G1166" s="92">
        <f t="array" ref="G1166">IF(B1166="insumo",_xlfn.XLOOKUP($D1166,Insumos!$B$1:$B$993,Insumos!$D$1:$D$993),"")</f>
        <v/>
      </c>
      <c r="H1166" s="92" t="n">
        <v>1.816812</v>
      </c>
      <c r="I1166" s="2165" t="n">
        <v>0</v>
      </c>
      <c r="J1166" s="2165" t="n">
        <v>0</v>
      </c>
      <c r="K1166" s="2165" t="n"/>
    </row>
    <row r="1167" outlineLevel="3" ht="27" customHeight="1">
      <c r="A1167" s="471" t="n">
        <v>95</v>
      </c>
      <c r="B1167" s="471" t="inlineStr">
        <is>
          <t>Insumo</t>
        </is>
      </c>
      <c r="C1167" s="1053" t="inlineStr">
        <is>
          <t>Parede Com Sistema Em Chapas De Gesso Para Drywall, Uso Interno, Montante 70mm  (70/HD+HU+CIM)</t>
        </is>
      </c>
      <c r="D1167" s="1053" t="inlineStr">
        <is>
          <t>PARAFUSO DRY WALL, EM ACO ZINCADO, CABECA LENTILHA E PONTA BROCA (LB), LARGURA 4,2 MM, COMPRIMENTO 13 MM</t>
        </is>
      </c>
      <c r="E1167" s="11">
        <f t="array" ref="E1167">_xlfn.XLOOKUP(D1167,Insumos!B:B,Insumos!C:$C)</f>
        <v/>
      </c>
      <c r="F1167" s="2164">
        <f>0.4803</f>
        <v/>
      </c>
      <c r="G1167" s="92">
        <f t="array" ref="G1167">IF(B1167="insumo",_xlfn.XLOOKUP($D1167,Insumos!$B$1:$B$993,Insumos!$D$1:$D$993),"")</f>
        <v/>
      </c>
      <c r="H1167" s="92" t="n">
        <v>0.09606000000000001</v>
      </c>
      <c r="I1167" s="2165" t="n">
        <v>0</v>
      </c>
      <c r="J1167" s="2165" t="n">
        <v>0</v>
      </c>
      <c r="K1167" s="2165" t="n"/>
    </row>
    <row r="1168" outlineLevel="1" ht="15.75" customHeight="1">
      <c r="A1168" s="1090" t="n">
        <v>1</v>
      </c>
      <c r="B1168" s="1090" t="inlineStr">
        <is>
          <t>Subetapa</t>
        </is>
      </c>
      <c r="C1168" s="1090" t="inlineStr">
        <is>
          <t>Parede Com Sistema Em Chapas De Gesso Para Drywall, Uso Interno, Montante 70mm  (70/HD+HU+CIM)</t>
        </is>
      </c>
      <c r="D1168" s="1090" t="inlineStr">
        <is>
          <t>DRYWALL</t>
        </is>
      </c>
      <c r="E1168" s="1091" t="n"/>
      <c r="F1168" s="2160" t="n"/>
      <c r="G1168" s="1091" t="n"/>
      <c r="H1168" s="1091" t="n">
        <v>0</v>
      </c>
      <c r="I1168" s="2160" t="n">
        <v>0</v>
      </c>
      <c r="J1168" s="2160" t="n">
        <v>0</v>
      </c>
      <c r="K1168" s="2160" t="n"/>
    </row>
    <row r="1169" outlineLevel="2" ht="15.75" customHeight="1">
      <c r="A1169" s="1067" t="n">
        <v>1</v>
      </c>
      <c r="B1169" s="1067" t="inlineStr">
        <is>
          <t>Serviço</t>
        </is>
      </c>
      <c r="C1169" s="1067" t="inlineStr">
        <is>
          <t>Estrutura e fechamento em drywall Parede Drywall montande 48</t>
        </is>
      </c>
      <c r="D1169" s="1067" t="inlineStr">
        <is>
          <t>Estrutura e fechamento em drywall Parede Drywall montande 48</t>
        </is>
      </c>
      <c r="E1169" s="1068" t="inlineStr">
        <is>
          <t>M2</t>
        </is>
      </c>
      <c r="F1169" s="1067" t="n"/>
      <c r="G1169" s="1069">
        <f t="array" ref="G1169">IF(B1169="insumo",_xlfn.XLOOKUP($D1169,Insumos!$B$1:$B$996,Insumos!$D$1:$D$996),"")</f>
        <v/>
      </c>
      <c r="H1169" s="1069" t="n">
        <v>377.836390081516</v>
      </c>
      <c r="I1169" s="2161" t="n">
        <v>0</v>
      </c>
      <c r="J1169" s="2161" t="n">
        <v>0</v>
      </c>
      <c r="K1169" s="2161" t="n"/>
    </row>
    <row r="1170" outlineLevel="3" ht="15.75" customHeight="1">
      <c r="A1170" s="10" t="n">
        <v>2</v>
      </c>
      <c r="B1170" s="10" t="inlineStr">
        <is>
          <t>Insumo</t>
        </is>
      </c>
      <c r="C1170" s="10" t="inlineStr">
        <is>
          <t>Estrutura e fechamento em drywall Parede Drywall montande 48</t>
        </is>
      </c>
      <c r="D1170" s="10" t="inlineStr">
        <is>
          <t xml:space="preserve">Estrutura e fechamento em drywall Parede Drywall </t>
        </is>
      </c>
      <c r="E1170" s="11">
        <f t="array" ref="E1170">_xlfn.XLOOKUP(D1170,Insumos!B:B,Insumos!C:$C)</f>
        <v/>
      </c>
      <c r="F1170" s="14" t="n">
        <v>1</v>
      </c>
      <c r="G1170" s="92">
        <f t="array" ref="G1170">IF(B1170="insumo",_xlfn.XLOOKUP($D1170,Insumos!$B$1:$B$996,Insumos!$D$1:$D$996),"")</f>
        <v/>
      </c>
      <c r="H1170" s="92" t="n">
        <v>377.836390081516</v>
      </c>
      <c r="I1170" s="2162" t="n">
        <v>0</v>
      </c>
      <c r="J1170" s="2162" t="n">
        <v>0</v>
      </c>
      <c r="K1170" s="2162" t="n"/>
    </row>
    <row r="1171" outlineLevel="2" ht="15.75" customHeight="1">
      <c r="A1171" s="1067" t="n">
        <v>1</v>
      </c>
      <c r="B1171" s="1067" t="inlineStr">
        <is>
          <t>Serviço</t>
        </is>
      </c>
      <c r="C1171" s="1067" t="inlineStr">
        <is>
          <t>Estrutura e fechamento em drywall Parede Drywall montande 90</t>
        </is>
      </c>
      <c r="D1171" s="1067" t="inlineStr">
        <is>
          <t>Estrutura e fechamento em drywall Parede Drywall montande 90</t>
        </is>
      </c>
      <c r="E1171" s="1068" t="inlineStr">
        <is>
          <t>M2</t>
        </is>
      </c>
      <c r="F1171" s="1067" t="n"/>
      <c r="G1171" s="1069">
        <f t="array" ref="G1171">IF(B1171="insumo",_xlfn.XLOOKUP($D1171,Insumos!$B$1:$B$996,Insumos!$D$1:$D$996),"")</f>
        <v/>
      </c>
      <c r="H1171" s="1069" t="n">
        <v>377.836390081516</v>
      </c>
      <c r="I1171" s="2161" t="n">
        <v>0</v>
      </c>
      <c r="J1171" s="2161" t="n">
        <v>0</v>
      </c>
      <c r="K1171" s="2161" t="n"/>
    </row>
    <row r="1172" outlineLevel="3" ht="15.75" customHeight="1">
      <c r="A1172" s="10" t="n">
        <v>2</v>
      </c>
      <c r="B1172" s="10" t="inlineStr">
        <is>
          <t>Insumo</t>
        </is>
      </c>
      <c r="C1172" s="10" t="inlineStr">
        <is>
          <t>Estrutura e fechamento em drywall Parede Drywall montande 90</t>
        </is>
      </c>
      <c r="D1172" s="10" t="inlineStr">
        <is>
          <t xml:space="preserve">Estrutura e fechamento em drywall Parede Drywall </t>
        </is>
      </c>
      <c r="E1172" s="11">
        <f t="array" ref="E1172">_xlfn.XLOOKUP(D1172,Insumos!B:B,Insumos!C:$C)</f>
        <v/>
      </c>
      <c r="F1172" s="14" t="n">
        <v>1</v>
      </c>
      <c r="G1172" s="92">
        <f t="array" ref="G1172">IF(B1172="insumo",_xlfn.XLOOKUP($D1172,Insumos!$B$1:$B$996,Insumos!$D$1:$D$996),"")</f>
        <v/>
      </c>
      <c r="H1172" s="92" t="n">
        <v>377.836390081516</v>
      </c>
      <c r="I1172" s="2162" t="n">
        <v>0</v>
      </c>
      <c r="J1172" s="2162" t="n">
        <v>0</v>
      </c>
      <c r="K1172" s="2162" t="n"/>
    </row>
    <row r="1173" outlineLevel="2" ht="15.75" customHeight="1">
      <c r="A1173" s="1067" t="n">
        <v>1</v>
      </c>
      <c r="B1173" s="1067" t="inlineStr">
        <is>
          <t>Serviço</t>
        </is>
      </c>
      <c r="C1173" s="1067" t="inlineStr">
        <is>
          <t>Reforços Para Paredes em Drywall</t>
        </is>
      </c>
      <c r="D1173" s="1067" t="inlineStr">
        <is>
          <t>Reforços Para Paredes em Drywall</t>
        </is>
      </c>
      <c r="E1173" s="1068" t="inlineStr">
        <is>
          <t>M2</t>
        </is>
      </c>
      <c r="F1173" s="1067" t="n"/>
      <c r="G1173" s="1069">
        <f t="array" ref="G1173">IF(B1173="insumo",_xlfn.XLOOKUP($D1173,Insumos!$B$1:$B$996,Insumos!$D$1:$D$996),"")</f>
        <v/>
      </c>
      <c r="H1173" s="1069" t="n">
        <v>58.9887349237087</v>
      </c>
      <c r="I1173" s="2161" t="n">
        <v>0</v>
      </c>
      <c r="J1173" s="2161" t="n">
        <v>0</v>
      </c>
      <c r="K1173" s="2161" t="n"/>
    </row>
    <row r="1174" outlineLevel="3" ht="15.75" customHeight="1">
      <c r="A1174" s="10" t="n">
        <v>1</v>
      </c>
      <c r="B1174" s="10" t="inlineStr">
        <is>
          <t>Insumo</t>
        </is>
      </c>
      <c r="C1174" s="10" t="inlineStr">
        <is>
          <t>Reforços Para Paredes em Drywall</t>
        </is>
      </c>
      <c r="D1174" s="10" t="inlineStr">
        <is>
          <t>Reforços Para Paredes em Drywall</t>
        </is>
      </c>
      <c r="E1174" s="11">
        <f t="array" ref="E1174">_xlfn.XLOOKUP(D1174,Insumos!B:B,Insumos!C:$C)</f>
        <v/>
      </c>
      <c r="F1174" s="14" t="n">
        <v>1</v>
      </c>
      <c r="G1174" s="92">
        <f t="array" ref="G1174">IF(B1174="insumo",_xlfn.XLOOKUP($D1174,Insumos!$B$1:$B$996,Insumos!$D$1:$D$996),"")</f>
        <v/>
      </c>
      <c r="H1174" s="92" t="n">
        <v>58.9887349237087</v>
      </c>
      <c r="I1174" s="2162" t="n">
        <v>0</v>
      </c>
      <c r="J1174" s="2162" t="n">
        <v>0</v>
      </c>
      <c r="K1174" s="2162" t="n"/>
    </row>
    <row r="1175" outlineLevel="2" ht="12.75" customHeight="1">
      <c r="A1175" s="1071" t="n">
        <v>2</v>
      </c>
      <c r="B1175" s="1071" t="inlineStr">
        <is>
          <t>Serviço</t>
        </is>
      </c>
      <c r="C1175" s="1071" t="inlineStr">
        <is>
          <t>Parede Com Sistema Em Chapas De Gesso Para Drywall, Uso Interno, Montante 48mm, Com Uma Face Simples Standart (ST/48)</t>
        </is>
      </c>
      <c r="D1175" s="1071" t="inlineStr">
        <is>
          <t>Parede Com Sistema Em Chapas De Gesso Para Drywall, Uso Interno, Montante 48mm, Com Uma Face Simples Standart (ST/48)</t>
        </is>
      </c>
      <c r="E1175" s="1072" t="inlineStr">
        <is>
          <t>M2</t>
        </is>
      </c>
      <c r="F1175" s="1071" t="n"/>
      <c r="G1175" s="1073">
        <f t="array" ref="G1175">IF(B1175="insumo",_xlfn.XLOOKUP($D1175,Insumos!$B$1:$B$996,Insumos!$D$1:$D$996),"")</f>
        <v/>
      </c>
      <c r="H1175" s="1073" t="n">
        <v>357.322422</v>
      </c>
      <c r="I1175" s="2163" t="n">
        <v>0</v>
      </c>
      <c r="J1175" s="2163" t="n">
        <v>0</v>
      </c>
      <c r="K1175" s="2163" t="n"/>
    </row>
    <row r="1176" outlineLevel="3" ht="12.75" customHeight="1">
      <c r="A1176" s="82" t="n">
        <v>86</v>
      </c>
      <c r="B1176" s="82" t="inlineStr">
        <is>
          <t>Insumo</t>
        </is>
      </c>
      <c r="C1176" s="82" t="inlineStr">
        <is>
          <t>Parede Com Sistema Em Chapas De Gesso Para Drywall, Uso Interno, Montante 48mm, Com Uma Face Simples Standart (ST/48)</t>
        </is>
      </c>
      <c r="D1176" s="82" t="inlineStr">
        <is>
          <t>SERVICO - CONFECCAO SHAFT GESSO</t>
        </is>
      </c>
      <c r="E1176" s="11">
        <f t="array" ref="E1176">_xlfn.XLOOKUP(D1176,Insumos!B:B,Insumos!C:$C)</f>
        <v/>
      </c>
      <c r="F1176" s="2164" t="n">
        <v>1</v>
      </c>
      <c r="G1176" s="92">
        <f t="array" ref="G1176">IF(B1176="insumo",_xlfn.XLOOKUP($D1176,Insumos!$B$1:$B$996,Insumos!$D$1:$D$996),"")</f>
        <v/>
      </c>
      <c r="H1176" s="92" t="n">
        <v>70</v>
      </c>
      <c r="I1176" s="2165" t="n">
        <v>0</v>
      </c>
      <c r="J1176" s="2165" t="n">
        <v>0</v>
      </c>
      <c r="K1176" s="2165" t="n"/>
    </row>
    <row r="1177" outlineLevel="3" ht="12.75" customHeight="1">
      <c r="A1177" s="82" t="n">
        <v>47</v>
      </c>
      <c r="B1177" s="82" t="inlineStr">
        <is>
          <t>Insumo</t>
        </is>
      </c>
      <c r="C1177" s="82" t="inlineStr">
        <is>
          <t>Parede Com Sistema Em Chapas De Gesso Para Drywall, Uso Interno, Montante 48mm, Com Uma Face Simples Standart (ST/48)</t>
        </is>
      </c>
      <c r="D1177" s="82" t="inlineStr">
        <is>
          <t>PLACA / CHAPA DE GESSO ACARTONADO, STANDARD (ST), COR BRANCA, E = 12,5 MM, 1200 X 2400 MM (L X C)</t>
        </is>
      </c>
      <c r="E1177" s="11">
        <f t="array" ref="E1177">_xlfn.XLOOKUP(D1177,Insumos!B:B,Insumos!C:$C)</f>
        <v/>
      </c>
      <c r="F1177" s="2164" t="n">
        <v>1.053</v>
      </c>
      <c r="G1177" s="92">
        <f t="array" ref="G1177">IF(B1177="insumo",_xlfn.XLOOKUP($D1177,Insumos!$B$1:$B$996,Insumos!$D$1:$D$996),"")</f>
        <v/>
      </c>
      <c r="H1177" s="92" t="n">
        <v>21.22848</v>
      </c>
      <c r="I1177" s="2165" t="n">
        <v>0</v>
      </c>
      <c r="J1177" s="2165" t="n">
        <v>0</v>
      </c>
      <c r="K1177" s="2165" t="n"/>
    </row>
    <row r="1178" outlineLevel="3" ht="12.75" customHeight="1">
      <c r="A1178" s="82" t="n">
        <v>95</v>
      </c>
      <c r="B1178" s="82" t="inlineStr">
        <is>
          <t>Insumo</t>
        </is>
      </c>
      <c r="C1178" s="82" t="inlineStr">
        <is>
          <t>Parede Com Sistema Em Chapas De Gesso Para Drywall, Uso Interno, Montante 48mm, Com Uma Face Simples Standart (ST/48)</t>
        </is>
      </c>
      <c r="D1178" s="82" t="inlineStr">
        <is>
          <t>PINO DE ACO COM ARRUELA CONICA, DIAMETRO ARRUELA = *23* MM E COMP HASTE = *27* MM (ACAO INDIRETA)</t>
        </is>
      </c>
      <c r="E1178" s="11">
        <f t="array" ref="E1178">_xlfn.XLOOKUP(D1178,Insumos!B:B,Insumos!C:$C)</f>
        <v/>
      </c>
      <c r="F1178" s="2164" t="n">
        <v>2.48</v>
      </c>
      <c r="G1178" s="92">
        <f t="array" ref="G1178">IF(B1178="insumo",_xlfn.XLOOKUP($D1178,Insumos!$B$1:$B$996,Insumos!$D$1:$D$996),"")</f>
        <v/>
      </c>
      <c r="H1178" s="92" t="n">
        <v>1.24992</v>
      </c>
      <c r="I1178" s="2165" t="n">
        <v>0</v>
      </c>
      <c r="J1178" s="2165" t="n">
        <v>0</v>
      </c>
      <c r="K1178" s="2165" t="n"/>
    </row>
    <row r="1179" outlineLevel="3" ht="12.75" customHeight="1">
      <c r="A1179" s="82" t="n">
        <v>26</v>
      </c>
      <c r="B1179" s="82" t="inlineStr">
        <is>
          <t>Insumo</t>
        </is>
      </c>
      <c r="C1179" s="82" t="inlineStr">
        <is>
          <t>Parede Com Sistema Em Chapas De Gesso Para Drywall, Uso Interno, Montante 48mm, Com Uma Face Simples Standart (ST/48)</t>
        </is>
      </c>
      <c r="D1179" s="82" t="inlineStr">
        <is>
          <t>PERFIL GUIA, FORMATO U, EM ACO ZINCADO, PARA ESTRUTURA PAREDE DRYWALL, E = 0,5 MM, 48 X 3000 MM (L X C)</t>
        </is>
      </c>
      <c r="E1179" s="11">
        <f t="array" ref="E1179">_xlfn.XLOOKUP(D1179,Insumos!B:B,Insumos!C:$C)</f>
        <v/>
      </c>
      <c r="F1179" s="2164" t="n">
        <v>0.7624</v>
      </c>
      <c r="G1179" s="92">
        <f t="array" ref="G1179">IF(B1179="insumo",_xlfn.XLOOKUP($D1179,Insumos!$B$1:$B$996,Insumos!$D$1:$D$996),"")</f>
        <v/>
      </c>
      <c r="H1179" s="92" t="n">
        <v>5.359672</v>
      </c>
      <c r="I1179" s="2165" t="n">
        <v>0</v>
      </c>
      <c r="J1179" s="2165" t="n">
        <v>0</v>
      </c>
      <c r="K1179" s="2165" t="n"/>
    </row>
    <row r="1180" outlineLevel="3" ht="12.75" customHeight="1">
      <c r="A1180" s="82" t="n">
        <v>26</v>
      </c>
      <c r="B1180" s="82" t="inlineStr">
        <is>
          <t>Insumo</t>
        </is>
      </c>
      <c r="C1180" s="82" t="inlineStr">
        <is>
          <t>Parede Com Sistema Em Chapas De Gesso Para Drywall, Uso Interno, Montante 48mm, Com Uma Face Simples Standart (ST/48)</t>
        </is>
      </c>
      <c r="D1180" s="82" t="inlineStr">
        <is>
          <t>PERFIL MONTANTE, FORMATO C, EM ACO ZINCADO, PARA ESTRUTURA PAREDE DRYWALL, E = 0,5 MM, 48 X 3000 MM (L X C)</t>
        </is>
      </c>
      <c r="E1180" s="11">
        <f t="array" ref="E1180">_xlfn.XLOOKUP(D1180,Insumos!B:B,Insumos!C:$C)</f>
        <v/>
      </c>
      <c r="F1180" s="2164" t="n">
        <v>2.0006</v>
      </c>
      <c r="G1180" s="92">
        <f t="array" ref="G1180">IF(B1180="insumo",_xlfn.XLOOKUP($D1180,Insumos!$B$1:$B$996,Insumos!$D$1:$D$996),"")</f>
        <v/>
      </c>
      <c r="H1180" s="92" t="n">
        <v>15.964788</v>
      </c>
      <c r="I1180" s="2165" t="n">
        <v>0</v>
      </c>
      <c r="J1180" s="2165" t="n">
        <v>0</v>
      </c>
      <c r="K1180" s="2165" t="n"/>
    </row>
    <row r="1181" outlineLevel="3" ht="12.75" customHeight="1">
      <c r="A1181" s="82" t="n">
        <v>95</v>
      </c>
      <c r="B1181" s="82" t="inlineStr">
        <is>
          <t>Insumo</t>
        </is>
      </c>
      <c r="C1181" s="82" t="inlineStr">
        <is>
          <t>Parede Com Sistema Em Chapas De Gesso Para Drywall, Uso Interno, Montante 48mm, Com Uma Face Simples Standart (ST/48)</t>
        </is>
      </c>
      <c r="D1181" s="82" t="inlineStr">
        <is>
          <t>MASSA DE REJUNTE EM PO PARA DRYWALL, A BASE DE GESSO, SECAGEM RAPIDA, PARA TRATAMENTO DE JUNTAS DE CHAPA DE GESSO (NECESSITA ADICAO DE AGUA)</t>
        </is>
      </c>
      <c r="E1181" s="11">
        <f t="array" ref="E1181">_xlfn.XLOOKUP(D1181,Insumos!B:B,Insumos!C:$C)</f>
        <v/>
      </c>
      <c r="F1181" s="2164" t="n">
        <v>0.5489000000000001</v>
      </c>
      <c r="G1181" s="92">
        <f t="array" ref="G1181">IF(B1181="insumo",_xlfn.XLOOKUP($D1181,Insumos!$B$1:$B$996,Insumos!$D$1:$D$996),"")</f>
        <v/>
      </c>
      <c r="H1181" s="92" t="n">
        <v>1.882727</v>
      </c>
      <c r="I1181" s="2165" t="n">
        <v>0</v>
      </c>
      <c r="J1181" s="2165" t="n">
        <v>0</v>
      </c>
      <c r="K1181" s="2165" t="n"/>
    </row>
    <row r="1182" outlineLevel="3" ht="12.75" customHeight="1">
      <c r="A1182" s="82" t="n">
        <v>94</v>
      </c>
      <c r="B1182" s="82" t="inlineStr">
        <is>
          <t>Insumo</t>
        </is>
      </c>
      <c r="C1182" s="82" t="inlineStr">
        <is>
          <t>Parede Com Sistema Em Chapas De Gesso Para Drywall, Uso Interno, Montante 48mm, Com Uma Face Simples Standart (ST/48)</t>
        </is>
      </c>
      <c r="D1182" s="82" t="inlineStr">
        <is>
          <t>FITA DE PAPEL MICROPERFURADO, 50 X 150 MM, PARA TRATAMENTO DE JUNTAS DE CHAPA DE GESSO PARA DRYWALL</t>
        </is>
      </c>
      <c r="E1182" s="11">
        <f t="array" ref="E1182">_xlfn.XLOOKUP(D1182,Insumos!B:B,Insumos!C:$C)</f>
        <v/>
      </c>
      <c r="F1182" s="2164" t="n">
        <v>1.2513</v>
      </c>
      <c r="G1182" s="92">
        <f t="array" ref="G1182">IF(B1182="insumo",_xlfn.XLOOKUP($D1182,Insumos!$B$1:$B$996,Insumos!$D$1:$D$996),"")</f>
        <v/>
      </c>
      <c r="H1182" s="92" t="n">
        <v>0.387903</v>
      </c>
      <c r="I1182" s="2165" t="n">
        <v>0</v>
      </c>
      <c r="J1182" s="2165" t="n">
        <v>0</v>
      </c>
      <c r="K1182" s="2165" t="n"/>
    </row>
    <row r="1183" outlineLevel="3" ht="12.75" customHeight="1">
      <c r="A1183" s="82" t="n">
        <v>94</v>
      </c>
      <c r="B1183" s="82" t="inlineStr">
        <is>
          <t>Insumo</t>
        </is>
      </c>
      <c r="C1183" s="82" t="inlineStr">
        <is>
          <t>Parede Com Sistema Em Chapas De Gesso Para Drywall, Uso Interno, Montante 48mm, Com Uma Face Simples Standart (ST/48)</t>
        </is>
      </c>
      <c r="D1183" s="82" t="inlineStr">
        <is>
          <t>FITA DE PAPEL REFORCADA COM LAMINA DE METAL PARA REFORCO DE CANTOS DE CHAPA DE GESSO PARA DRYWALL</t>
        </is>
      </c>
      <c r="E1183" s="11">
        <f t="array" ref="E1183">_xlfn.XLOOKUP(D1183,Insumos!B:B,Insumos!C:$C)</f>
        <v/>
      </c>
      <c r="F1183" s="2164" t="n">
        <v>0.7407</v>
      </c>
      <c r="G1183" s="92">
        <f t="array" ref="G1183">IF(B1183="insumo",_xlfn.XLOOKUP($D1183,Insumos!$B$1:$B$996,Insumos!$D$1:$D$996),"")</f>
        <v/>
      </c>
      <c r="H1183" s="92" t="n">
        <v>2.029518</v>
      </c>
      <c r="I1183" s="2165" t="n">
        <v>0</v>
      </c>
      <c r="J1183" s="2165" t="n">
        <v>0</v>
      </c>
      <c r="K1183" s="2165" t="n"/>
    </row>
    <row r="1184" outlineLevel="3" ht="12.75" customHeight="1">
      <c r="A1184" s="82" t="n">
        <v>97</v>
      </c>
      <c r="B1184" s="82" t="inlineStr">
        <is>
          <t>Insumo</t>
        </is>
      </c>
      <c r="C1184" s="82" t="inlineStr">
        <is>
          <t>Parede Com Sistema Em Chapas De Gesso Para Drywall, Uso Interno, Montante 48mm, Com Uma Face Simples Standart (ST/48)</t>
        </is>
      </c>
      <c r="D1184" s="82" t="inlineStr">
        <is>
          <t>PARAFUSO DRY WALL, EM ACO FOSFATIZADO, CABECA TROMBETA E PONTA AGULHA (TA), COMPRIMENTO 25 MM</t>
        </is>
      </c>
      <c r="E1184" s="11">
        <f t="array" ref="E1184">_xlfn.XLOOKUP(D1184,Insumos!B:B,Insumos!C:$C)</f>
        <v/>
      </c>
      <c r="F1184" s="2164" t="n">
        <v>10.0934</v>
      </c>
      <c r="G1184" s="92">
        <f t="array" ref="G1184">IF(B1184="insumo",_xlfn.XLOOKUP($D1184,Insumos!$B$1:$B$996,Insumos!$D$1:$D$996),"")</f>
        <v/>
      </c>
      <c r="H1184" s="92" t="n">
        <v>0.908406</v>
      </c>
      <c r="I1184" s="2165" t="n">
        <v>0</v>
      </c>
      <c r="J1184" s="2165" t="n">
        <v>0</v>
      </c>
      <c r="K1184" s="2165" t="n"/>
    </row>
    <row r="1185" outlineLevel="3" ht="12.75" customHeight="1">
      <c r="A1185" s="82" t="n">
        <v>95</v>
      </c>
      <c r="B1185" s="82" t="inlineStr">
        <is>
          <t>Insumo</t>
        </is>
      </c>
      <c r="C1185" s="82" t="inlineStr">
        <is>
          <t>Parede Com Sistema Em Chapas De Gesso Para Drywall, Uso Interno, Montante 48mm, Com Uma Face Simples Standart (ST/48)</t>
        </is>
      </c>
      <c r="D1185" s="82" t="inlineStr">
        <is>
          <t>PARAFUSO DRY WALL, EM ACO ZINCADO, CABECA LENTILHA E PONTA BROCA (LB), LARGURA 4,2 MM, COMPRIMENTO 13 MM</t>
        </is>
      </c>
      <c r="E1185" s="11">
        <f t="array" ref="E1185">_xlfn.XLOOKUP(D1185,Insumos!B:B,Insumos!C:$C)</f>
        <v/>
      </c>
      <c r="F1185" s="2164" t="n">
        <v>0.4803</v>
      </c>
      <c r="G1185" s="92">
        <f t="array" ref="G1185">IF(B1185="insumo",_xlfn.XLOOKUP($D1185,Insumos!$B$1:$B$996,Insumos!$D$1:$D$996),"")</f>
        <v/>
      </c>
      <c r="H1185" s="92" t="n">
        <v>0.09606000000000001</v>
      </c>
      <c r="I1185" s="2165" t="n">
        <v>0</v>
      </c>
      <c r="J1185" s="2165" t="n">
        <v>0</v>
      </c>
      <c r="K1185" s="2165" t="n"/>
    </row>
    <row r="1186" outlineLevel="2" ht="15.75" customHeight="1">
      <c r="A1186" s="1067" t="n">
        <v>1</v>
      </c>
      <c r="B1186" s="1067" t="inlineStr">
        <is>
          <t>Serviço</t>
        </is>
      </c>
      <c r="C1186" s="1067" t="inlineStr">
        <is>
          <t>Parede Com Sistema Em Chapas De Gesso Para Drywall, Uso Interno, Montante 48mm, Com Duas Face Simples Standart e isolamento com Lâ de Vidro (ST/48/ST)</t>
        </is>
      </c>
      <c r="D1186" s="1067" t="inlineStr">
        <is>
          <t>Parede Com Sistema Em Chapas De Gesso Para Drywall, Uso Interno, Montante 48mm, Com Duas Face Simples Standart e isolamento com Lâ de Vidro (ST/48/ST)</t>
        </is>
      </c>
      <c r="E1186" s="1068" t="inlineStr">
        <is>
          <t>M2</t>
        </is>
      </c>
      <c r="F1186" s="1067" t="n"/>
      <c r="G1186" s="1069">
        <f t="array" ref="G1186">IF(B1186="insumo",_xlfn.XLOOKUP($D1186,Insumos!$B$1:$B$996,Insumos!$D$1:$D$996),"")</f>
        <v/>
      </c>
      <c r="H1186" s="1069" t="n">
        <v>199.686616333333</v>
      </c>
      <c r="I1186" s="2161" t="n">
        <v>0</v>
      </c>
      <c r="J1186" s="2161" t="n">
        <v>0</v>
      </c>
      <c r="K1186" s="2161" t="n"/>
    </row>
    <row r="1187" outlineLevel="3" ht="15.75" customHeight="1">
      <c r="A1187" s="10" t="n">
        <v>86</v>
      </c>
      <c r="B1187" s="10" t="inlineStr">
        <is>
          <t>Insumo</t>
        </is>
      </c>
      <c r="C1187" s="10" t="inlineStr">
        <is>
          <t>Parede Com Sistema Em Chapas De Gesso Para Drywall, Uso Interno, Montante 48mm, Com Duas Face Simples Standart e isolamento com Lâ de Vidro (ST/48/ST)</t>
        </is>
      </c>
      <c r="D1187" s="10" t="inlineStr">
        <is>
          <t>SERVICO - CONFECCAO SHAFT GESSO</t>
        </is>
      </c>
      <c r="E1187" s="11">
        <f t="array" ref="E1187">_xlfn.XLOOKUP(D1187,Insumos!B:B,Insumos!C:$C)</f>
        <v/>
      </c>
      <c r="F1187" s="14" t="n">
        <v>1</v>
      </c>
      <c r="G1187" s="92">
        <f t="array" ref="G1187">IF(B1187="insumo",_xlfn.XLOOKUP($D1187,Insumos!$B$1:$B$996,Insumos!$D$1:$D$996),"")</f>
        <v/>
      </c>
      <c r="H1187" s="92" t="n">
        <v>70</v>
      </c>
      <c r="I1187" s="2162" t="n">
        <v>0</v>
      </c>
      <c r="J1187" s="2162" t="n">
        <v>0</v>
      </c>
      <c r="K1187" s="2162" t="n"/>
    </row>
    <row r="1188" outlineLevel="3" ht="15.75" customHeight="1">
      <c r="A1188" s="10" t="n">
        <v>47</v>
      </c>
      <c r="B1188" s="10" t="inlineStr">
        <is>
          <t>Insumo</t>
        </is>
      </c>
      <c r="C1188" s="10" t="inlineStr">
        <is>
          <t>Parede Com Sistema Em Chapas De Gesso Para Drywall, Uso Interno, Montante 48mm, Com Duas Face Simples Standart e isolamento com Lâ de Vidro (ST/48/ST)</t>
        </is>
      </c>
      <c r="D1188" s="10" t="inlineStr">
        <is>
          <t>PLACA / CHAPA DE GESSO ACARTONADO, STANDARD (ST), COR BRANCA, E = 12,5 MM, 1200 X 2400 MM (L X C)</t>
        </is>
      </c>
      <c r="E1188" s="11">
        <f t="array" ref="E1188">_xlfn.XLOOKUP(D1188,Insumos!B:B,Insumos!C:$C)</f>
        <v/>
      </c>
      <c r="F1188" s="14" t="n">
        <v>2.106</v>
      </c>
      <c r="G1188" s="92">
        <f t="array" ref="G1188">IF(B1188="insumo",_xlfn.XLOOKUP($D1188,Insumos!$B$1:$B$996,Insumos!$D$1:$D$996),"")</f>
        <v/>
      </c>
      <c r="H1188" s="92" t="n">
        <v>42.45696</v>
      </c>
      <c r="I1188" s="2162" t="n">
        <v>0</v>
      </c>
      <c r="J1188" s="2162" t="n">
        <v>0</v>
      </c>
      <c r="K1188" s="2162" t="n"/>
    </row>
    <row r="1189" outlineLevel="3" ht="15.75" customHeight="1">
      <c r="A1189" s="10" t="n">
        <v>95</v>
      </c>
      <c r="B1189" s="10" t="inlineStr">
        <is>
          <t>Insumo</t>
        </is>
      </c>
      <c r="C1189" s="10" t="inlineStr">
        <is>
          <t>Parede Com Sistema Em Chapas De Gesso Para Drywall, Uso Interno, Montante 48mm, Com Duas Face Simples Standart e isolamento com Lâ de Vidro (ST/48/ST)</t>
        </is>
      </c>
      <c r="D1189" s="10" t="inlineStr">
        <is>
          <t>PINO DE ACO COM ARRUELA CONICA, DIAMETRO ARRUELA = *23* MM E COMP HASTE = *27* MM (ACAO INDIRETA)</t>
        </is>
      </c>
      <c r="E1189" s="11">
        <f t="array" ref="E1189">_xlfn.XLOOKUP(D1189,Insumos!B:B,Insumos!C:$C)</f>
        <v/>
      </c>
      <c r="F1189" s="14" t="n">
        <v>5.92</v>
      </c>
      <c r="G1189" s="92">
        <f t="array" ref="G1189">IF(B1189="insumo",_xlfn.XLOOKUP($D1189,Insumos!$B$1:$B$996,Insumos!$D$1:$D$996),"")</f>
        <v/>
      </c>
      <c r="H1189" s="92" t="n">
        <v>2.98368</v>
      </c>
      <c r="I1189" s="2162" t="n">
        <v>0</v>
      </c>
      <c r="J1189" s="2162" t="n">
        <v>0</v>
      </c>
      <c r="K1189" s="2162" t="n"/>
    </row>
    <row r="1190" outlineLevel="3" ht="15.75" customHeight="1">
      <c r="A1190" s="10" t="n">
        <v>26</v>
      </c>
      <c r="B1190" s="10" t="inlineStr">
        <is>
          <t>Insumo</t>
        </is>
      </c>
      <c r="C1190" s="10" t="inlineStr">
        <is>
          <t>Parede Com Sistema Em Chapas De Gesso Para Drywall, Uso Interno, Montante 48mm, Com Duas Face Simples Standart e isolamento com Lâ de Vidro (ST/48/ST)</t>
        </is>
      </c>
      <c r="D1190" s="10" t="inlineStr">
        <is>
          <t>PERFIL GUIA, FORMATO U, EM ACO ZINCADO, PARA ESTRUTURA PAREDE DRYWALL, E = 0,5 MM, 48 X 3000 MM (L X C)</t>
        </is>
      </c>
      <c r="E1190" s="11">
        <f t="array" ref="E1190">_xlfn.XLOOKUP(D1190,Insumos!B:B,Insumos!C:$C)</f>
        <v/>
      </c>
      <c r="F1190" s="14" t="n">
        <v>1.8234</v>
      </c>
      <c r="G1190" s="92">
        <f t="array" ref="G1190">IF(B1190="insumo",_xlfn.XLOOKUP($D1190,Insumos!$B$1:$B$996,Insumos!$D$1:$D$996),"")</f>
        <v/>
      </c>
      <c r="H1190" s="92" t="n">
        <v>12.818502</v>
      </c>
      <c r="I1190" s="2162" t="n">
        <v>0</v>
      </c>
      <c r="J1190" s="2162" t="n">
        <v>0</v>
      </c>
      <c r="K1190" s="2162" t="n"/>
    </row>
    <row r="1191" outlineLevel="3" ht="15.75" customHeight="1">
      <c r="A1191" s="10" t="n">
        <v>26</v>
      </c>
      <c r="B1191" s="10" t="inlineStr">
        <is>
          <t>Insumo</t>
        </is>
      </c>
      <c r="C1191" s="10" t="inlineStr">
        <is>
          <t>Parede Com Sistema Em Chapas De Gesso Para Drywall, Uso Interno, Montante 48mm, Com Duas Face Simples Standart e isolamento com Lâ de Vidro (ST/48/ST)</t>
        </is>
      </c>
      <c r="D1191" s="10" t="inlineStr">
        <is>
          <t>PERFIL MONTANTE, FORMATO C, EM ACO ZINCADO, PARA ESTRUTURA PAREDE DRYWALL, E = 0,5 MM, 48 X 3000 MM (L X C)</t>
        </is>
      </c>
      <c r="E1191" s="11">
        <f t="array" ref="E1191">_xlfn.XLOOKUP(D1191,Insumos!B:B,Insumos!C:$C)</f>
        <v/>
      </c>
      <c r="F1191" s="14" t="n">
        <v>5.8278</v>
      </c>
      <c r="G1191" s="92">
        <f t="array" ref="G1191">IF(B1191="insumo",_xlfn.XLOOKUP($D1191,Insumos!$B$1:$B$996,Insumos!$D$1:$D$996),"")</f>
        <v/>
      </c>
      <c r="H1191" s="92" t="n">
        <v>46.505844</v>
      </c>
      <c r="I1191" s="2162" t="n">
        <v>0</v>
      </c>
      <c r="J1191" s="2162" t="n">
        <v>0</v>
      </c>
      <c r="K1191" s="2162" t="n"/>
    </row>
    <row r="1192" outlineLevel="3" ht="15.75" customHeight="1">
      <c r="A1192" s="10" t="n">
        <v>95</v>
      </c>
      <c r="B1192" s="10" t="inlineStr">
        <is>
          <t>Insumo</t>
        </is>
      </c>
      <c r="C1192" s="10" t="inlineStr">
        <is>
          <t>Parede Com Sistema Em Chapas De Gesso Para Drywall, Uso Interno, Montante 48mm, Com Duas Face Simples Standart e isolamento com Lâ de Vidro (ST/48/ST)</t>
        </is>
      </c>
      <c r="D1192" s="10" t="inlineStr">
        <is>
          <t>MASSA DE REJUNTE EM PO PARA DRYWALL, A BASE DE GESSO, SECAGEM RAPIDA, PARA TRATAMENTO DE JUNTAS DE CHAPA DE GESSO (NECESSITA ADICAO DE AGUA)</t>
        </is>
      </c>
      <c r="E1192" s="11">
        <f t="array" ref="E1192">_xlfn.XLOOKUP(D1192,Insumos!B:B,Insumos!C:$C)</f>
        <v/>
      </c>
      <c r="F1192" s="14" t="n">
        <v>1.0978</v>
      </c>
      <c r="G1192" s="92">
        <f t="array" ref="G1192">IF(B1192="insumo",_xlfn.XLOOKUP($D1192,Insumos!$B$1:$B$996,Insumos!$D$1:$D$996),"")</f>
        <v/>
      </c>
      <c r="H1192" s="92" t="n">
        <v>3.765454</v>
      </c>
      <c r="I1192" s="2162" t="n">
        <v>0</v>
      </c>
      <c r="J1192" s="2162" t="n">
        <v>0</v>
      </c>
      <c r="K1192" s="2162" t="n"/>
    </row>
    <row r="1193" outlineLevel="3" ht="15.75" customHeight="1">
      <c r="A1193" s="10" t="n">
        <v>94</v>
      </c>
      <c r="B1193" s="10" t="inlineStr">
        <is>
          <t>Insumo</t>
        </is>
      </c>
      <c r="C1193" s="10" t="inlineStr">
        <is>
          <t>Parede Com Sistema Em Chapas De Gesso Para Drywall, Uso Interno, Montante 48mm, Com Duas Face Simples Standart e isolamento com Lâ de Vidro (ST/48/ST)</t>
        </is>
      </c>
      <c r="D1193" s="10" t="inlineStr">
        <is>
          <t>FITA DE PAPEL MICROPERFURADO, 50 X 150 MM, PARA TRATAMENTO DE JUNTAS DE CHAPA DE GESSO PARA DRYWALL</t>
        </is>
      </c>
      <c r="E1193" s="11">
        <f t="array" ref="E1193">_xlfn.XLOOKUP(D1193,Insumos!B:B,Insumos!C:$C)</f>
        <v/>
      </c>
      <c r="F1193" s="14" t="n">
        <v>2.5027</v>
      </c>
      <c r="G1193" s="92">
        <f t="array" ref="G1193">IF(B1193="insumo",_xlfn.XLOOKUP($D1193,Insumos!$B$1:$B$996,Insumos!$D$1:$D$996),"")</f>
        <v/>
      </c>
      <c r="H1193" s="92" t="n">
        <v>0.775837</v>
      </c>
      <c r="I1193" s="2162" t="n">
        <v>0</v>
      </c>
      <c r="J1193" s="2162" t="n">
        <v>0</v>
      </c>
      <c r="K1193" s="2162" t="n"/>
    </row>
    <row r="1194" outlineLevel="3" ht="15.75" customHeight="1">
      <c r="A1194" s="10" t="n">
        <v>94</v>
      </c>
      <c r="B1194" s="10" t="inlineStr">
        <is>
          <t>Insumo</t>
        </is>
      </c>
      <c r="C1194" s="10" t="inlineStr">
        <is>
          <t>Parede Com Sistema Em Chapas De Gesso Para Drywall, Uso Interno, Montante 48mm, Com Duas Face Simples Standart e isolamento com Lâ de Vidro (ST/48/ST)</t>
        </is>
      </c>
      <c r="D1194" s="10" t="inlineStr">
        <is>
          <t>FITA DE PAPEL REFORCADA COM LAMINA DE METAL PARA REFORCO DE CANTOS DE CHAPA DE GESSO PARA DRYWALL</t>
        </is>
      </c>
      <c r="E1194" s="11">
        <f t="array" ref="E1194">_xlfn.XLOOKUP(D1194,Insumos!B:B,Insumos!C:$C)</f>
        <v/>
      </c>
      <c r="F1194" s="14" t="n">
        <v>1.5851</v>
      </c>
      <c r="G1194" s="92">
        <f t="array" ref="G1194">IF(B1194="insumo",_xlfn.XLOOKUP($D1194,Insumos!$B$1:$B$996,Insumos!$D$1:$D$996),"")</f>
        <v/>
      </c>
      <c r="H1194" s="92" t="n">
        <v>4.343174</v>
      </c>
      <c r="I1194" s="2162" t="n">
        <v>0</v>
      </c>
      <c r="J1194" s="2162" t="n">
        <v>0</v>
      </c>
      <c r="K1194" s="2162" t="n"/>
    </row>
    <row r="1195" outlineLevel="3" ht="15.75" customHeight="1">
      <c r="A1195" s="10" t="n">
        <v>97</v>
      </c>
      <c r="B1195" s="10" t="inlineStr">
        <is>
          <t>Insumo</t>
        </is>
      </c>
      <c r="C1195" s="10" t="inlineStr">
        <is>
          <t>Parede Com Sistema Em Chapas De Gesso Para Drywall, Uso Interno, Montante 48mm, Com Duas Face Simples Standart e isolamento com Lâ de Vidro (ST/48/ST)</t>
        </is>
      </c>
      <c r="D1195" s="10" t="inlineStr">
        <is>
          <t>PARAFUSO DRY WALL, EM ACO FOSFATIZADO, CABECA TROMBETA E PONTA AGULHA (TA), COMPRIMENTO 25 MM</t>
        </is>
      </c>
      <c r="E1195" s="11">
        <f t="array" ref="E1195">_xlfn.XLOOKUP(D1195,Insumos!B:B,Insumos!C:$C)</f>
        <v/>
      </c>
      <c r="F1195" s="14" t="n">
        <v>20.1868</v>
      </c>
      <c r="G1195" s="92">
        <f t="array" ref="G1195">IF(B1195="insumo",_xlfn.XLOOKUP($D1195,Insumos!$B$1:$B$996,Insumos!$D$1:$D$996),"")</f>
        <v/>
      </c>
      <c r="H1195" s="92" t="n">
        <v>1.816812</v>
      </c>
      <c r="I1195" s="2162" t="n">
        <v>0</v>
      </c>
      <c r="J1195" s="2162" t="n">
        <v>0</v>
      </c>
      <c r="K1195" s="2162" t="n"/>
    </row>
    <row r="1196" outlineLevel="3" ht="15.75" customHeight="1">
      <c r="A1196" s="10" t="n">
        <v>95</v>
      </c>
      <c r="B1196" s="10" t="inlineStr">
        <is>
          <t>Insumo</t>
        </is>
      </c>
      <c r="C1196" s="10" t="inlineStr">
        <is>
          <t>Parede Com Sistema Em Chapas De Gesso Para Drywall, Uso Interno, Montante 48mm, Com Duas Face Simples Standart e isolamento com Lâ de Vidro (ST/48/ST)</t>
        </is>
      </c>
      <c r="D1196" s="10" t="inlineStr">
        <is>
          <t>PARAFUSO DRY WALL, EM ACO ZINCADO, CABECA LENTILHA E PONTA BROCA (LB), LARGURA 4,2 MM, COMPRIMENTO 13 MM</t>
        </is>
      </c>
      <c r="E1196" s="11">
        <f t="array" ref="E1196">_xlfn.XLOOKUP(D1196,Insumos!B:B,Insumos!C:$C)</f>
        <v/>
      </c>
      <c r="F1196" s="14" t="n">
        <v>0.5441</v>
      </c>
      <c r="G1196" s="92">
        <f t="array" ref="G1196">IF(B1196="insumo",_xlfn.XLOOKUP($D1196,Insumos!$B$1:$B$996,Insumos!$D$1:$D$996),"")</f>
        <v/>
      </c>
      <c r="H1196" s="92" t="n">
        <v>0.10882</v>
      </c>
      <c r="I1196" s="2162" t="n">
        <v>0</v>
      </c>
      <c r="J1196" s="2162" t="n">
        <v>0</v>
      </c>
      <c r="K1196" s="2162" t="n"/>
    </row>
    <row r="1197" outlineLevel="3" ht="15.75" customHeight="1">
      <c r="A1197" s="10" t="n">
        <v>5</v>
      </c>
      <c r="B1197" s="10" t="inlineStr">
        <is>
          <t>Insumo</t>
        </is>
      </c>
      <c r="C1197" s="10" t="inlineStr">
        <is>
          <t>Parede Com Sistema Em Chapas De Gesso Para Drywall, Uso Interno, Montante 48mm, Com Duas Face Simples Standart e isolamento com Lâ de Vidro (ST/48/ST)</t>
        </is>
      </c>
      <c r="D1197" s="10" t="inlineStr">
        <is>
          <t>LÂ DE VIDRO PARA ISOLAMENTO 50mm</t>
        </is>
      </c>
      <c r="E1197" s="11">
        <f t="array" ref="E1197">_xlfn.XLOOKUP(D1197,Insumos!B:B,Insumos!C:$C)</f>
        <v/>
      </c>
      <c r="F1197" s="14" t="n">
        <v>1.1</v>
      </c>
      <c r="G1197" s="92">
        <f t="array" ref="G1197">IF(B1197="insumo",_xlfn.XLOOKUP($D1197,Insumos!$B$1:$B$996,Insumos!$D$1:$D$996),"")</f>
        <v/>
      </c>
      <c r="H1197" s="92" t="n">
        <v>14.1115333333333</v>
      </c>
      <c r="I1197" s="2162" t="n">
        <v>0</v>
      </c>
      <c r="J1197" s="2162" t="n">
        <v>0</v>
      </c>
      <c r="K1197" s="2162" t="n"/>
    </row>
    <row r="1198" outlineLevel="2" ht="12.75" customHeight="1">
      <c r="A1198" s="1071" t="n">
        <v>2</v>
      </c>
      <c r="B1198" s="1071" t="inlineStr">
        <is>
          <t>Serviço</t>
        </is>
      </c>
      <c r="C1198" s="1071" t="inlineStr">
        <is>
          <t>Parede Com Sistema Em Chapas De Gesso Para Drywall, Uso Interno, Montante 48mm, Com Uma Face Simples Standart (ST/48)</t>
        </is>
      </c>
      <c r="D1198" s="1071" t="inlineStr">
        <is>
          <t>Parede Com Sistema Em Chapas De Gesso Para Drywall, Uso Interno, Montante 48mm, Com Uma Face Simples Standart (ST/48)</t>
        </is>
      </c>
      <c r="E1198" s="1072" t="inlineStr">
        <is>
          <t>M2</t>
        </is>
      </c>
      <c r="F1198" s="1071" t="n"/>
      <c r="G1198" s="1073">
        <f t="array" ref="G1198">IF(B1198="insumo",_xlfn.XLOOKUP($D1198,Insumos!$B$1:$B$996,Insumos!$D$1:$D$996),"")</f>
        <v/>
      </c>
      <c r="H1198" s="1073" t="n">
        <v>119.107474</v>
      </c>
      <c r="I1198" s="2163" t="n">
        <v>0</v>
      </c>
      <c r="J1198" s="2163" t="n">
        <v>0</v>
      </c>
      <c r="K1198" s="2163" t="n"/>
    </row>
    <row r="1199" outlineLevel="3" ht="12.75" customHeight="1">
      <c r="A1199" s="82" t="n">
        <v>86</v>
      </c>
      <c r="B1199" s="82" t="inlineStr">
        <is>
          <t>Insumo</t>
        </is>
      </c>
      <c r="C1199" s="82" t="inlineStr">
        <is>
          <t>Parede Com Sistema Em Chapas De Gesso Para Drywall, Uso Interno, Montante 48mm, Com Uma Face Simples Standart (ST/48)</t>
        </is>
      </c>
      <c r="D1199" s="82" t="inlineStr">
        <is>
          <t>SERVICO - CONFECCAO SHAFT GESSO</t>
        </is>
      </c>
      <c r="E1199" s="11">
        <f t="array" ref="E1199">_xlfn.XLOOKUP(D1199,Insumos!B:B,Insumos!C:$C)</f>
        <v/>
      </c>
      <c r="F1199" s="2164" t="n">
        <v>1</v>
      </c>
      <c r="G1199" s="92">
        <f t="array" ref="G1199">IF(B1199="insumo",_xlfn.XLOOKUP($D1199,Insumos!$B$1:$B$996,Insumos!$D$1:$D$996),"")</f>
        <v/>
      </c>
      <c r="H1199" s="92" t="n">
        <v>70</v>
      </c>
      <c r="I1199" s="2165" t="n">
        <v>0</v>
      </c>
      <c r="J1199" s="2165" t="n">
        <v>0</v>
      </c>
      <c r="K1199" s="2165" t="n"/>
    </row>
    <row r="1200" outlineLevel="3" ht="12.75" customHeight="1">
      <c r="A1200" s="82" t="n">
        <v>47</v>
      </c>
      <c r="B1200" s="82" t="inlineStr">
        <is>
          <t>Insumo</t>
        </is>
      </c>
      <c r="C1200" s="82" t="inlineStr">
        <is>
          <t>Parede Com Sistema Em Chapas De Gesso Para Drywall, Uso Interno, Montante 48mm, Com Uma Face Simples Standart (ST/48)</t>
        </is>
      </c>
      <c r="D1200" s="82" t="inlineStr">
        <is>
          <t>PLACA / CHAPA DE GESSO ACARTONADO, STANDARD (ST), COR BRANCA, E = 12,5 MM, 1200 X 2400 MM (L X C)</t>
        </is>
      </c>
      <c r="E1200" s="11">
        <f t="array" ref="E1200">_xlfn.XLOOKUP(D1200,Insumos!B:B,Insumos!C:$C)</f>
        <v/>
      </c>
      <c r="F1200" s="2164" t="n">
        <v>1.053</v>
      </c>
      <c r="G1200" s="92">
        <f t="array" ref="G1200">IF(B1200="insumo",_xlfn.XLOOKUP($D1200,Insumos!$B$1:$B$996,Insumos!$D$1:$D$996),"")</f>
        <v/>
      </c>
      <c r="H1200" s="92" t="n">
        <v>21.22848</v>
      </c>
      <c r="I1200" s="2165" t="n">
        <v>0</v>
      </c>
      <c r="J1200" s="2165" t="n">
        <v>0</v>
      </c>
      <c r="K1200" s="2165" t="n"/>
    </row>
    <row r="1201" outlineLevel="3" ht="12.75" customHeight="1">
      <c r="A1201" s="82" t="n">
        <v>95</v>
      </c>
      <c r="B1201" s="82" t="inlineStr">
        <is>
          <t>Insumo</t>
        </is>
      </c>
      <c r="C1201" s="82" t="inlineStr">
        <is>
          <t>Parede Com Sistema Em Chapas De Gesso Para Drywall, Uso Interno, Montante 48mm, Com Uma Face Simples Standart (ST/48)</t>
        </is>
      </c>
      <c r="D1201" s="82" t="inlineStr">
        <is>
          <t>PINO DE ACO COM ARRUELA CONICA, DIAMETRO ARRUELA = *23* MM E COMP HASTE = *27* MM (ACAO INDIRETA)</t>
        </is>
      </c>
      <c r="E1201" s="11">
        <f t="array" ref="E1201">_xlfn.XLOOKUP(D1201,Insumos!B:B,Insumos!C:$C)</f>
        <v/>
      </c>
      <c r="F1201" s="2164" t="n">
        <v>2.48</v>
      </c>
      <c r="G1201" s="92">
        <f t="array" ref="G1201">IF(B1201="insumo",_xlfn.XLOOKUP($D1201,Insumos!$B$1:$B$996,Insumos!$D$1:$D$996),"")</f>
        <v/>
      </c>
      <c r="H1201" s="92" t="n">
        <v>1.24992</v>
      </c>
      <c r="I1201" s="2165" t="n">
        <v>0</v>
      </c>
      <c r="J1201" s="2165" t="n">
        <v>0</v>
      </c>
      <c r="K1201" s="2165" t="n"/>
    </row>
    <row r="1202" outlineLevel="3" ht="12.75" customHeight="1">
      <c r="A1202" s="82" t="n">
        <v>26</v>
      </c>
      <c r="B1202" s="82" t="inlineStr">
        <is>
          <t>Insumo</t>
        </is>
      </c>
      <c r="C1202" s="82" t="inlineStr">
        <is>
          <t>Parede Com Sistema Em Chapas De Gesso Para Drywall, Uso Interno, Montante 48mm, Com Uma Face Simples Standart (ST/48)</t>
        </is>
      </c>
      <c r="D1202" s="82" t="inlineStr">
        <is>
          <t>PERFIL GUIA, FORMATO U, EM ACO ZINCADO, PARA ESTRUTURA PAREDE DRYWALL, E = 0,5 MM, 48 X 3000 MM (L X C)</t>
        </is>
      </c>
      <c r="E1202" s="11">
        <f t="array" ref="E1202">_xlfn.XLOOKUP(D1202,Insumos!B:B,Insumos!C:$C)</f>
        <v/>
      </c>
      <c r="F1202" s="2164" t="n">
        <v>0.7624</v>
      </c>
      <c r="G1202" s="92">
        <f t="array" ref="G1202">IF(B1202="insumo",_xlfn.XLOOKUP($D1202,Insumos!$B$1:$B$996,Insumos!$D$1:$D$996),"")</f>
        <v/>
      </c>
      <c r="H1202" s="92" t="n">
        <v>5.359672</v>
      </c>
      <c r="I1202" s="2165" t="n">
        <v>0</v>
      </c>
      <c r="J1202" s="2165" t="n">
        <v>0</v>
      </c>
      <c r="K1202" s="2165" t="n"/>
    </row>
    <row r="1203" outlineLevel="3" ht="12.75" customHeight="1">
      <c r="A1203" s="82" t="n">
        <v>26</v>
      </c>
      <c r="B1203" s="82" t="inlineStr">
        <is>
          <t>Insumo</t>
        </is>
      </c>
      <c r="C1203" s="82" t="inlineStr">
        <is>
          <t>Parede Com Sistema Em Chapas De Gesso Para Drywall, Uso Interno, Montante 48mm, Com Uma Face Simples Standart (ST/48)</t>
        </is>
      </c>
      <c r="D1203" s="82" t="inlineStr">
        <is>
          <t>PERFIL MONTANTE, FORMATO C, EM ACO ZINCADO, PARA ESTRUTURA PAREDE DRYWALL, E = 0,5 MM, 48 X 3000 MM (L X C)</t>
        </is>
      </c>
      <c r="E1203" s="11">
        <f t="array" ref="E1203">_xlfn.XLOOKUP(D1203,Insumos!B:B,Insumos!C:$C)</f>
        <v/>
      </c>
      <c r="F1203" s="2164" t="n">
        <v>2.0006</v>
      </c>
      <c r="G1203" s="92">
        <f t="array" ref="G1203">IF(B1203="insumo",_xlfn.XLOOKUP($D1203,Insumos!$B$1:$B$996,Insumos!$D$1:$D$996),"")</f>
        <v/>
      </c>
      <c r="H1203" s="92" t="n">
        <v>15.964788</v>
      </c>
      <c r="I1203" s="2165" t="n">
        <v>0</v>
      </c>
      <c r="J1203" s="2165" t="n">
        <v>0</v>
      </c>
      <c r="K1203" s="2165" t="n"/>
    </row>
    <row r="1204" outlineLevel="3" ht="12.75" customHeight="1">
      <c r="A1204" s="82" t="n">
        <v>95</v>
      </c>
      <c r="B1204" s="82" t="inlineStr">
        <is>
          <t>Insumo</t>
        </is>
      </c>
      <c r="C1204" s="82" t="inlineStr">
        <is>
          <t>Parede Com Sistema Em Chapas De Gesso Para Drywall, Uso Interno, Montante 48mm, Com Uma Face Simples Standart (ST/48)</t>
        </is>
      </c>
      <c r="D1204" s="82" t="inlineStr">
        <is>
          <t>MASSA DE REJUNTE EM PO PARA DRYWALL, A BASE DE GESSO, SECAGEM RAPIDA, PARA TRATAMENTO DE JUNTAS DE CHAPA DE GESSO (NECESSITA ADICAO DE AGUA)</t>
        </is>
      </c>
      <c r="E1204" s="11">
        <f t="array" ref="E1204">_xlfn.XLOOKUP(D1204,Insumos!B:B,Insumos!C:$C)</f>
        <v/>
      </c>
      <c r="F1204" s="2164" t="n">
        <v>0.5489000000000001</v>
      </c>
      <c r="G1204" s="92">
        <f t="array" ref="G1204">IF(B1204="insumo",_xlfn.XLOOKUP($D1204,Insumos!$B$1:$B$996,Insumos!$D$1:$D$996),"")</f>
        <v/>
      </c>
      <c r="H1204" s="92" t="n">
        <v>1.882727</v>
      </c>
      <c r="I1204" s="2165" t="n">
        <v>0</v>
      </c>
      <c r="J1204" s="2165" t="n">
        <v>0</v>
      </c>
      <c r="K1204" s="2165" t="n"/>
    </row>
    <row r="1205" outlineLevel="3" ht="12.75" customHeight="1">
      <c r="A1205" s="82" t="n">
        <v>94</v>
      </c>
      <c r="B1205" s="82" t="inlineStr">
        <is>
          <t>Insumo</t>
        </is>
      </c>
      <c r="C1205" s="82" t="inlineStr">
        <is>
          <t>Parede Com Sistema Em Chapas De Gesso Para Drywall, Uso Interno, Montante 48mm, Com Uma Face Simples Standart (ST/48)</t>
        </is>
      </c>
      <c r="D1205" s="82" t="inlineStr">
        <is>
          <t>FITA DE PAPEL MICROPERFURADO, 50 X 150 MM, PARA TRATAMENTO DE JUNTAS DE CHAPA DE GESSO PARA DRYWALL</t>
        </is>
      </c>
      <c r="E1205" s="11">
        <f t="array" ref="E1205">_xlfn.XLOOKUP(D1205,Insumos!B:B,Insumos!C:$C)</f>
        <v/>
      </c>
      <c r="F1205" s="2164" t="n">
        <v>1.2513</v>
      </c>
      <c r="G1205" s="92">
        <f t="array" ref="G1205">IF(B1205="insumo",_xlfn.XLOOKUP($D1205,Insumos!$B$1:$B$996,Insumos!$D$1:$D$996),"")</f>
        <v/>
      </c>
      <c r="H1205" s="92" t="n">
        <v>0.387903</v>
      </c>
      <c r="I1205" s="2165" t="n">
        <v>0</v>
      </c>
      <c r="J1205" s="2165" t="n">
        <v>0</v>
      </c>
      <c r="K1205" s="2165" t="n"/>
    </row>
    <row r="1206" outlineLevel="3" ht="12.75" customHeight="1">
      <c r="A1206" s="82" t="n">
        <v>94</v>
      </c>
      <c r="B1206" s="82" t="inlineStr">
        <is>
          <t>Insumo</t>
        </is>
      </c>
      <c r="C1206" s="82" t="inlineStr">
        <is>
          <t>Parede Com Sistema Em Chapas De Gesso Para Drywall, Uso Interno, Montante 48mm, Com Uma Face Simples Standart (ST/48)</t>
        </is>
      </c>
      <c r="D1206" s="82" t="inlineStr">
        <is>
          <t>FITA DE PAPEL REFORCADA COM LAMINA DE METAL PARA REFORCO DE CANTOS DE CHAPA DE GESSO PARA DRYWALL</t>
        </is>
      </c>
      <c r="E1206" s="11">
        <f t="array" ref="E1206">_xlfn.XLOOKUP(D1206,Insumos!B:B,Insumos!C:$C)</f>
        <v/>
      </c>
      <c r="F1206" s="2164" t="n">
        <v>0.7407</v>
      </c>
      <c r="G1206" s="92">
        <f t="array" ref="G1206">IF(B1206="insumo",_xlfn.XLOOKUP($D1206,Insumos!$B$1:$B$996,Insumos!$D$1:$D$996),"")</f>
        <v/>
      </c>
      <c r="H1206" s="92" t="n">
        <v>2.029518</v>
      </c>
      <c r="I1206" s="2165" t="n">
        <v>0</v>
      </c>
      <c r="J1206" s="2165" t="n">
        <v>0</v>
      </c>
      <c r="K1206" s="2165" t="n"/>
    </row>
    <row r="1207" outlineLevel="3" ht="12.75" customHeight="1">
      <c r="A1207" s="82" t="n">
        <v>97</v>
      </c>
      <c r="B1207" s="82" t="inlineStr">
        <is>
          <t>Insumo</t>
        </is>
      </c>
      <c r="C1207" s="82" t="inlineStr">
        <is>
          <t>Parede Com Sistema Em Chapas De Gesso Para Drywall, Uso Interno, Montante 48mm, Com Uma Face Simples Standart (ST/48)</t>
        </is>
      </c>
      <c r="D1207" s="82" t="inlineStr">
        <is>
          <t>PARAFUSO DRY WALL, EM ACO FOSFATIZADO, CABECA TROMBETA E PONTA AGULHA (TA), COMPRIMENTO 25 MM</t>
        </is>
      </c>
      <c r="E1207" s="11">
        <f t="array" ref="E1207">_xlfn.XLOOKUP(D1207,Insumos!B:B,Insumos!C:$C)</f>
        <v/>
      </c>
      <c r="F1207" s="2164" t="n">
        <v>10.0934</v>
      </c>
      <c r="G1207" s="92">
        <f t="array" ref="G1207">IF(B1207="insumo",_xlfn.XLOOKUP($D1207,Insumos!$B$1:$B$996,Insumos!$D$1:$D$996),"")</f>
        <v/>
      </c>
      <c r="H1207" s="92" t="n">
        <v>0.908406</v>
      </c>
      <c r="I1207" s="2165" t="n">
        <v>0</v>
      </c>
      <c r="J1207" s="2165" t="n">
        <v>0</v>
      </c>
      <c r="K1207" s="2165" t="n"/>
    </row>
    <row r="1208" outlineLevel="3" ht="12.75" customHeight="1">
      <c r="A1208" s="82" t="n">
        <v>95</v>
      </c>
      <c r="B1208" s="82" t="inlineStr">
        <is>
          <t>Insumo</t>
        </is>
      </c>
      <c r="C1208" s="82" t="inlineStr">
        <is>
          <t>Parede Com Sistema Em Chapas De Gesso Para Drywall, Uso Interno, Montante 48mm, Com Uma Face Simples Standart (ST/48)</t>
        </is>
      </c>
      <c r="D1208" s="82" t="inlineStr">
        <is>
          <t>PARAFUSO DRY WALL, EM ACO ZINCADO, CABECA LENTILHA E PONTA BROCA (LB), LARGURA 4,2 MM, COMPRIMENTO 13 MM</t>
        </is>
      </c>
      <c r="E1208" s="11">
        <f t="array" ref="E1208">_xlfn.XLOOKUP(D1208,Insumos!B:B,Insumos!C:$C)</f>
        <v/>
      </c>
      <c r="F1208" s="2164" t="n">
        <v>0.4803</v>
      </c>
      <c r="G1208" s="92">
        <f t="array" ref="G1208">IF(B1208="insumo",_xlfn.XLOOKUP($D1208,Insumos!$B$1:$B$996,Insumos!$D$1:$D$996),"")</f>
        <v/>
      </c>
      <c r="H1208" s="92" t="n">
        <v>0.09606000000000001</v>
      </c>
      <c r="I1208" s="2165" t="n">
        <v>0</v>
      </c>
      <c r="J1208" s="2165" t="n">
        <v>0</v>
      </c>
      <c r="K1208" s="2165" t="n"/>
    </row>
    <row r="1209" outlineLevel="2" ht="12.75" customHeight="1">
      <c r="A1209" s="1071" t="n">
        <v>1</v>
      </c>
      <c r="B1209" s="1071" t="inlineStr">
        <is>
          <t>Serviço</t>
        </is>
      </c>
      <c r="C1209" s="1071" t="inlineStr">
        <is>
          <t>Parede Com Sistema Em Chapas De Gesso Para Drywall, Uso Interno, Montante 48mm, Com Uma Face Resistente a Umidade (RU/48)</t>
        </is>
      </c>
      <c r="D1209" s="1071" t="inlineStr">
        <is>
          <t>Parede Com Sistema Em Chapas De Gesso Para Drywall, Uso Interno, Montante 48mm, Com Uma Face Resistente a Umidade (RU/48)</t>
        </is>
      </c>
      <c r="E1209" s="1072" t="inlineStr">
        <is>
          <t>M2</t>
        </is>
      </c>
      <c r="F1209" s="1071" t="n"/>
      <c r="G1209" s="1073">
        <f t="array" ref="G1209">IF(B1209="insumo",_xlfn.XLOOKUP($D1209,Insumos!$B$1:$B$996,Insumos!$D$1:$D$996),"")</f>
        <v/>
      </c>
      <c r="H1209" s="1073" t="n">
        <v>126.415294</v>
      </c>
      <c r="I1209" s="2163" t="n">
        <v>0</v>
      </c>
      <c r="J1209" s="2163" t="n">
        <v>0</v>
      </c>
      <c r="K1209" s="2163" t="n"/>
    </row>
    <row r="1210" outlineLevel="3" ht="12.75" customHeight="1">
      <c r="A1210" s="82" t="n">
        <v>86</v>
      </c>
      <c r="B1210" s="82" t="inlineStr">
        <is>
          <t>Insumo</t>
        </is>
      </c>
      <c r="C1210" s="82" t="inlineStr">
        <is>
          <t>Parede Com Sistema Em Chapas De Gesso Para Drywall, Uso Interno, Montante 48mm, Com Uma Face Resistente a Umidade (RU/48)</t>
        </is>
      </c>
      <c r="D1210" s="82" t="inlineStr">
        <is>
          <t>SERVICO - CONFECCAO SHAFT GESSO</t>
        </is>
      </c>
      <c r="E1210" s="11">
        <f t="array" ref="E1210">_xlfn.XLOOKUP(D1210,Insumos!B:B,Insumos!C:$C)</f>
        <v/>
      </c>
      <c r="F1210" s="2164" t="n">
        <v>1</v>
      </c>
      <c r="G1210" s="92">
        <f t="array" ref="G1210">IF(B1210="insumo",_xlfn.XLOOKUP($D1210,Insumos!$B$1:$B$996,Insumos!$D$1:$D$996),"")</f>
        <v/>
      </c>
      <c r="H1210" s="92" t="n">
        <v>70</v>
      </c>
      <c r="I1210" s="2165" t="n">
        <v>0</v>
      </c>
      <c r="J1210" s="2165" t="n">
        <v>0</v>
      </c>
      <c r="K1210" s="2165" t="n"/>
    </row>
    <row r="1211" outlineLevel="3" ht="12.75" customHeight="1">
      <c r="A1211" s="82" t="n">
        <v>49</v>
      </c>
      <c r="B1211" s="82" t="inlineStr">
        <is>
          <t>Insumo</t>
        </is>
      </c>
      <c r="C1211" s="82" t="inlineStr">
        <is>
          <t>Parede Com Sistema Em Chapas De Gesso Para Drywall, Uso Interno, Montante 48mm, Com Uma Face Resistente a Umidade (RU/48)</t>
        </is>
      </c>
      <c r="D1211" s="82" t="inlineStr">
        <is>
          <t>PLACA / CHAPA DE GESSO ACARTONADO, RESISTENTE A UMIDADE (RU), COR VERDE, E = 12,5 MM, 1200 X 2400 MM (L X C)</t>
        </is>
      </c>
      <c r="E1211" s="11">
        <f t="array" ref="E1211">_xlfn.XLOOKUP(D1211,Insumos!B:B,Insumos!C:$C)</f>
        <v/>
      </c>
      <c r="F1211" s="2164" t="n">
        <v>1.053</v>
      </c>
      <c r="G1211" s="92">
        <f t="array" ref="G1211">IF(B1211="insumo",_xlfn.XLOOKUP($D1211,Insumos!$B$1:$B$996,Insumos!$D$1:$D$996),"")</f>
        <v/>
      </c>
      <c r="H1211" s="92" t="n">
        <v>28.5363</v>
      </c>
      <c r="I1211" s="2165" t="n">
        <v>0</v>
      </c>
      <c r="J1211" s="2165" t="n">
        <v>0</v>
      </c>
      <c r="K1211" s="2165" t="n"/>
    </row>
    <row r="1212" outlineLevel="3" ht="12.75" customHeight="1">
      <c r="A1212" s="82" t="n">
        <v>95</v>
      </c>
      <c r="B1212" s="82" t="inlineStr">
        <is>
          <t>Insumo</t>
        </is>
      </c>
      <c r="C1212" s="82" t="inlineStr">
        <is>
          <t>Parede Com Sistema Em Chapas De Gesso Para Drywall, Uso Interno, Montante 48mm, Com Uma Face Resistente a Umidade (RU/48)</t>
        </is>
      </c>
      <c r="D1212" s="82" t="inlineStr">
        <is>
          <t>PINO DE ACO COM ARRUELA CONICA, DIAMETRO ARRUELA = *23* MM E COMP HASTE = *27* MM (ACAO INDIRETA)</t>
        </is>
      </c>
      <c r="E1212" s="11">
        <f t="array" ref="E1212">_xlfn.XLOOKUP(D1212,Insumos!B:B,Insumos!C:$C)</f>
        <v/>
      </c>
      <c r="F1212" s="2164" t="n">
        <v>2.48</v>
      </c>
      <c r="G1212" s="92">
        <f t="array" ref="G1212">IF(B1212="insumo",_xlfn.XLOOKUP($D1212,Insumos!$B$1:$B$996,Insumos!$D$1:$D$996),"")</f>
        <v/>
      </c>
      <c r="H1212" s="92" t="n">
        <v>1.24992</v>
      </c>
      <c r="I1212" s="2165" t="n">
        <v>0</v>
      </c>
      <c r="J1212" s="2165" t="n">
        <v>0</v>
      </c>
      <c r="K1212" s="2165" t="n"/>
    </row>
    <row r="1213" outlineLevel="3" ht="12.75" customHeight="1">
      <c r="A1213" s="82" t="n">
        <v>26</v>
      </c>
      <c r="B1213" s="82" t="inlineStr">
        <is>
          <t>Insumo</t>
        </is>
      </c>
      <c r="C1213" s="82" t="inlineStr">
        <is>
          <t>Parede Com Sistema Em Chapas De Gesso Para Drywall, Uso Interno, Montante 48mm, Com Uma Face Resistente a Umidade (RU/48)</t>
        </is>
      </c>
      <c r="D1213" s="82" t="inlineStr">
        <is>
          <t>PERFIL GUIA, FORMATO U, EM ACO ZINCADO, PARA ESTRUTURA PAREDE DRYWALL, E = 0,5 MM, 48 X 3000 MM (L X C)</t>
        </is>
      </c>
      <c r="E1213" s="11">
        <f t="array" ref="E1213">_xlfn.XLOOKUP(D1213,Insumos!B:B,Insumos!C:$C)</f>
        <v/>
      </c>
      <c r="F1213" s="2164" t="n">
        <v>0.7624</v>
      </c>
      <c r="G1213" s="92">
        <f t="array" ref="G1213">IF(B1213="insumo",_xlfn.XLOOKUP($D1213,Insumos!$B$1:$B$996,Insumos!$D$1:$D$996),"")</f>
        <v/>
      </c>
      <c r="H1213" s="92" t="n">
        <v>5.359672</v>
      </c>
      <c r="I1213" s="2165" t="n">
        <v>0</v>
      </c>
      <c r="J1213" s="2165" t="n">
        <v>0</v>
      </c>
      <c r="K1213" s="2165" t="n"/>
    </row>
    <row r="1214" outlineLevel="3" ht="12.75" customHeight="1">
      <c r="A1214" s="82" t="n">
        <v>26</v>
      </c>
      <c r="B1214" s="82" t="inlineStr">
        <is>
          <t>Insumo</t>
        </is>
      </c>
      <c r="C1214" s="82" t="inlineStr">
        <is>
          <t>Parede Com Sistema Em Chapas De Gesso Para Drywall, Uso Interno, Montante 48mm, Com Uma Face Resistente a Umidade (RU/48)</t>
        </is>
      </c>
      <c r="D1214" s="82" t="inlineStr">
        <is>
          <t>PERFIL MONTANTE, FORMATO C, EM ACO ZINCADO, PARA ESTRUTURA PAREDE DRYWALL, E = 0,5 MM, 48 X 3000 MM (L X C)</t>
        </is>
      </c>
      <c r="E1214" s="11">
        <f t="array" ref="E1214">_xlfn.XLOOKUP(D1214,Insumos!B:B,Insumos!C:$C)</f>
        <v/>
      </c>
      <c r="F1214" s="2164" t="n">
        <v>2.0006</v>
      </c>
      <c r="G1214" s="92">
        <f t="array" ref="G1214">IF(B1214="insumo",_xlfn.XLOOKUP($D1214,Insumos!$B$1:$B$996,Insumos!$D$1:$D$996),"")</f>
        <v/>
      </c>
      <c r="H1214" s="92" t="n">
        <v>15.964788</v>
      </c>
      <c r="I1214" s="2165" t="n">
        <v>0</v>
      </c>
      <c r="J1214" s="2165" t="n">
        <v>0</v>
      </c>
      <c r="K1214" s="2165" t="n"/>
    </row>
    <row r="1215" outlineLevel="3" ht="12.75" customHeight="1">
      <c r="A1215" s="82" t="n">
        <v>95</v>
      </c>
      <c r="B1215" s="82" t="inlineStr">
        <is>
          <t>Insumo</t>
        </is>
      </c>
      <c r="C1215" s="82" t="inlineStr">
        <is>
          <t>Parede Com Sistema Em Chapas De Gesso Para Drywall, Uso Interno, Montante 48mm, Com Uma Face Resistente a Umidade (RU/48)</t>
        </is>
      </c>
      <c r="D1215" s="82" t="inlineStr">
        <is>
          <t>MASSA DE REJUNTE EM PO PARA DRYWALL, A BASE DE GESSO, SECAGEM RAPIDA, PARA TRATAMENTO DE JUNTAS DE CHAPA DE GESSO (NECESSITA ADICAO DE AGUA)</t>
        </is>
      </c>
      <c r="E1215" s="11">
        <f t="array" ref="E1215">_xlfn.XLOOKUP(D1215,Insumos!B:B,Insumos!C:$C)</f>
        <v/>
      </c>
      <c r="F1215" s="2164" t="n">
        <v>0.5489000000000001</v>
      </c>
      <c r="G1215" s="92">
        <f t="array" ref="G1215">IF(B1215="insumo",_xlfn.XLOOKUP($D1215,Insumos!$B$1:$B$996,Insumos!$D$1:$D$996),"")</f>
        <v/>
      </c>
      <c r="H1215" s="92" t="n">
        <v>1.882727</v>
      </c>
      <c r="I1215" s="2165" t="n">
        <v>0</v>
      </c>
      <c r="J1215" s="2165" t="n">
        <v>0</v>
      </c>
      <c r="K1215" s="2165" t="n"/>
    </row>
    <row r="1216" outlineLevel="3" ht="12.75" customHeight="1">
      <c r="A1216" s="82" t="n">
        <v>94</v>
      </c>
      <c r="B1216" s="82" t="inlineStr">
        <is>
          <t>Insumo</t>
        </is>
      </c>
      <c r="C1216" s="82" t="inlineStr">
        <is>
          <t>Parede Com Sistema Em Chapas De Gesso Para Drywall, Uso Interno, Montante 48mm, Com Uma Face Resistente a Umidade (RU/48)</t>
        </is>
      </c>
      <c r="D1216" s="82" t="inlineStr">
        <is>
          <t>FITA DE PAPEL MICROPERFURADO, 50 X 150 MM, PARA TRATAMENTO DE JUNTAS DE CHAPA DE GESSO PARA DRYWALL</t>
        </is>
      </c>
      <c r="E1216" s="11">
        <f t="array" ref="E1216">_xlfn.XLOOKUP(D1216,Insumos!B:B,Insumos!C:$C)</f>
        <v/>
      </c>
      <c r="F1216" s="2164" t="n">
        <v>1.2513</v>
      </c>
      <c r="G1216" s="92">
        <f t="array" ref="G1216">IF(B1216="insumo",_xlfn.XLOOKUP($D1216,Insumos!$B$1:$B$996,Insumos!$D$1:$D$996),"")</f>
        <v/>
      </c>
      <c r="H1216" s="92" t="n">
        <v>0.387903</v>
      </c>
      <c r="I1216" s="2165" t="n">
        <v>0</v>
      </c>
      <c r="J1216" s="2165" t="n">
        <v>0</v>
      </c>
      <c r="K1216" s="2165" t="n"/>
    </row>
    <row r="1217" outlineLevel="3" ht="12.75" customHeight="1">
      <c r="A1217" s="82" t="n">
        <v>94</v>
      </c>
      <c r="B1217" s="82" t="inlineStr">
        <is>
          <t>Insumo</t>
        </is>
      </c>
      <c r="C1217" s="82" t="inlineStr">
        <is>
          <t>Parede Com Sistema Em Chapas De Gesso Para Drywall, Uso Interno, Montante 48mm, Com Uma Face Resistente a Umidade (RU/48)</t>
        </is>
      </c>
      <c r="D1217" s="82" t="inlineStr">
        <is>
          <t>FITA DE PAPEL REFORCADA COM LAMINA DE METAL PARA REFORCO DE CANTOS DE CHAPA DE GESSO PARA DRYWALL</t>
        </is>
      </c>
      <c r="E1217" s="11">
        <f t="array" ref="E1217">_xlfn.XLOOKUP(D1217,Insumos!B:B,Insumos!C:$C)</f>
        <v/>
      </c>
      <c r="F1217" s="2164" t="n">
        <v>0.7407</v>
      </c>
      <c r="G1217" s="92">
        <f t="array" ref="G1217">IF(B1217="insumo",_xlfn.XLOOKUP($D1217,Insumos!$B$1:$B$996,Insumos!$D$1:$D$996),"")</f>
        <v/>
      </c>
      <c r="H1217" s="92" t="n">
        <v>2.029518</v>
      </c>
      <c r="I1217" s="2165" t="n">
        <v>0</v>
      </c>
      <c r="J1217" s="2165" t="n">
        <v>0</v>
      </c>
      <c r="K1217" s="2165" t="n"/>
    </row>
    <row r="1218" outlineLevel="3" ht="12.75" customHeight="1">
      <c r="A1218" s="82" t="n">
        <v>97</v>
      </c>
      <c r="B1218" s="82" t="inlineStr">
        <is>
          <t>Insumo</t>
        </is>
      </c>
      <c r="C1218" s="82" t="inlineStr">
        <is>
          <t>Parede Com Sistema Em Chapas De Gesso Para Drywall, Uso Interno, Montante 48mm, Com Uma Face Resistente a Umidade (RU/48)</t>
        </is>
      </c>
      <c r="D1218" s="82" t="inlineStr">
        <is>
          <t>PARAFUSO DRY WALL, EM ACO FOSFATIZADO, CABECA TROMBETA E PONTA AGULHA (TA), COMPRIMENTO 25 MM</t>
        </is>
      </c>
      <c r="E1218" s="11">
        <f t="array" ref="E1218">_xlfn.XLOOKUP(D1218,Insumos!B:B,Insumos!C:$C)</f>
        <v/>
      </c>
      <c r="F1218" s="2164" t="n">
        <v>10.0934</v>
      </c>
      <c r="G1218" s="92">
        <f t="array" ref="G1218">IF(B1218="insumo",_xlfn.XLOOKUP($D1218,Insumos!$B$1:$B$996,Insumos!$D$1:$D$996),"")</f>
        <v/>
      </c>
      <c r="H1218" s="92" t="n">
        <v>0.908406</v>
      </c>
      <c r="I1218" s="2165" t="n">
        <v>0</v>
      </c>
      <c r="J1218" s="2165" t="n">
        <v>0</v>
      </c>
      <c r="K1218" s="2165" t="n"/>
    </row>
    <row r="1219" outlineLevel="3" ht="12.75" customHeight="1">
      <c r="A1219" s="82" t="n">
        <v>95</v>
      </c>
      <c r="B1219" s="82" t="inlineStr">
        <is>
          <t>Insumo</t>
        </is>
      </c>
      <c r="C1219" s="82" t="inlineStr">
        <is>
          <t>Parede Com Sistema Em Chapas De Gesso Para Drywall, Uso Interno, Montante 48mm, Com Uma Face Resistente a Umidade (RU/48)</t>
        </is>
      </c>
      <c r="D1219" s="82" t="inlineStr">
        <is>
          <t>PARAFUSO DRY WALL, EM ACO ZINCADO, CABECA LENTILHA E PONTA BROCA (LB), LARGURA 4,2 MM, COMPRIMENTO 13 MM</t>
        </is>
      </c>
      <c r="E1219" s="11">
        <f t="array" ref="E1219">_xlfn.XLOOKUP(D1219,Insumos!B:B,Insumos!C:$C)</f>
        <v/>
      </c>
      <c r="F1219" s="2164" t="n">
        <v>0.4803</v>
      </c>
      <c r="G1219" s="92">
        <f t="array" ref="G1219">IF(B1219="insumo",_xlfn.XLOOKUP($D1219,Insumos!$B$1:$B$996,Insumos!$D$1:$D$996),"")</f>
        <v/>
      </c>
      <c r="H1219" s="92" t="n">
        <v>0.09606000000000001</v>
      </c>
      <c r="I1219" s="2165" t="n">
        <v>0</v>
      </c>
      <c r="J1219" s="2165" t="n">
        <v>0</v>
      </c>
      <c r="K1219" s="2165" t="n"/>
    </row>
    <row r="1220" outlineLevel="2" ht="12.75" customHeight="1">
      <c r="A1220" s="1071" t="n">
        <v>1</v>
      </c>
      <c r="B1220" s="1071" t="inlineStr">
        <is>
          <t>Serviço</t>
        </is>
      </c>
      <c r="C1220" s="1071" t="inlineStr">
        <is>
          <t>Parede Com Sistema Em Chapas De Gesso Para Drywall, Uso Interno, Montante 48mm, Com Duas Face Simples Standart(ST/48/ST)</t>
        </is>
      </c>
      <c r="D1220" s="1071" t="inlineStr">
        <is>
          <t>Parede Com Sistema Em Chapas De Gesso Para Drywall, Uso Interno, Montante 48mm, Com Duas Face Simples Standart(ST/48/ST)</t>
        </is>
      </c>
      <c r="E1220" s="1072" t="inlineStr">
        <is>
          <t>M2</t>
        </is>
      </c>
      <c r="F1220" s="1071" t="n"/>
      <c r="G1220" s="1073">
        <f t="array" ref="G1220">IF(B1220="insumo",_xlfn.XLOOKUP($D1220,Insumos!$B$1:$B$996,Insumos!$D$1:$D$996),"")</f>
        <v/>
      </c>
      <c r="H1220" s="1073" t="n">
        <v>168.113355</v>
      </c>
      <c r="I1220" s="2163" t="n">
        <v>0</v>
      </c>
      <c r="J1220" s="2163" t="n">
        <v>0</v>
      </c>
      <c r="K1220" s="2163" t="n"/>
    </row>
    <row r="1221" outlineLevel="3" ht="12.75" customHeight="1">
      <c r="A1221" s="82" t="n">
        <v>86</v>
      </c>
      <c r="B1221" s="82" t="inlineStr">
        <is>
          <t>Insumo</t>
        </is>
      </c>
      <c r="C1221" s="82" t="inlineStr">
        <is>
          <t>Parede Com Sistema Em Chapas De Gesso Para Drywall, Uso Interno, Montante 48mm, Com Duas Face Simples Standart(ST/48/ST)</t>
        </is>
      </c>
      <c r="D1221" s="82" t="inlineStr">
        <is>
          <t>SERVICO - CONFECCAO SHAFT GESSO</t>
        </is>
      </c>
      <c r="E1221" s="11">
        <f t="array" ref="E1221">_xlfn.XLOOKUP(D1221,Insumos!B:B,Insumos!C:$C)</f>
        <v/>
      </c>
      <c r="F1221" s="2164" t="n">
        <v>1</v>
      </c>
      <c r="G1221" s="92">
        <f t="array" ref="G1221">IF(B1221="insumo",_xlfn.XLOOKUP($D1221,Insumos!$B$1:$B$996,Insumos!$D$1:$D$996),"")</f>
        <v/>
      </c>
      <c r="H1221" s="92" t="n">
        <v>70</v>
      </c>
      <c r="I1221" s="2165" t="n">
        <v>0</v>
      </c>
      <c r="J1221" s="2165" t="n">
        <v>0</v>
      </c>
      <c r="K1221" s="2165" t="n"/>
    </row>
    <row r="1222" outlineLevel="3" ht="12.75" customHeight="1">
      <c r="A1222" s="82" t="n">
        <v>47</v>
      </c>
      <c r="B1222" s="82" t="inlineStr">
        <is>
          <t>Insumo</t>
        </is>
      </c>
      <c r="C1222" s="82" t="inlineStr">
        <is>
          <t>Parede Com Sistema Em Chapas De Gesso Para Drywall, Uso Interno, Montante 48mm, Com Duas Face Simples Standart(ST/48/ST)</t>
        </is>
      </c>
      <c r="D1222" s="82" t="inlineStr">
        <is>
          <t>PLACA / CHAPA DE GESSO ACARTONADO, STANDARD (ST), COR BRANCA, E = 12,5 MM, 1200 X 2400 MM (L X C)</t>
        </is>
      </c>
      <c r="E1222" s="11">
        <f t="array" ref="E1222">_xlfn.XLOOKUP(D1222,Insumos!B:B,Insumos!C:$C)</f>
        <v/>
      </c>
      <c r="F1222" s="2164" t="n">
        <v>2.106</v>
      </c>
      <c r="G1222" s="92">
        <f t="array" ref="G1222">IF(B1222="insumo",_xlfn.XLOOKUP($D1222,Insumos!$B$1:$B$996,Insumos!$D$1:$D$996),"")</f>
        <v/>
      </c>
      <c r="H1222" s="92" t="n">
        <v>42.45696</v>
      </c>
      <c r="I1222" s="2165" t="n">
        <v>0</v>
      </c>
      <c r="J1222" s="2165" t="n">
        <v>0</v>
      </c>
      <c r="K1222" s="2165" t="n"/>
    </row>
    <row r="1223" outlineLevel="3" ht="12.75" customHeight="1">
      <c r="A1223" s="82" t="n">
        <v>95</v>
      </c>
      <c r="B1223" s="82" t="inlineStr">
        <is>
          <t>Insumo</t>
        </is>
      </c>
      <c r="C1223" s="82" t="inlineStr">
        <is>
          <t>Parede Com Sistema Em Chapas De Gesso Para Drywall, Uso Interno, Montante 48mm, Com Duas Face Simples Standart(ST/48/ST)</t>
        </is>
      </c>
      <c r="D1223" s="82" t="inlineStr">
        <is>
          <t>PINO DE ACO COM ARRUELA CONICA, DIAMETRO ARRUELA = *23* MM E COMP HASTE = *27* MM (ACAO INDIRETA)</t>
        </is>
      </c>
      <c r="E1223" s="11">
        <f t="array" ref="E1223">_xlfn.XLOOKUP(D1223,Insumos!B:B,Insumos!C:$C)</f>
        <v/>
      </c>
      <c r="F1223" s="2164" t="n">
        <v>4.95</v>
      </c>
      <c r="G1223" s="92">
        <f t="array" ref="G1223">IF(B1223="insumo",_xlfn.XLOOKUP($D1223,Insumos!$B$1:$B$996,Insumos!$D$1:$D$996),"")</f>
        <v/>
      </c>
      <c r="H1223" s="92" t="n">
        <v>2.4948</v>
      </c>
      <c r="I1223" s="2165" t="n">
        <v>0</v>
      </c>
      <c r="J1223" s="2165" t="n">
        <v>0</v>
      </c>
      <c r="K1223" s="2165" t="n"/>
    </row>
    <row r="1224" outlineLevel="3" ht="12.75" customHeight="1">
      <c r="A1224" s="82" t="n">
        <v>26</v>
      </c>
      <c r="B1224" s="82" t="inlineStr">
        <is>
          <t>Insumo</t>
        </is>
      </c>
      <c r="C1224" s="82" t="inlineStr">
        <is>
          <t>Parede Com Sistema Em Chapas De Gesso Para Drywall, Uso Interno, Montante 48mm, Com Duas Face Simples Standart(ST/48/ST)</t>
        </is>
      </c>
      <c r="D1224" s="82" t="inlineStr">
        <is>
          <t>PERFIL GUIA, FORMATO U, EM ACO ZINCADO, PARA ESTRUTURA PAREDE DRYWALL, E = 0,5 MM, 48 X 3000 MM (L X C)</t>
        </is>
      </c>
      <c r="E1224" s="11">
        <f t="array" ref="E1224">_xlfn.XLOOKUP(D1224,Insumos!B:B,Insumos!C:$C)</f>
        <v/>
      </c>
      <c r="F1224" s="2164" t="n">
        <v>1.5248</v>
      </c>
      <c r="G1224" s="92">
        <f t="array" ref="G1224">IF(B1224="insumo",_xlfn.XLOOKUP($D1224,Insumos!$B$1:$B$996,Insumos!$D$1:$D$996),"")</f>
        <v/>
      </c>
      <c r="H1224" s="92" t="n">
        <v>10.719344</v>
      </c>
      <c r="I1224" s="2165" t="n">
        <v>0</v>
      </c>
      <c r="J1224" s="2165" t="n">
        <v>0</v>
      </c>
      <c r="K1224" s="2165" t="n"/>
    </row>
    <row r="1225" outlineLevel="3" ht="12.75" customHeight="1">
      <c r="A1225" s="82" t="n">
        <v>26</v>
      </c>
      <c r="B1225" s="82" t="inlineStr">
        <is>
          <t>Insumo</t>
        </is>
      </c>
      <c r="C1225" s="82" t="inlineStr">
        <is>
          <t>Parede Com Sistema Em Chapas De Gesso Para Drywall, Uso Interno, Montante 48mm, Com Duas Face Simples Standart(ST/48/ST)</t>
        </is>
      </c>
      <c r="D1225" s="82" t="inlineStr">
        <is>
          <t>PERFIL MONTANTE, FORMATO C, EM ACO ZINCADO, PARA ESTRUTURA PAREDE DRYWALL, E = 0,5 MM, 48 X 3000 MM (L X C)</t>
        </is>
      </c>
      <c r="E1225" s="11">
        <f t="array" ref="E1225">_xlfn.XLOOKUP(D1225,Insumos!B:B,Insumos!C:$C)</f>
        <v/>
      </c>
      <c r="F1225" s="2164" t="n">
        <v>4.0011</v>
      </c>
      <c r="G1225" s="92">
        <f t="array" ref="G1225">IF(B1225="insumo",_xlfn.XLOOKUP($D1225,Insumos!$B$1:$B$996,Insumos!$D$1:$D$996),"")</f>
        <v/>
      </c>
      <c r="H1225" s="92" t="n">
        <v>31.928778</v>
      </c>
      <c r="I1225" s="2165" t="n">
        <v>0</v>
      </c>
      <c r="J1225" s="2165" t="n">
        <v>0</v>
      </c>
      <c r="K1225" s="2165" t="n"/>
    </row>
    <row r="1226" outlineLevel="3" ht="12.75" customHeight="1">
      <c r="A1226" s="82" t="n">
        <v>95</v>
      </c>
      <c r="B1226" s="82" t="inlineStr">
        <is>
          <t>Insumo</t>
        </is>
      </c>
      <c r="C1226" s="82" t="inlineStr">
        <is>
          <t>Parede Com Sistema Em Chapas De Gesso Para Drywall, Uso Interno, Montante 48mm, Com Duas Face Simples Standart(ST/48/ST)</t>
        </is>
      </c>
      <c r="D1226" s="82" t="inlineStr">
        <is>
          <t>MASSA DE REJUNTE EM PO PARA DRYWALL, A BASE DE GESSO, SECAGEM RAPIDA, PARA TRATAMENTO DE JUNTAS DE CHAPA DE GESSO (NECESSITA ADICAO DE AGUA)</t>
        </is>
      </c>
      <c r="E1226" s="11">
        <f t="array" ref="E1226">_xlfn.XLOOKUP(D1226,Insumos!B:B,Insumos!C:$C)</f>
        <v/>
      </c>
      <c r="F1226" s="2164" t="n">
        <v>1.0978</v>
      </c>
      <c r="G1226" s="92">
        <f t="array" ref="G1226">IF(B1226="insumo",_xlfn.XLOOKUP($D1226,Insumos!$B$1:$B$996,Insumos!$D$1:$D$996),"")</f>
        <v/>
      </c>
      <c r="H1226" s="92" t="n">
        <v>3.765454</v>
      </c>
      <c r="I1226" s="2165" t="n">
        <v>0</v>
      </c>
      <c r="J1226" s="2165" t="n">
        <v>0</v>
      </c>
      <c r="K1226" s="2165" t="n"/>
    </row>
    <row r="1227" outlineLevel="3" ht="12.75" customHeight="1">
      <c r="A1227" s="82" t="n">
        <v>94</v>
      </c>
      <c r="B1227" s="82" t="inlineStr">
        <is>
          <t>Insumo</t>
        </is>
      </c>
      <c r="C1227" s="82" t="inlineStr">
        <is>
          <t>Parede Com Sistema Em Chapas De Gesso Para Drywall, Uso Interno, Montante 48mm, Com Duas Face Simples Standart(ST/48/ST)</t>
        </is>
      </c>
      <c r="D1227" s="82" t="inlineStr">
        <is>
          <t>FITA DE PAPEL MICROPERFURADO, 50 X 150 MM, PARA TRATAMENTO DE JUNTAS DE CHAPA DE GESSO PARA DRYWALL</t>
        </is>
      </c>
      <c r="E1227" s="11">
        <f t="array" ref="E1227">_xlfn.XLOOKUP(D1227,Insumos!B:B,Insumos!C:$C)</f>
        <v/>
      </c>
      <c r="F1227" s="2164" t="n">
        <v>2.5027</v>
      </c>
      <c r="G1227" s="92">
        <f t="array" ref="G1227">IF(B1227="insumo",_xlfn.XLOOKUP($D1227,Insumos!$B$1:$B$996,Insumos!$D$1:$D$996),"")</f>
        <v/>
      </c>
      <c r="H1227" s="92" t="n">
        <v>0.775837</v>
      </c>
      <c r="I1227" s="2165" t="n">
        <v>0</v>
      </c>
      <c r="J1227" s="2165" t="n">
        <v>0</v>
      </c>
      <c r="K1227" s="2165" t="n"/>
    </row>
    <row r="1228" outlineLevel="3" ht="12.75" customHeight="1">
      <c r="A1228" s="82" t="n">
        <v>94</v>
      </c>
      <c r="B1228" s="82" t="inlineStr">
        <is>
          <t>Insumo</t>
        </is>
      </c>
      <c r="C1228" s="82" t="inlineStr">
        <is>
          <t>Parede Com Sistema Em Chapas De Gesso Para Drywall, Uso Interno, Montante 48mm, Com Duas Face Simples Standart(ST/48/ST)</t>
        </is>
      </c>
      <c r="D1228" s="82" t="inlineStr">
        <is>
          <t>FITA DE PAPEL REFORCADA COM LAMINA DE METAL PARA REFORCO DE CANTOS DE CHAPA DE GESSO PARA DRYWALL</t>
        </is>
      </c>
      <c r="E1228" s="11">
        <f t="array" ref="E1228">_xlfn.XLOOKUP(D1228,Insumos!B:B,Insumos!C:$C)</f>
        <v/>
      </c>
      <c r="F1228" s="2164" t="n">
        <v>1.4815</v>
      </c>
      <c r="G1228" s="92">
        <f t="array" ref="G1228">IF(B1228="insumo",_xlfn.XLOOKUP($D1228,Insumos!$B$1:$B$996,Insumos!$D$1:$D$996),"")</f>
        <v/>
      </c>
      <c r="H1228" s="92" t="n">
        <v>4.05931</v>
      </c>
      <c r="I1228" s="2165" t="n">
        <v>0</v>
      </c>
      <c r="J1228" s="2165" t="n">
        <v>0</v>
      </c>
      <c r="K1228" s="2165" t="n"/>
    </row>
    <row r="1229" outlineLevel="3" ht="12.75" customHeight="1">
      <c r="A1229" s="82" t="n">
        <v>97</v>
      </c>
      <c r="B1229" s="82" t="inlineStr">
        <is>
          <t>Insumo</t>
        </is>
      </c>
      <c r="C1229" s="82" t="inlineStr">
        <is>
          <t>Parede Com Sistema Em Chapas De Gesso Para Drywall, Uso Interno, Montante 48mm, Com Duas Face Simples Standart(ST/48/ST)</t>
        </is>
      </c>
      <c r="D1229" s="82" t="inlineStr">
        <is>
          <t>PARAFUSO DRY WALL, EM ACO FOSFATIZADO, CABECA TROMBETA E PONTA AGULHA (TA), COMPRIMENTO 25 MM</t>
        </is>
      </c>
      <c r="E1229" s="11">
        <f t="array" ref="E1229">_xlfn.XLOOKUP(D1229,Insumos!B:B,Insumos!C:$C)</f>
        <v/>
      </c>
      <c r="F1229" s="2164" t="n">
        <v>20.1868</v>
      </c>
      <c r="G1229" s="92">
        <f t="array" ref="G1229">IF(B1229="insumo",_xlfn.XLOOKUP($D1229,Insumos!$B$1:$B$996,Insumos!$D$1:$D$996),"")</f>
        <v/>
      </c>
      <c r="H1229" s="92" t="n">
        <v>1.816812</v>
      </c>
      <c r="I1229" s="2165" t="n">
        <v>0</v>
      </c>
      <c r="J1229" s="2165" t="n">
        <v>0</v>
      </c>
      <c r="K1229" s="2165" t="n"/>
    </row>
    <row r="1230" outlineLevel="3" ht="12.75" customHeight="1">
      <c r="A1230" s="82" t="n">
        <v>95</v>
      </c>
      <c r="B1230" s="82" t="inlineStr">
        <is>
          <t>Insumo</t>
        </is>
      </c>
      <c r="C1230" s="82" t="inlineStr">
        <is>
          <t>Parede Com Sistema Em Chapas De Gesso Para Drywall, Uso Interno, Montante 48mm, Com Duas Face Simples Standart(ST/48/ST)</t>
        </is>
      </c>
      <c r="D1230" s="82" t="inlineStr">
        <is>
          <t>PARAFUSO DRY WALL, EM ACO ZINCADO, CABECA LENTILHA E PONTA BROCA (LB), LARGURA 4,2 MM, COMPRIMENTO 13 MM</t>
        </is>
      </c>
      <c r="E1230" s="11">
        <f t="array" ref="E1230">_xlfn.XLOOKUP(D1230,Insumos!B:B,Insumos!C:$C)</f>
        <v/>
      </c>
      <c r="F1230" s="2164" t="n">
        <v>0.4803</v>
      </c>
      <c r="G1230" s="92">
        <f t="array" ref="G1230">IF(B1230="insumo",_xlfn.XLOOKUP($D1230,Insumos!$B$1:$B$996,Insumos!$D$1:$D$996),"")</f>
        <v/>
      </c>
      <c r="H1230" s="92" t="n">
        <v>0.09606000000000001</v>
      </c>
      <c r="I1230" s="2165" t="n">
        <v>0</v>
      </c>
      <c r="J1230" s="2165" t="n">
        <v>0</v>
      </c>
      <c r="K1230" s="2165" t="n"/>
    </row>
    <row r="1231" outlineLevel="2" ht="12.75" customHeight="1">
      <c r="A1231" s="1071" t="n">
        <v>1</v>
      </c>
      <c r="B1231" s="1071" t="inlineStr">
        <is>
          <t>Serviço</t>
        </is>
      </c>
      <c r="C1231" s="1071" t="inlineStr">
        <is>
          <t>Parede Com Sistema Em Chapas De Gesso Para Drywall, Uso Interno, Montante 48mm, Com Duas Face Resistente a Umidade(RU/48/RU)</t>
        </is>
      </c>
      <c r="D1231" s="1071" t="inlineStr">
        <is>
          <t>Parede Com Sistema Em Chapas De Gesso Para Drywall, Uso Interno, Montante 48mm, Com Duas Face Resistente a Umidade(RU/48/RU)</t>
        </is>
      </c>
      <c r="E1231" s="1072" t="inlineStr">
        <is>
          <t>M2</t>
        </is>
      </c>
      <c r="F1231" s="1071" t="n"/>
      <c r="G1231" s="1073">
        <f t="array" ref="G1231">IF(B1231="insumo",_xlfn.XLOOKUP($D1231,Insumos!$B$1:$B$996,Insumos!$D$1:$D$996),"")</f>
        <v/>
      </c>
      <c r="H1231" s="1073" t="n">
        <v>182.728995</v>
      </c>
      <c r="I1231" s="2163" t="n">
        <v>0</v>
      </c>
      <c r="J1231" s="2163" t="n">
        <v>0</v>
      </c>
      <c r="K1231" s="2163" t="n"/>
    </row>
    <row r="1232" outlineLevel="3" ht="12.75" customHeight="1">
      <c r="A1232" s="82" t="n">
        <v>86</v>
      </c>
      <c r="B1232" s="82" t="inlineStr">
        <is>
          <t>Insumo</t>
        </is>
      </c>
      <c r="C1232" s="82" t="inlineStr">
        <is>
          <t>Parede Com Sistema Em Chapas De Gesso Para Drywall, Uso Interno, Montante 48mm, Com Duas Face Resistente a Umidade(RU/48/RU)</t>
        </is>
      </c>
      <c r="D1232" s="82" t="inlineStr">
        <is>
          <t>SERVICO - CONFECCAO SHAFT GESSO</t>
        </is>
      </c>
      <c r="E1232" s="11">
        <f t="array" ref="E1232">_xlfn.XLOOKUP(D1232,Insumos!B:B,Insumos!C:$C)</f>
        <v/>
      </c>
      <c r="F1232" s="2164" t="n">
        <v>1</v>
      </c>
      <c r="G1232" s="92">
        <f t="array" ref="G1232">IF(B1232="insumo",_xlfn.XLOOKUP($D1232,Insumos!$B$1:$B$996,Insumos!$D$1:$D$996),"")</f>
        <v/>
      </c>
      <c r="H1232" s="92" t="n">
        <v>70</v>
      </c>
      <c r="I1232" s="2165" t="n">
        <v>0</v>
      </c>
      <c r="J1232" s="2165" t="n">
        <v>0</v>
      </c>
      <c r="K1232" s="2165" t="n"/>
    </row>
    <row r="1233" outlineLevel="3" ht="12.75" customHeight="1">
      <c r="A1233" s="82" t="n">
        <v>49</v>
      </c>
      <c r="B1233" s="82" t="inlineStr">
        <is>
          <t>Insumo</t>
        </is>
      </c>
      <c r="C1233" s="82" t="inlineStr">
        <is>
          <t>Parede Com Sistema Em Chapas De Gesso Para Drywall, Uso Interno, Montante 48mm, Com Duas Face Resistente a Umidade(RU/48/RU)</t>
        </is>
      </c>
      <c r="D1233" s="82" t="inlineStr">
        <is>
          <t>PLACA / CHAPA DE GESSO ACARTONADO, RESISTENTE A UMIDADE (RU), COR VERDE, E = 12,5 MM, 1200 X 2400 MM (L X C)</t>
        </is>
      </c>
      <c r="E1233" s="11">
        <f t="array" ref="E1233">_xlfn.XLOOKUP(D1233,Insumos!B:B,Insumos!C:$C)</f>
        <v/>
      </c>
      <c r="F1233" s="2164" t="n">
        <v>2.106</v>
      </c>
      <c r="G1233" s="92">
        <f t="array" ref="G1233">IF(B1233="insumo",_xlfn.XLOOKUP($D1233,Insumos!$B$1:$B$996,Insumos!$D$1:$D$996),"")</f>
        <v/>
      </c>
      <c r="H1233" s="92" t="n">
        <v>57.0726</v>
      </c>
      <c r="I1233" s="2165" t="n">
        <v>0</v>
      </c>
      <c r="J1233" s="2165" t="n">
        <v>0</v>
      </c>
      <c r="K1233" s="2165" t="n"/>
    </row>
    <row r="1234" outlineLevel="3" ht="12.75" customHeight="1">
      <c r="A1234" s="82" t="n">
        <v>95</v>
      </c>
      <c r="B1234" s="82" t="inlineStr">
        <is>
          <t>Insumo</t>
        </is>
      </c>
      <c r="C1234" s="82" t="inlineStr">
        <is>
          <t>Parede Com Sistema Em Chapas De Gesso Para Drywall, Uso Interno, Montante 48mm, Com Duas Face Resistente a Umidade(RU/48/RU)</t>
        </is>
      </c>
      <c r="D1234" s="82" t="inlineStr">
        <is>
          <t>PINO DE ACO COM ARRUELA CONICA, DIAMETRO ARRUELA = *23* MM E COMP HASTE = *27* MM (ACAO INDIRETA)</t>
        </is>
      </c>
      <c r="E1234" s="11">
        <f t="array" ref="E1234">_xlfn.XLOOKUP(D1234,Insumos!B:B,Insumos!C:$C)</f>
        <v/>
      </c>
      <c r="F1234" s="2164" t="n">
        <v>4.95</v>
      </c>
      <c r="G1234" s="92">
        <f t="array" ref="G1234">IF(B1234="insumo",_xlfn.XLOOKUP($D1234,Insumos!$B$1:$B$996,Insumos!$D$1:$D$996),"")</f>
        <v/>
      </c>
      <c r="H1234" s="92" t="n">
        <v>2.4948</v>
      </c>
      <c r="I1234" s="2165" t="n">
        <v>0</v>
      </c>
      <c r="J1234" s="2165" t="n">
        <v>0</v>
      </c>
      <c r="K1234" s="2165" t="n"/>
    </row>
    <row r="1235" outlineLevel="3" ht="12.75" customHeight="1">
      <c r="A1235" s="82" t="n">
        <v>26</v>
      </c>
      <c r="B1235" s="82" t="inlineStr">
        <is>
          <t>Insumo</t>
        </is>
      </c>
      <c r="C1235" s="82" t="inlineStr">
        <is>
          <t>Parede Com Sistema Em Chapas De Gesso Para Drywall, Uso Interno, Montante 48mm, Com Duas Face Resistente a Umidade(RU/48/RU)</t>
        </is>
      </c>
      <c r="D1235" s="82" t="inlineStr">
        <is>
          <t>PERFIL GUIA, FORMATO U, EM ACO ZINCADO, PARA ESTRUTURA PAREDE DRYWALL, E = 0,5 MM, 48 X 3000 MM (L X C)</t>
        </is>
      </c>
      <c r="E1235" s="11">
        <f t="array" ref="E1235">_xlfn.XLOOKUP(D1235,Insumos!B:B,Insumos!C:$C)</f>
        <v/>
      </c>
      <c r="F1235" s="2164" t="n">
        <v>1.5248</v>
      </c>
      <c r="G1235" s="92">
        <f t="array" ref="G1235">IF(B1235="insumo",_xlfn.XLOOKUP($D1235,Insumos!$B$1:$B$996,Insumos!$D$1:$D$996),"")</f>
        <v/>
      </c>
      <c r="H1235" s="92" t="n">
        <v>10.719344</v>
      </c>
      <c r="I1235" s="2165" t="n">
        <v>0</v>
      </c>
      <c r="J1235" s="2165" t="n">
        <v>0</v>
      </c>
      <c r="K1235" s="2165" t="n"/>
    </row>
    <row r="1236" outlineLevel="3" ht="12.75" customHeight="1">
      <c r="A1236" s="82" t="n">
        <v>26</v>
      </c>
      <c r="B1236" s="82" t="inlineStr">
        <is>
          <t>Insumo</t>
        </is>
      </c>
      <c r="C1236" s="82" t="inlineStr">
        <is>
          <t>Parede Com Sistema Em Chapas De Gesso Para Drywall, Uso Interno, Montante 48mm, Com Duas Face Resistente a Umidade(RU/48/RU)</t>
        </is>
      </c>
      <c r="D1236" s="82" t="inlineStr">
        <is>
          <t>PERFIL MONTANTE, FORMATO C, EM ACO ZINCADO, PARA ESTRUTURA PAREDE DRYWALL, E = 0,5 MM, 48 X 3000 MM (L X C)</t>
        </is>
      </c>
      <c r="E1236" s="11">
        <f t="array" ref="E1236">_xlfn.XLOOKUP(D1236,Insumos!B:B,Insumos!C:$C)</f>
        <v/>
      </c>
      <c r="F1236" s="2164" t="n">
        <v>4.0011</v>
      </c>
      <c r="G1236" s="92">
        <f t="array" ref="G1236">IF(B1236="insumo",_xlfn.XLOOKUP($D1236,Insumos!$B$1:$B$996,Insumos!$D$1:$D$996),"")</f>
        <v/>
      </c>
      <c r="H1236" s="92" t="n">
        <v>31.928778</v>
      </c>
      <c r="I1236" s="2165" t="n">
        <v>0</v>
      </c>
      <c r="J1236" s="2165" t="n">
        <v>0</v>
      </c>
      <c r="K1236" s="2165" t="n"/>
    </row>
    <row r="1237" outlineLevel="3" ht="12.75" customHeight="1">
      <c r="A1237" s="82" t="n">
        <v>95</v>
      </c>
      <c r="B1237" s="82" t="inlineStr">
        <is>
          <t>Insumo</t>
        </is>
      </c>
      <c r="C1237" s="82" t="inlineStr">
        <is>
          <t>Parede Com Sistema Em Chapas De Gesso Para Drywall, Uso Interno, Montante 48mm, Com Duas Face Resistente a Umidade(RU/48/RU)</t>
        </is>
      </c>
      <c r="D1237" s="82" t="inlineStr">
        <is>
          <t>MASSA DE REJUNTE EM PO PARA DRYWALL, A BASE DE GESSO, SECAGEM RAPIDA, PARA TRATAMENTO DE JUNTAS DE CHAPA DE GESSO (NECESSITA ADICAO DE AGUA)</t>
        </is>
      </c>
      <c r="E1237" s="11">
        <f t="array" ref="E1237">_xlfn.XLOOKUP(D1237,Insumos!B:B,Insumos!C:$C)</f>
        <v/>
      </c>
      <c r="F1237" s="2164" t="n">
        <v>1.0978</v>
      </c>
      <c r="G1237" s="92">
        <f t="array" ref="G1237">IF(B1237="insumo",_xlfn.XLOOKUP($D1237,Insumos!$B$1:$B$996,Insumos!$D$1:$D$996),"")</f>
        <v/>
      </c>
      <c r="H1237" s="92" t="n">
        <v>3.765454</v>
      </c>
      <c r="I1237" s="2165" t="n">
        <v>0</v>
      </c>
      <c r="J1237" s="2165" t="n">
        <v>0</v>
      </c>
      <c r="K1237" s="2165" t="n"/>
    </row>
    <row r="1238" outlineLevel="3" ht="12.75" customHeight="1">
      <c r="A1238" s="82" t="n">
        <v>94</v>
      </c>
      <c r="B1238" s="82" t="inlineStr">
        <is>
          <t>Insumo</t>
        </is>
      </c>
      <c r="C1238" s="82" t="inlineStr">
        <is>
          <t>Parede Com Sistema Em Chapas De Gesso Para Drywall, Uso Interno, Montante 48mm, Com Duas Face Resistente a Umidade(RU/48/RU)</t>
        </is>
      </c>
      <c r="D1238" s="82" t="inlineStr">
        <is>
          <t>FITA DE PAPEL MICROPERFURADO, 50 X 150 MM, PARA TRATAMENTO DE JUNTAS DE CHAPA DE GESSO PARA DRYWALL</t>
        </is>
      </c>
      <c r="E1238" s="11">
        <f t="array" ref="E1238">_xlfn.XLOOKUP(D1238,Insumos!B:B,Insumos!C:$C)</f>
        <v/>
      </c>
      <c r="F1238" s="2164" t="n">
        <v>2.5027</v>
      </c>
      <c r="G1238" s="92">
        <f t="array" ref="G1238">IF(B1238="insumo",_xlfn.XLOOKUP($D1238,Insumos!$B$1:$B$996,Insumos!$D$1:$D$996),"")</f>
        <v/>
      </c>
      <c r="H1238" s="92" t="n">
        <v>0.775837</v>
      </c>
      <c r="I1238" s="2165" t="n">
        <v>0</v>
      </c>
      <c r="J1238" s="2165" t="n">
        <v>0</v>
      </c>
      <c r="K1238" s="2165" t="n"/>
    </row>
    <row r="1239" outlineLevel="3" ht="12.75" customHeight="1">
      <c r="A1239" s="82" t="n">
        <v>94</v>
      </c>
      <c r="B1239" s="82" t="inlineStr">
        <is>
          <t>Insumo</t>
        </is>
      </c>
      <c r="C1239" s="82" t="inlineStr">
        <is>
          <t>Parede Com Sistema Em Chapas De Gesso Para Drywall, Uso Interno, Montante 48mm, Com Duas Face Resistente a Umidade(RU/48/RU)</t>
        </is>
      </c>
      <c r="D1239" s="82" t="inlineStr">
        <is>
          <t>FITA DE PAPEL REFORCADA COM LAMINA DE METAL PARA REFORCO DE CANTOS DE CHAPA DE GESSO PARA DRYWALL</t>
        </is>
      </c>
      <c r="E1239" s="11">
        <f t="array" ref="E1239">_xlfn.XLOOKUP(D1239,Insumos!B:B,Insumos!C:$C)</f>
        <v/>
      </c>
      <c r="F1239" s="2164" t="n">
        <v>1.4815</v>
      </c>
      <c r="G1239" s="92">
        <f t="array" ref="G1239">IF(B1239="insumo",_xlfn.XLOOKUP($D1239,Insumos!$B$1:$B$996,Insumos!$D$1:$D$996),"")</f>
        <v/>
      </c>
      <c r="H1239" s="92" t="n">
        <v>4.05931</v>
      </c>
      <c r="I1239" s="2165" t="n">
        <v>0</v>
      </c>
      <c r="J1239" s="2165" t="n">
        <v>0</v>
      </c>
      <c r="K1239" s="2165" t="n"/>
    </row>
    <row r="1240" outlineLevel="3" ht="12.75" customHeight="1">
      <c r="A1240" s="82" t="n">
        <v>97</v>
      </c>
      <c r="B1240" s="82" t="inlineStr">
        <is>
          <t>Insumo</t>
        </is>
      </c>
      <c r="C1240" s="82" t="inlineStr">
        <is>
          <t>Parede Com Sistema Em Chapas De Gesso Para Drywall, Uso Interno, Montante 48mm, Com Duas Face Resistente a Umidade(RU/48/RU)</t>
        </is>
      </c>
      <c r="D1240" s="82" t="inlineStr">
        <is>
          <t>PARAFUSO DRY WALL, EM ACO FOSFATIZADO, CABECA TROMBETA E PONTA AGULHA (TA), COMPRIMENTO 25 MM</t>
        </is>
      </c>
      <c r="E1240" s="11">
        <f t="array" ref="E1240">_xlfn.XLOOKUP(D1240,Insumos!B:B,Insumos!C:$C)</f>
        <v/>
      </c>
      <c r="F1240" s="2164" t="n">
        <v>20.1868</v>
      </c>
      <c r="G1240" s="92">
        <f t="array" ref="G1240">IF(B1240="insumo",_xlfn.XLOOKUP($D1240,Insumos!$B$1:$B$996,Insumos!$D$1:$D$996),"")</f>
        <v/>
      </c>
      <c r="H1240" s="92" t="n">
        <v>1.816812</v>
      </c>
      <c r="I1240" s="2165" t="n">
        <v>0</v>
      </c>
      <c r="J1240" s="2165" t="n">
        <v>0</v>
      </c>
      <c r="K1240" s="2165" t="n"/>
    </row>
    <row r="1241" outlineLevel="3" ht="12.75" customHeight="1">
      <c r="A1241" s="82" t="n">
        <v>95</v>
      </c>
      <c r="B1241" s="82" t="inlineStr">
        <is>
          <t>Insumo</t>
        </is>
      </c>
      <c r="C1241" s="82" t="inlineStr">
        <is>
          <t>Parede Com Sistema Em Chapas De Gesso Para Drywall, Uso Interno, Montante 48mm, Com Duas Face Resistente a Umidade(RU/48/RU)</t>
        </is>
      </c>
      <c r="D1241" s="82" t="inlineStr">
        <is>
          <t>PARAFUSO DRY WALL, EM ACO ZINCADO, CABECA LENTILHA E PONTA BROCA (LB), LARGURA 4,2 MM, COMPRIMENTO 13 MM</t>
        </is>
      </c>
      <c r="E1241" s="11">
        <f t="array" ref="E1241">_xlfn.XLOOKUP(D1241,Insumos!B:B,Insumos!C:$C)</f>
        <v/>
      </c>
      <c r="F1241" s="2164" t="n">
        <v>0.4803</v>
      </c>
      <c r="G1241" s="92">
        <f t="array" ref="G1241">IF(B1241="insumo",_xlfn.XLOOKUP($D1241,Insumos!$B$1:$B$996,Insumos!$D$1:$D$996),"")</f>
        <v/>
      </c>
      <c r="H1241" s="92" t="n">
        <v>0.09606000000000001</v>
      </c>
      <c r="I1241" s="2165" t="n">
        <v>0</v>
      </c>
      <c r="J1241" s="2165" t="n">
        <v>0</v>
      </c>
      <c r="K1241" s="2165" t="n"/>
    </row>
    <row r="1242" outlineLevel="2" ht="12.75" customHeight="1">
      <c r="A1242" s="1071" t="n">
        <v>1</v>
      </c>
      <c r="B1242" s="1071" t="inlineStr">
        <is>
          <t>Serviço</t>
        </is>
      </c>
      <c r="C1242" s="1071" t="inlineStr">
        <is>
          <t>Parede Com Sistema Em Chapas De Gesso Para Drywall, Uso Interno, Montante 48mm, Com Uma Face Simples Standart e Uma Face Resistente a Umidade (ST/48/RU)</t>
        </is>
      </c>
      <c r="D1242" s="1071" t="inlineStr">
        <is>
          <t>Parede Com Sistema Em Chapas De Gesso Para Drywall, Uso Interno, Montante 48mm, Com Uma Face Simples Standart e Uma Face Resistente a Umidade (ST/48/RU)</t>
        </is>
      </c>
      <c r="E1242" s="1072" t="inlineStr">
        <is>
          <t>M2</t>
        </is>
      </c>
      <c r="F1242" s="1071" t="n"/>
      <c r="G1242" s="1073">
        <f t="array" ref="G1242">IF(B1242="insumo",_xlfn.XLOOKUP($D1242,Insumos!$B$1:$B$996,Insumos!$D$1:$D$996),"")</f>
        <v/>
      </c>
      <c r="H1242" s="1073" t="n">
        <v>189.532708333333</v>
      </c>
      <c r="I1242" s="2163" t="n">
        <v>0</v>
      </c>
      <c r="J1242" s="2163" t="n">
        <v>0</v>
      </c>
      <c r="K1242" s="2163" t="n"/>
    </row>
    <row r="1243" outlineLevel="3" ht="12.75" customHeight="1">
      <c r="A1243" s="82" t="n">
        <v>86</v>
      </c>
      <c r="B1243" s="82" t="inlineStr">
        <is>
          <t>Insumo</t>
        </is>
      </c>
      <c r="C1243" s="82" t="inlineStr">
        <is>
          <t>Parede Com Sistema Em Chapas De Gesso Para Drywall, Uso Interno, Montante 48mm, Com Uma Face Simples Standart e Uma Face Resistente a Umidade (ST/48/RU)</t>
        </is>
      </c>
      <c r="D1243" s="82" t="inlineStr">
        <is>
          <t>SERVICO - CONFECCAO SHAFT GESSO</t>
        </is>
      </c>
      <c r="E1243" s="11">
        <f t="array" ref="E1243">_xlfn.XLOOKUP(D1243,Insumos!B:B,Insumos!C:$C)</f>
        <v/>
      </c>
      <c r="F1243" s="2164" t="n">
        <v>1</v>
      </c>
      <c r="G1243" s="92">
        <f t="array" ref="G1243">IF(B1243="insumo",_xlfn.XLOOKUP($D1243,Insumos!$B$1:$B$996,Insumos!$D$1:$D$996),"")</f>
        <v/>
      </c>
      <c r="H1243" s="92" t="n">
        <v>70</v>
      </c>
      <c r="I1243" s="2165" t="n">
        <v>0</v>
      </c>
      <c r="J1243" s="2165" t="n">
        <v>0</v>
      </c>
      <c r="K1243" s="2165" t="n"/>
    </row>
    <row r="1244" outlineLevel="3" ht="12.75" customHeight="1">
      <c r="A1244" s="82" t="n">
        <v>47</v>
      </c>
      <c r="B1244" s="82" t="inlineStr">
        <is>
          <t>Insumo</t>
        </is>
      </c>
      <c r="C1244" s="82" t="inlineStr">
        <is>
          <t>Parede Com Sistema Em Chapas De Gesso Para Drywall, Uso Interno, Montante 48mm, Com Uma Face Simples Standart e Uma Face Resistente a Umidade (ST/48/RU)</t>
        </is>
      </c>
      <c r="D1244" s="82" t="inlineStr">
        <is>
          <t>PLACA / CHAPA DE GESSO ACARTONADO, STANDARD (ST), COR BRANCA, E = 12,5 MM, 1200 X 2400 MM (L X C)</t>
        </is>
      </c>
      <c r="E1244" s="11">
        <f t="array" ref="E1244">_xlfn.XLOOKUP(D1244,Insumos!B:B,Insumos!C:$C)</f>
        <v/>
      </c>
      <c r="F1244" s="2164" t="n">
        <v>1.053</v>
      </c>
      <c r="G1244" s="92">
        <f t="array" ref="G1244">IF(B1244="insumo",_xlfn.XLOOKUP($D1244,Insumos!$B$1:$B$996,Insumos!$D$1:$D$996),"")</f>
        <v/>
      </c>
      <c r="H1244" s="92" t="n">
        <v>21.22848</v>
      </c>
      <c r="I1244" s="2165" t="n">
        <v>0</v>
      </c>
      <c r="J1244" s="2165" t="n">
        <v>0</v>
      </c>
      <c r="K1244" s="2165" t="n"/>
    </row>
    <row r="1245" outlineLevel="3" ht="12.75" customHeight="1">
      <c r="A1245" s="82" t="n">
        <v>49</v>
      </c>
      <c r="B1245" s="82" t="inlineStr">
        <is>
          <t>Insumo</t>
        </is>
      </c>
      <c r="C1245" s="82" t="inlineStr">
        <is>
          <t>Parede Com Sistema Em Chapas De Gesso Para Drywall, Uso Interno, Montante 48mm, Com Uma Face Simples Standart e Uma Face Resistente a Umidade (ST/48/RU)</t>
        </is>
      </c>
      <c r="D1245" s="82" t="inlineStr">
        <is>
          <t>PLACA / CHAPA DE GESSO ACARTONADO, RESISTENTE A UMIDADE (RU), COR VERDE, E = 12,5 MM, 1200 X 2400 MM (L X C)</t>
        </is>
      </c>
      <c r="E1245" s="11">
        <f t="array" ref="E1245">_xlfn.XLOOKUP(D1245,Insumos!B:B,Insumos!C:$C)</f>
        <v/>
      </c>
      <c r="F1245" s="2164" t="n">
        <v>1.053</v>
      </c>
      <c r="G1245" s="92">
        <f t="array" ref="G1245">IF(B1245="insumo",_xlfn.XLOOKUP($D1245,Insumos!$B$1:$B$996,Insumos!$D$1:$D$996),"")</f>
        <v/>
      </c>
      <c r="H1245" s="92" t="n">
        <v>28.5363</v>
      </c>
      <c r="I1245" s="2165" t="n">
        <v>0</v>
      </c>
      <c r="J1245" s="2165" t="n">
        <v>0</v>
      </c>
      <c r="K1245" s="2165" t="n"/>
    </row>
    <row r="1246" outlineLevel="3" ht="12.75" customHeight="1">
      <c r="A1246" s="82" t="n">
        <v>95</v>
      </c>
      <c r="B1246" s="82" t="inlineStr">
        <is>
          <t>Insumo</t>
        </is>
      </c>
      <c r="C1246" s="82" t="inlineStr">
        <is>
          <t>Parede Com Sistema Em Chapas De Gesso Para Drywall, Uso Interno, Montante 48mm, Com Uma Face Simples Standart e Uma Face Resistente a Umidade (ST/48/RU)</t>
        </is>
      </c>
      <c r="D1246" s="82" t="inlineStr">
        <is>
          <t>PINO DE ACO COM ARRUELA CONICA, DIAMETRO ARRUELA = *23* MM E COMP HASTE = *27* MM (ACAO INDIRETA)</t>
        </is>
      </c>
      <c r="E1246" s="11">
        <f t="array" ref="E1246">_xlfn.XLOOKUP(D1246,Insumos!B:B,Insumos!C:$C)</f>
        <v/>
      </c>
      <c r="F1246" s="2164" t="n">
        <v>4.95</v>
      </c>
      <c r="G1246" s="92">
        <f t="array" ref="G1246">IF(B1246="insumo",_xlfn.XLOOKUP($D1246,Insumos!$B$1:$B$996,Insumos!$D$1:$D$996),"")</f>
        <v/>
      </c>
      <c r="H1246" s="92" t="n">
        <v>2.4948</v>
      </c>
      <c r="I1246" s="2165" t="n">
        <v>0</v>
      </c>
      <c r="J1246" s="2165" t="n">
        <v>0</v>
      </c>
      <c r="K1246" s="2165" t="n"/>
    </row>
    <row r="1247" outlineLevel="3" ht="12.75" customHeight="1">
      <c r="A1247" s="82" t="n">
        <v>26</v>
      </c>
      <c r="B1247" s="82" t="inlineStr">
        <is>
          <t>Insumo</t>
        </is>
      </c>
      <c r="C1247" s="82" t="inlineStr">
        <is>
          <t>Parede Com Sistema Em Chapas De Gesso Para Drywall, Uso Interno, Montante 48mm, Com Uma Face Simples Standart e Uma Face Resistente a Umidade (ST/48/RU)</t>
        </is>
      </c>
      <c r="D1247" s="82" t="inlineStr">
        <is>
          <t>PERFIL GUIA, FORMATO U, EM ACO ZINCADO, PARA ESTRUTURA PAREDE DRYWALL, E = 0,5 MM, 48 X 3000 MM (L X C)</t>
        </is>
      </c>
      <c r="E1247" s="11">
        <f t="array" ref="E1247">_xlfn.XLOOKUP(D1247,Insumos!B:B,Insumos!C:$C)</f>
        <v/>
      </c>
      <c r="F1247" s="2164" t="n">
        <v>1.5248</v>
      </c>
      <c r="G1247" s="92">
        <f t="array" ref="G1247">IF(B1247="insumo",_xlfn.XLOOKUP($D1247,Insumos!$B$1:$B$996,Insumos!$D$1:$D$996),"")</f>
        <v/>
      </c>
      <c r="H1247" s="92" t="n">
        <v>10.719344</v>
      </c>
      <c r="I1247" s="2165" t="n">
        <v>0</v>
      </c>
      <c r="J1247" s="2165" t="n">
        <v>0</v>
      </c>
      <c r="K1247" s="2165" t="n"/>
    </row>
    <row r="1248" outlineLevel="3" ht="12.75" customHeight="1">
      <c r="A1248" s="82" t="n">
        <v>26</v>
      </c>
      <c r="B1248" s="82" t="inlineStr">
        <is>
          <t>Insumo</t>
        </is>
      </c>
      <c r="C1248" s="82" t="inlineStr">
        <is>
          <t>Parede Com Sistema Em Chapas De Gesso Para Drywall, Uso Interno, Montante 48mm, Com Uma Face Simples Standart e Uma Face Resistente a Umidade (ST/48/RU)</t>
        </is>
      </c>
      <c r="D1248" s="82" t="inlineStr">
        <is>
          <t>PERFIL MONTANTE, FORMATO C, EM ACO ZINCADO, PARA ESTRUTURA PAREDE DRYWALL, E = 0,5 MM, 48 X 3000 MM (L X C)</t>
        </is>
      </c>
      <c r="E1248" s="11">
        <f t="array" ref="E1248">_xlfn.XLOOKUP(D1248,Insumos!B:B,Insumos!C:$C)</f>
        <v/>
      </c>
      <c r="F1248" s="2164" t="n">
        <v>4.0011</v>
      </c>
      <c r="G1248" s="92">
        <f t="array" ref="G1248">IF(B1248="insumo",_xlfn.XLOOKUP($D1248,Insumos!$B$1:$B$996,Insumos!$D$1:$D$996),"")</f>
        <v/>
      </c>
      <c r="H1248" s="92" t="n">
        <v>31.928778</v>
      </c>
      <c r="I1248" s="2165" t="n">
        <v>0</v>
      </c>
      <c r="J1248" s="2165" t="n">
        <v>0</v>
      </c>
      <c r="K1248" s="2165" t="n"/>
    </row>
    <row r="1249" outlineLevel="3" ht="12.75" customHeight="1">
      <c r="A1249" s="82" t="n">
        <v>95</v>
      </c>
      <c r="B1249" s="82" t="inlineStr">
        <is>
          <t>Insumo</t>
        </is>
      </c>
      <c r="C1249" s="82" t="inlineStr">
        <is>
          <t>Parede Com Sistema Em Chapas De Gesso Para Drywall, Uso Interno, Montante 48mm, Com Uma Face Simples Standart e Uma Face Resistente a Umidade (ST/48/RU)</t>
        </is>
      </c>
      <c r="D1249" s="82" t="inlineStr">
        <is>
          <t>MASSA DE REJUNTE EM PO PARA DRYWALL, A BASE DE GESSO, SECAGEM RAPIDA, PARA TRATAMENTO DE JUNTAS DE CHAPA DE GESSO (NECESSITA ADICAO DE AGUA)</t>
        </is>
      </c>
      <c r="E1249" s="11">
        <f t="array" ref="E1249">_xlfn.XLOOKUP(D1249,Insumos!B:B,Insumos!C:$C)</f>
        <v/>
      </c>
      <c r="F1249" s="2164" t="n">
        <v>1.0978</v>
      </c>
      <c r="G1249" s="92">
        <f t="array" ref="G1249">IF(B1249="insumo",_xlfn.XLOOKUP($D1249,Insumos!$B$1:$B$996,Insumos!$D$1:$D$996),"")</f>
        <v/>
      </c>
      <c r="H1249" s="92" t="n">
        <v>3.765454</v>
      </c>
      <c r="I1249" s="2165" t="n">
        <v>0</v>
      </c>
      <c r="J1249" s="2165" t="n">
        <v>0</v>
      </c>
      <c r="K1249" s="2165" t="n"/>
    </row>
    <row r="1250" outlineLevel="3" ht="12.75" customHeight="1">
      <c r="A1250" s="82" t="n">
        <v>94</v>
      </c>
      <c r="B1250" s="82" t="inlineStr">
        <is>
          <t>Insumo</t>
        </is>
      </c>
      <c r="C1250" s="82" t="inlineStr">
        <is>
          <t>Parede Com Sistema Em Chapas De Gesso Para Drywall, Uso Interno, Montante 48mm, Com Uma Face Simples Standart e Uma Face Resistente a Umidade (ST/48/RU)</t>
        </is>
      </c>
      <c r="D1250" s="82" t="inlineStr">
        <is>
          <t>FITA DE PAPEL MICROPERFURADO, 50 X 150 MM, PARA TRATAMENTO DE JUNTAS DE CHAPA DE GESSO PARA DRYWALL</t>
        </is>
      </c>
      <c r="E1250" s="11">
        <f t="array" ref="E1250">_xlfn.XLOOKUP(D1250,Insumos!B:B,Insumos!C:$C)</f>
        <v/>
      </c>
      <c r="F1250" s="2164" t="n">
        <v>2.5027</v>
      </c>
      <c r="G1250" s="92">
        <f t="array" ref="G1250">IF(B1250="insumo",_xlfn.XLOOKUP($D1250,Insumos!$B$1:$B$996,Insumos!$D$1:$D$996),"")</f>
        <v/>
      </c>
      <c r="H1250" s="92" t="n">
        <v>0.775837</v>
      </c>
      <c r="I1250" s="2165" t="n">
        <v>0</v>
      </c>
      <c r="J1250" s="2165" t="n">
        <v>0</v>
      </c>
      <c r="K1250" s="2165" t="n"/>
    </row>
    <row r="1251" outlineLevel="3" ht="12.75" customHeight="1">
      <c r="A1251" s="82" t="n">
        <v>94</v>
      </c>
      <c r="B1251" s="82" t="inlineStr">
        <is>
          <t>Insumo</t>
        </is>
      </c>
      <c r="C1251" s="82" t="inlineStr">
        <is>
          <t>Parede Com Sistema Em Chapas De Gesso Para Drywall, Uso Interno, Montante 48mm, Com Uma Face Simples Standart e Uma Face Resistente a Umidade (ST/48/RU)</t>
        </is>
      </c>
      <c r="D1251" s="82" t="inlineStr">
        <is>
          <t>FITA DE PAPEL REFORCADA COM LAMINA DE METAL PARA REFORCO DE CANTOS DE CHAPA DE GESSO PARA DRYWALL</t>
        </is>
      </c>
      <c r="E1251" s="11">
        <f t="array" ref="E1251">_xlfn.XLOOKUP(D1251,Insumos!B:B,Insumos!C:$C)</f>
        <v/>
      </c>
      <c r="F1251" s="2164" t="n">
        <v>1.4815</v>
      </c>
      <c r="G1251" s="92">
        <f t="array" ref="G1251">IF(B1251="insumo",_xlfn.XLOOKUP($D1251,Insumos!$B$1:$B$996,Insumos!$D$1:$D$996),"")</f>
        <v/>
      </c>
      <c r="H1251" s="92" t="n">
        <v>4.05931</v>
      </c>
      <c r="I1251" s="2165" t="n">
        <v>0</v>
      </c>
      <c r="J1251" s="2165" t="n">
        <v>0</v>
      </c>
      <c r="K1251" s="2165" t="n"/>
    </row>
    <row r="1252" outlineLevel="3" ht="12.75" customHeight="1">
      <c r="A1252" s="82" t="n">
        <v>97</v>
      </c>
      <c r="B1252" s="82" t="inlineStr">
        <is>
          <t>Insumo</t>
        </is>
      </c>
      <c r="C1252" s="82" t="inlineStr">
        <is>
          <t>Parede Com Sistema Em Chapas De Gesso Para Drywall, Uso Interno, Montante 48mm, Com Uma Face Simples Standart e Uma Face Resistente a Umidade (ST/48/RU)</t>
        </is>
      </c>
      <c r="D1252" s="82" t="inlineStr">
        <is>
          <t>PARAFUSO DRY WALL, EM ACO FOSFATIZADO, CABECA TROMBETA E PONTA AGULHA (TA), COMPRIMENTO 25 MM</t>
        </is>
      </c>
      <c r="E1252" s="11">
        <f t="array" ref="E1252">_xlfn.XLOOKUP(D1252,Insumos!B:B,Insumos!C:$C)</f>
        <v/>
      </c>
      <c r="F1252" s="2164" t="n">
        <v>20.1868</v>
      </c>
      <c r="G1252" s="92">
        <f t="array" ref="G1252">IF(B1252="insumo",_xlfn.XLOOKUP($D1252,Insumos!$B$1:$B$996,Insumos!$D$1:$D$996),"")</f>
        <v/>
      </c>
      <c r="H1252" s="92" t="n">
        <v>1.816812</v>
      </c>
      <c r="I1252" s="2165" t="n">
        <v>0</v>
      </c>
      <c r="J1252" s="2165" t="n">
        <v>0</v>
      </c>
      <c r="K1252" s="2165" t="n"/>
    </row>
    <row r="1253" outlineLevel="3" ht="12.75" customHeight="1">
      <c r="A1253" s="82" t="n">
        <v>95</v>
      </c>
      <c r="B1253" s="82" t="inlineStr">
        <is>
          <t>Insumo</t>
        </is>
      </c>
      <c r="C1253" s="82" t="inlineStr">
        <is>
          <t>Parede Com Sistema Em Chapas De Gesso Para Drywall, Uso Interno, Montante 48mm, Com Uma Face Simples Standart e Uma Face Resistente a Umidade (ST/48/RU)</t>
        </is>
      </c>
      <c r="D1253" s="82" t="inlineStr">
        <is>
          <t>PARAFUSO DRY WALL, EM ACO ZINCADO, CABECA LENTILHA E PONTA BROCA (LB), LARGURA 4,2 MM, COMPRIMENTO 13 MM</t>
        </is>
      </c>
      <c r="E1253" s="11">
        <f t="array" ref="E1253">_xlfn.XLOOKUP(D1253,Insumos!B:B,Insumos!C:$C)</f>
        <v/>
      </c>
      <c r="F1253" s="2164" t="n">
        <v>0.4803</v>
      </c>
      <c r="G1253" s="92">
        <f t="array" ref="G1253">IF(B1253="insumo",_xlfn.XLOOKUP($D1253,Insumos!$B$1:$B$996,Insumos!$D$1:$D$996),"")</f>
        <v/>
      </c>
      <c r="H1253" s="92" t="n">
        <v>0.09606000000000001</v>
      </c>
      <c r="I1253" s="2165" t="n">
        <v>0</v>
      </c>
      <c r="J1253" s="2165" t="n">
        <v>0</v>
      </c>
      <c r="K1253" s="2165" t="n"/>
    </row>
    <row r="1254" outlineLevel="3" ht="12.75" customHeight="1">
      <c r="A1254" s="82" t="n">
        <v>5</v>
      </c>
      <c r="B1254" s="82" t="inlineStr">
        <is>
          <t>Insumo</t>
        </is>
      </c>
      <c r="C1254" s="82" t="inlineStr">
        <is>
          <t>Parede Com Sistema Em Chapas De Gesso Para Drywall, Uso Interno, Montante 48mm, Com Uma Face Simples Standart e Uma Face Resistente a Umidade (ST/48/RU)</t>
        </is>
      </c>
      <c r="D1254" s="82" t="inlineStr">
        <is>
          <t>LÂ DE VIDRO PARA ISOLAMENTO 50mm</t>
        </is>
      </c>
      <c r="E1254" s="11">
        <f t="array" ref="E1254">_xlfn.XLOOKUP(D1254,Insumos!B:B,Insumos!C:$C)</f>
        <v/>
      </c>
      <c r="F1254" s="2164" t="n">
        <v>1.1</v>
      </c>
      <c r="G1254" s="92">
        <f t="array" ref="G1254">IF(B1254="insumo",_xlfn.XLOOKUP($D1254,Insumos!$B$1:$B$996,Insumos!$D$1:$D$996),"")</f>
        <v/>
      </c>
      <c r="H1254" s="92" t="n">
        <v>14.1115333333333</v>
      </c>
      <c r="I1254" s="2165" t="n">
        <v>0</v>
      </c>
      <c r="J1254" s="2165" t="n">
        <v>0</v>
      </c>
      <c r="K1254" s="2165" t="n"/>
    </row>
    <row r="1255" outlineLevel="2" ht="12.75" customHeight="1">
      <c r="A1255" s="1071" t="n">
        <v>1</v>
      </c>
      <c r="B1255" s="1071" t="inlineStr">
        <is>
          <t>Serviço</t>
        </is>
      </c>
      <c r="C1255" s="1071" t="inlineStr">
        <is>
          <t>Parede Com Sistema Em Chapas De Gesso Para Drywall, Uso Interno, Montante 70mm, Com Uma Face Resistente a Umidade(RU/70)</t>
        </is>
      </c>
      <c r="D1255" s="1071" t="inlineStr">
        <is>
          <t>Parede Com Sistema Em Chapas De Gesso Para Drywall, Uso Interno, Montante 70mm, Com Uma Face Resistente a Umidade(RU/70)</t>
        </is>
      </c>
      <c r="E1255" s="1072" t="inlineStr">
        <is>
          <t>M2</t>
        </is>
      </c>
      <c r="F1255" s="1071" t="n"/>
      <c r="G1255" s="1073">
        <f t="array" ref="G1255">IF(B1255="insumo",_xlfn.XLOOKUP($D1255,Insumos!$B$1:$B$996,Insumos!$D$1:$D$996),"")</f>
        <v/>
      </c>
      <c r="H1255" s="1073" t="n">
        <v>126.743126</v>
      </c>
      <c r="I1255" s="2163" t="n">
        <v>0</v>
      </c>
      <c r="J1255" s="2163" t="n">
        <v>0</v>
      </c>
      <c r="K1255" s="2163" t="n"/>
    </row>
    <row r="1256" outlineLevel="3" ht="12.75" customHeight="1">
      <c r="A1256" s="82" t="n">
        <v>86</v>
      </c>
      <c r="B1256" s="82" t="inlineStr">
        <is>
          <t>Insumo</t>
        </is>
      </c>
      <c r="C1256" s="82" t="inlineStr">
        <is>
          <t>Parede Com Sistema Em Chapas De Gesso Para Drywall, Uso Interno, Montante 70mm, Com Uma Face Resistente a Umidade(RU/70)</t>
        </is>
      </c>
      <c r="D1256" s="82" t="inlineStr">
        <is>
          <t>SERVICO - CONFECCAO SHAFT GESSO</t>
        </is>
      </c>
      <c r="E1256" s="11">
        <f t="array" ref="E1256">_xlfn.XLOOKUP(D1256,Insumos!B:B,Insumos!C:$C)</f>
        <v/>
      </c>
      <c r="F1256" s="2164" t="n">
        <v>1</v>
      </c>
      <c r="G1256" s="92">
        <f t="array" ref="G1256">IF(B1256="insumo",_xlfn.XLOOKUP($D1256,Insumos!$B$1:$B$996,Insumos!$D$1:$D$996),"")</f>
        <v/>
      </c>
      <c r="H1256" s="92" t="n">
        <v>70</v>
      </c>
      <c r="I1256" s="2165" t="n">
        <v>0</v>
      </c>
      <c r="J1256" s="2165" t="n">
        <v>0</v>
      </c>
      <c r="K1256" s="2165" t="n"/>
    </row>
    <row r="1257" outlineLevel="3" ht="12.75" customHeight="1">
      <c r="A1257" s="82" t="n">
        <v>49</v>
      </c>
      <c r="B1257" s="82" t="inlineStr">
        <is>
          <t>Insumo</t>
        </is>
      </c>
      <c r="C1257" s="82" t="inlineStr">
        <is>
          <t>Parede Com Sistema Em Chapas De Gesso Para Drywall, Uso Interno, Montante 70mm, Com Uma Face Resistente a Umidade(RU/70)</t>
        </is>
      </c>
      <c r="D1257" s="82" t="inlineStr">
        <is>
          <t>PLACA / CHAPA DE GESSO ACARTONADO, RESISTENTE A UMIDADE (RU), COR VERDE, E = 12,5 MM, 1200 X 2400 MM (L X C)</t>
        </is>
      </c>
      <c r="E1257" s="11">
        <f t="array" ref="E1257">_xlfn.XLOOKUP(D1257,Insumos!B:B,Insumos!C:$C)</f>
        <v/>
      </c>
      <c r="F1257" s="2164" t="n">
        <v>1.053</v>
      </c>
      <c r="G1257" s="92">
        <f t="array" ref="G1257">IF(B1257="insumo",_xlfn.XLOOKUP($D1257,Insumos!$B$1:$B$996,Insumos!$D$1:$D$996),"")</f>
        <v/>
      </c>
      <c r="H1257" s="92" t="n">
        <v>28.5363</v>
      </c>
      <c r="I1257" s="2165" t="n">
        <v>0</v>
      </c>
      <c r="J1257" s="2165" t="n">
        <v>0</v>
      </c>
      <c r="K1257" s="2165" t="n"/>
    </row>
    <row r="1258" outlineLevel="3" ht="12.75" customHeight="1">
      <c r="A1258" s="82" t="n">
        <v>95</v>
      </c>
      <c r="B1258" s="82" t="inlineStr">
        <is>
          <t>Insumo</t>
        </is>
      </c>
      <c r="C1258" s="82" t="inlineStr">
        <is>
          <t>Parede Com Sistema Em Chapas De Gesso Para Drywall, Uso Interno, Montante 70mm, Com Uma Face Resistente a Umidade(RU/70)</t>
        </is>
      </c>
      <c r="D1258" s="82" t="inlineStr">
        <is>
          <t>PINO DE ACO COM ARRUELA CONICA, DIAMETRO ARRUELA = *23* MM E COMP HASTE = *27* MM (ACAO INDIRETA)</t>
        </is>
      </c>
      <c r="E1258" s="11">
        <f t="array" ref="E1258">_xlfn.XLOOKUP(D1258,Insumos!B:B,Insumos!C:$C)</f>
        <v/>
      </c>
      <c r="F1258" s="2164" t="n">
        <v>2.48</v>
      </c>
      <c r="G1258" s="92">
        <f t="array" ref="G1258">IF(B1258="insumo",_xlfn.XLOOKUP($D1258,Insumos!$B$1:$B$996,Insumos!$D$1:$D$996),"")</f>
        <v/>
      </c>
      <c r="H1258" s="92" t="n">
        <v>1.24992</v>
      </c>
      <c r="I1258" s="2165" t="n">
        <v>0</v>
      </c>
      <c r="J1258" s="2165" t="n">
        <v>0</v>
      </c>
      <c r="K1258" s="2165" t="n"/>
    </row>
    <row r="1259" outlineLevel="3" ht="12.75" customHeight="1">
      <c r="A1259" s="82" t="n">
        <v>43</v>
      </c>
      <c r="B1259" s="82" t="inlineStr">
        <is>
          <t>Insumo</t>
        </is>
      </c>
      <c r="C1259" s="82" t="inlineStr">
        <is>
          <t>Parede Com Sistema Em Chapas De Gesso Para Drywall, Uso Interno, Montante 70mm, Com Uma Face Resistente a Umidade(RU/70)</t>
        </is>
      </c>
      <c r="D1259" s="82" t="inlineStr">
        <is>
          <t>PERFIL GUIA, FORMATO U, EM ACO ZINCADO, PARA ESTRUTURA PAREDE DRYWALL, E = 0,5 MM, 70 X 3000 MM (L X C)</t>
        </is>
      </c>
      <c r="E1259" s="11">
        <f t="array" ref="E1259">_xlfn.XLOOKUP(D1259,Insumos!B:B,Insumos!C:$C)</f>
        <v/>
      </c>
      <c r="F1259" s="2164" t="n">
        <v>0.7624</v>
      </c>
      <c r="G1259" s="92">
        <f t="array" ref="G1259">IF(B1259="insumo",_xlfn.XLOOKUP($D1259,Insumos!$B$1:$B$996,Insumos!$D$1:$D$996),"")</f>
        <v/>
      </c>
      <c r="H1259" s="92" t="n">
        <v>5.687504</v>
      </c>
      <c r="I1259" s="2165" t="n">
        <v>0</v>
      </c>
      <c r="J1259" s="2165" t="n">
        <v>0</v>
      </c>
      <c r="K1259" s="2165" t="n"/>
    </row>
    <row r="1260" outlineLevel="3" ht="12.75" customHeight="1">
      <c r="A1260" s="82" t="n">
        <v>43</v>
      </c>
      <c r="B1260" s="82" t="inlineStr">
        <is>
          <t>Insumo</t>
        </is>
      </c>
      <c r="C1260" s="82" t="inlineStr">
        <is>
          <t>Parede Com Sistema Em Chapas De Gesso Para Drywall, Uso Interno, Montante 70mm, Com Uma Face Resistente a Umidade(RU/70)</t>
        </is>
      </c>
      <c r="D1260" s="82" t="inlineStr">
        <is>
          <t>PERFIL MONTANTE, FORMATO C, EM ACO ZINCADO, PARA ESTRUTURA PAREDE DRYWALL, E = 0,5 MM, 70 X 3000 MM (L X C)</t>
        </is>
      </c>
      <c r="E1260" s="11">
        <f t="array" ref="E1260">_xlfn.XLOOKUP(D1260,Insumos!B:B,Insumos!C:$C)</f>
        <v/>
      </c>
      <c r="F1260" s="2164" t="n">
        <v>2.0006</v>
      </c>
      <c r="G1260" s="92">
        <f t="array" ref="G1260">IF(B1260="insumo",_xlfn.XLOOKUP($D1260,Insumos!$B$1:$B$996,Insumos!$D$1:$D$996),"")</f>
        <v/>
      </c>
      <c r="H1260" s="92" t="n">
        <v>15.964788</v>
      </c>
      <c r="I1260" s="2165" t="n">
        <v>0</v>
      </c>
      <c r="J1260" s="2165" t="n">
        <v>0</v>
      </c>
      <c r="K1260" s="2165" t="n"/>
    </row>
    <row r="1261" outlineLevel="3" ht="12.75" customHeight="1">
      <c r="A1261" s="82" t="n">
        <v>95</v>
      </c>
      <c r="B1261" s="82" t="inlineStr">
        <is>
          <t>Insumo</t>
        </is>
      </c>
      <c r="C1261" s="82" t="inlineStr">
        <is>
          <t>Parede Com Sistema Em Chapas De Gesso Para Drywall, Uso Interno, Montante 70mm, Com Uma Face Resistente a Umidade(RU/70)</t>
        </is>
      </c>
      <c r="D1261" s="82" t="inlineStr">
        <is>
          <t>MASSA DE REJUNTE EM PO PARA DRYWALL, A BASE DE GESSO, SECAGEM RAPIDA, PARA TRATAMENTO DE JUNTAS DE CHAPA DE GESSO (NECESSITA ADICAO DE AGUA)</t>
        </is>
      </c>
      <c r="E1261" s="11">
        <f t="array" ref="E1261">_xlfn.XLOOKUP(D1261,Insumos!B:B,Insumos!C:$C)</f>
        <v/>
      </c>
      <c r="F1261" s="2164" t="n">
        <v>0.5489000000000001</v>
      </c>
      <c r="G1261" s="92">
        <f t="array" ref="G1261">IF(B1261="insumo",_xlfn.XLOOKUP($D1261,Insumos!$B$1:$B$996,Insumos!$D$1:$D$996),"")</f>
        <v/>
      </c>
      <c r="H1261" s="92" t="n">
        <v>1.882727</v>
      </c>
      <c r="I1261" s="2165" t="n">
        <v>0</v>
      </c>
      <c r="J1261" s="2165" t="n">
        <v>0</v>
      </c>
      <c r="K1261" s="2165" t="n"/>
    </row>
    <row r="1262" outlineLevel="3" ht="12.75" customHeight="1">
      <c r="A1262" s="82" t="n">
        <v>94</v>
      </c>
      <c r="B1262" s="82" t="inlineStr">
        <is>
          <t>Insumo</t>
        </is>
      </c>
      <c r="C1262" s="82" t="inlineStr">
        <is>
          <t>Parede Com Sistema Em Chapas De Gesso Para Drywall, Uso Interno, Montante 70mm, Com Uma Face Resistente a Umidade(RU/70)</t>
        </is>
      </c>
      <c r="D1262" s="82" t="inlineStr">
        <is>
          <t>FITA DE PAPEL MICROPERFURADO, 50 X 150 MM, PARA TRATAMENTO DE JUNTAS DE CHAPA DE GESSO PARA DRYWALL</t>
        </is>
      </c>
      <c r="E1262" s="11">
        <f t="array" ref="E1262">_xlfn.XLOOKUP(D1262,Insumos!B:B,Insumos!C:$C)</f>
        <v/>
      </c>
      <c r="F1262" s="2164" t="n">
        <v>1.2513</v>
      </c>
      <c r="G1262" s="92">
        <f t="array" ref="G1262">IF(B1262="insumo",_xlfn.XLOOKUP($D1262,Insumos!$B$1:$B$996,Insumos!$D$1:$D$996),"")</f>
        <v/>
      </c>
      <c r="H1262" s="92" t="n">
        <v>0.387903</v>
      </c>
      <c r="I1262" s="2165" t="n">
        <v>0</v>
      </c>
      <c r="J1262" s="2165" t="n">
        <v>0</v>
      </c>
      <c r="K1262" s="2165" t="n"/>
    </row>
    <row r="1263" outlineLevel="3" ht="12.75" customHeight="1">
      <c r="A1263" s="82" t="n">
        <v>94</v>
      </c>
      <c r="B1263" s="82" t="inlineStr">
        <is>
          <t>Insumo</t>
        </is>
      </c>
      <c r="C1263" s="82" t="inlineStr">
        <is>
          <t>Parede Com Sistema Em Chapas De Gesso Para Drywall, Uso Interno, Montante 70mm, Com Uma Face Resistente a Umidade(RU/70)</t>
        </is>
      </c>
      <c r="D1263" s="82" t="inlineStr">
        <is>
          <t>FITA DE PAPEL REFORCADA COM LAMINA DE METAL PARA REFORCO DE CANTOS DE CHAPA DE GESSO PARA DRYWALL</t>
        </is>
      </c>
      <c r="E1263" s="11">
        <f t="array" ref="E1263">_xlfn.XLOOKUP(D1263,Insumos!B:B,Insumos!C:$C)</f>
        <v/>
      </c>
      <c r="F1263" s="2164" t="n">
        <v>0.7407</v>
      </c>
      <c r="G1263" s="92">
        <f t="array" ref="G1263">IF(B1263="insumo",_xlfn.XLOOKUP($D1263,Insumos!$B$1:$B$996,Insumos!$D$1:$D$996),"")</f>
        <v/>
      </c>
      <c r="H1263" s="92" t="n">
        <v>2.029518</v>
      </c>
      <c r="I1263" s="2165" t="n">
        <v>0</v>
      </c>
      <c r="J1263" s="2165" t="n">
        <v>0</v>
      </c>
      <c r="K1263" s="2165" t="n"/>
    </row>
    <row r="1264" outlineLevel="3" ht="12.75" customHeight="1">
      <c r="A1264" s="82" t="n">
        <v>97</v>
      </c>
      <c r="B1264" s="82" t="inlineStr">
        <is>
          <t>Insumo</t>
        </is>
      </c>
      <c r="C1264" s="82" t="inlineStr">
        <is>
          <t>Parede Com Sistema Em Chapas De Gesso Para Drywall, Uso Interno, Montante 70mm, Com Uma Face Resistente a Umidade(RU/70)</t>
        </is>
      </c>
      <c r="D1264" s="82" t="inlineStr">
        <is>
          <t>PARAFUSO DRY WALL, EM ACO FOSFATIZADO, CABECA TROMBETA E PONTA AGULHA (TA), COMPRIMENTO 25 MM</t>
        </is>
      </c>
      <c r="E1264" s="11">
        <f t="array" ref="E1264">_xlfn.XLOOKUP(D1264,Insumos!B:B,Insumos!C:$C)</f>
        <v/>
      </c>
      <c r="F1264" s="2164" t="n">
        <v>10.0934</v>
      </c>
      <c r="G1264" s="92">
        <f t="array" ref="G1264">IF(B1264="insumo",_xlfn.XLOOKUP($D1264,Insumos!$B$1:$B$996,Insumos!$D$1:$D$996),"")</f>
        <v/>
      </c>
      <c r="H1264" s="92" t="n">
        <v>0.908406</v>
      </c>
      <c r="I1264" s="2165" t="n">
        <v>0</v>
      </c>
      <c r="J1264" s="2165" t="n">
        <v>0</v>
      </c>
      <c r="K1264" s="2165" t="n"/>
    </row>
    <row r="1265" outlineLevel="3" ht="12.75" customHeight="1">
      <c r="A1265" s="82" t="n">
        <v>95</v>
      </c>
      <c r="B1265" s="82" t="inlineStr">
        <is>
          <t>Insumo</t>
        </is>
      </c>
      <c r="C1265" s="82" t="inlineStr">
        <is>
          <t>Parede Com Sistema Em Chapas De Gesso Para Drywall, Uso Interno, Montante 70mm, Com Uma Face Resistente a Umidade(RU/70)</t>
        </is>
      </c>
      <c r="D1265" s="82" t="inlineStr">
        <is>
          <t>PARAFUSO DRY WALL, EM ACO ZINCADO, CABECA LENTILHA E PONTA BROCA (LB), LARGURA 4,2 MM, COMPRIMENTO 13 MM</t>
        </is>
      </c>
      <c r="E1265" s="11">
        <f t="array" ref="E1265">_xlfn.XLOOKUP(D1265,Insumos!B:B,Insumos!C:$C)</f>
        <v/>
      </c>
      <c r="F1265" s="2164" t="n">
        <v>0.4803</v>
      </c>
      <c r="G1265" s="92">
        <f t="array" ref="G1265">IF(B1265="insumo",_xlfn.XLOOKUP($D1265,Insumos!$B$1:$B$996,Insumos!$D$1:$D$996),"")</f>
        <v/>
      </c>
      <c r="H1265" s="92" t="n">
        <v>0.09606000000000001</v>
      </c>
      <c r="I1265" s="2165" t="n">
        <v>0</v>
      </c>
      <c r="J1265" s="2165" t="n">
        <v>0</v>
      </c>
      <c r="K1265" s="2165" t="n"/>
    </row>
    <row r="1266" outlineLevel="2" ht="12.75" customHeight="1">
      <c r="A1266" s="1071" t="n">
        <v>1</v>
      </c>
      <c r="B1266" s="1071" t="inlineStr">
        <is>
          <t>Serviço</t>
        </is>
      </c>
      <c r="C1266" s="1071" t="inlineStr">
        <is>
          <t>Parede Com Sistema Em Chapas De Gesso Para Drywall, Uso Interno, Montante 70mm, Com Duas Face Simples Standart (ST/70/ST)</t>
        </is>
      </c>
      <c r="D1266" s="1071" t="inlineStr">
        <is>
          <t>Parede Com Sistema Em Chapas De Gesso Para Drywall, Uso Interno, Montante 70mm, Com Duas Face Simples Standart (ST/70/ST)</t>
        </is>
      </c>
      <c r="E1266" s="1072" t="inlineStr">
        <is>
          <t>M2</t>
        </is>
      </c>
      <c r="F1266" s="1071" t="n"/>
      <c r="G1266" s="1073">
        <f t="array" ref="G1266">IF(B1266="insumo",_xlfn.XLOOKUP($D1266,Insumos!$B$1:$B$996,Insumos!$D$1:$D$996),"")</f>
        <v/>
      </c>
      <c r="H1266" s="1073" t="n">
        <v>168.769019</v>
      </c>
      <c r="I1266" s="2163" t="n">
        <v>0</v>
      </c>
      <c r="J1266" s="2163" t="n">
        <v>0</v>
      </c>
      <c r="K1266" s="2163" t="n"/>
    </row>
    <row r="1267" outlineLevel="3" ht="12.75" customHeight="1">
      <c r="A1267" s="82" t="n">
        <v>86</v>
      </c>
      <c r="B1267" s="82" t="inlineStr">
        <is>
          <t>Insumo</t>
        </is>
      </c>
      <c r="C1267" s="82" t="inlineStr">
        <is>
          <t>Parede Com Sistema Em Chapas De Gesso Para Drywall, Uso Interno, Montante 70mm, Com Duas Face Simples Standart (ST/70/ST)</t>
        </is>
      </c>
      <c r="D1267" s="82" t="inlineStr">
        <is>
          <t>SERVICO - CONFECCAO SHAFT GESSO</t>
        </is>
      </c>
      <c r="E1267" s="11">
        <f t="array" ref="E1267">_xlfn.XLOOKUP(D1267,Insumos!B:B,Insumos!C:$C)</f>
        <v/>
      </c>
      <c r="F1267" s="2164" t="n">
        <v>1</v>
      </c>
      <c r="G1267" s="92">
        <f t="array" ref="G1267">IF(B1267="insumo",_xlfn.XLOOKUP($D1267,Insumos!$B$1:$B$996,Insumos!$D$1:$D$996),"")</f>
        <v/>
      </c>
      <c r="H1267" s="92" t="n">
        <v>70</v>
      </c>
      <c r="I1267" s="2165" t="n">
        <v>0</v>
      </c>
      <c r="J1267" s="2165" t="n">
        <v>0</v>
      </c>
      <c r="K1267" s="2165" t="n"/>
    </row>
    <row r="1268" outlineLevel="3" ht="12.75" customHeight="1">
      <c r="A1268" s="82" t="n">
        <v>47</v>
      </c>
      <c r="B1268" s="82" t="inlineStr">
        <is>
          <t>Insumo</t>
        </is>
      </c>
      <c r="C1268" s="82" t="inlineStr">
        <is>
          <t>Parede Com Sistema Em Chapas De Gesso Para Drywall, Uso Interno, Montante 70mm, Com Duas Face Simples Standart (ST/70/ST)</t>
        </is>
      </c>
      <c r="D1268" s="82" t="inlineStr">
        <is>
          <t>PLACA / CHAPA DE GESSO ACARTONADO, STANDARD (ST), COR BRANCA, E = 12,5 MM, 1200 X 2400 MM (L X C)</t>
        </is>
      </c>
      <c r="E1268" s="11">
        <f t="array" ref="E1268">_xlfn.XLOOKUP(D1268,Insumos!B:B,Insumos!C:$C)</f>
        <v/>
      </c>
      <c r="F1268" s="2164" t="n">
        <v>2.106</v>
      </c>
      <c r="G1268" s="92">
        <f t="array" ref="G1268">IF(B1268="insumo",_xlfn.XLOOKUP($D1268,Insumos!$B$1:$B$996,Insumos!$D$1:$D$996),"")</f>
        <v/>
      </c>
      <c r="H1268" s="92" t="n">
        <v>42.45696</v>
      </c>
      <c r="I1268" s="2165" t="n">
        <v>0</v>
      </c>
      <c r="J1268" s="2165" t="n">
        <v>0</v>
      </c>
      <c r="K1268" s="2165" t="n"/>
    </row>
    <row r="1269" outlineLevel="3" ht="12.75" customHeight="1">
      <c r="A1269" s="82" t="n">
        <v>95</v>
      </c>
      <c r="B1269" s="82" t="inlineStr">
        <is>
          <t>Insumo</t>
        </is>
      </c>
      <c r="C1269" s="82" t="inlineStr">
        <is>
          <t>Parede Com Sistema Em Chapas De Gesso Para Drywall, Uso Interno, Montante 70mm, Com Duas Face Simples Standart (ST/70/ST)</t>
        </is>
      </c>
      <c r="D1269" s="82" t="inlineStr">
        <is>
          <t>PINO DE ACO COM ARRUELA CONICA, DIAMETRO ARRUELA = *23* MM E COMP HASTE = *27* MM (ACAO INDIRETA)</t>
        </is>
      </c>
      <c r="E1269" s="11">
        <f t="array" ref="E1269">_xlfn.XLOOKUP(D1269,Insumos!B:B,Insumos!C:$C)</f>
        <v/>
      </c>
      <c r="F1269" s="2164" t="n">
        <v>4.95</v>
      </c>
      <c r="G1269" s="92">
        <f t="array" ref="G1269">IF(B1269="insumo",_xlfn.XLOOKUP($D1269,Insumos!$B$1:$B$996,Insumos!$D$1:$D$996),"")</f>
        <v/>
      </c>
      <c r="H1269" s="92" t="n">
        <v>2.4948</v>
      </c>
      <c r="I1269" s="2165" t="n">
        <v>0</v>
      </c>
      <c r="J1269" s="2165" t="n">
        <v>0</v>
      </c>
      <c r="K1269" s="2165" t="n"/>
    </row>
    <row r="1270" outlineLevel="3" ht="12.75" customHeight="1">
      <c r="A1270" s="82" t="n">
        <v>43</v>
      </c>
      <c r="B1270" s="82" t="inlineStr">
        <is>
          <t>Insumo</t>
        </is>
      </c>
      <c r="C1270" s="82" t="inlineStr">
        <is>
          <t>Parede Com Sistema Em Chapas De Gesso Para Drywall, Uso Interno, Montante 70mm, Com Duas Face Simples Standart (ST/70/ST)</t>
        </is>
      </c>
      <c r="D1270" s="82" t="inlineStr">
        <is>
          <t>PERFIL GUIA, FORMATO U, EM ACO ZINCADO, PARA ESTRUTURA PAREDE DRYWALL, E = 0,5 MM, 70 X 3000 MM (L X C)</t>
        </is>
      </c>
      <c r="E1270" s="11">
        <f t="array" ref="E1270">_xlfn.XLOOKUP(D1270,Insumos!B:B,Insumos!C:$C)</f>
        <v/>
      </c>
      <c r="F1270" s="2164" t="n">
        <v>1.5248</v>
      </c>
      <c r="G1270" s="92">
        <f t="array" ref="G1270">IF(B1270="insumo",_xlfn.XLOOKUP($D1270,Insumos!$B$1:$B$996,Insumos!$D$1:$D$996),"")</f>
        <v/>
      </c>
      <c r="H1270" s="92" t="n">
        <v>11.375008</v>
      </c>
      <c r="I1270" s="2165" t="n">
        <v>0</v>
      </c>
      <c r="J1270" s="2165" t="n">
        <v>0</v>
      </c>
      <c r="K1270" s="2165" t="n"/>
    </row>
    <row r="1271" outlineLevel="3" ht="12.75" customHeight="1">
      <c r="A1271" s="82" t="n">
        <v>43</v>
      </c>
      <c r="B1271" s="82" t="inlineStr">
        <is>
          <t>Insumo</t>
        </is>
      </c>
      <c r="C1271" s="82" t="inlineStr">
        <is>
          <t>Parede Com Sistema Em Chapas De Gesso Para Drywall, Uso Interno, Montante 70mm, Com Duas Face Simples Standart (ST/70/ST)</t>
        </is>
      </c>
      <c r="D1271" s="82" t="inlineStr">
        <is>
          <t>PERFIL MONTANTE, FORMATO C, EM ACO ZINCADO, PARA ESTRUTURA PAREDE DRYWALL, E = 0,5 MM, 70 X 3000 MM (L X C)</t>
        </is>
      </c>
      <c r="E1271" s="11">
        <f t="array" ref="E1271">_xlfn.XLOOKUP(D1271,Insumos!B:B,Insumos!C:$C)</f>
        <v/>
      </c>
      <c r="F1271" s="2164" t="n">
        <v>4.0011</v>
      </c>
      <c r="G1271" s="92">
        <f t="array" ref="G1271">IF(B1271="insumo",_xlfn.XLOOKUP($D1271,Insumos!$B$1:$B$996,Insumos!$D$1:$D$996),"")</f>
        <v/>
      </c>
      <c r="H1271" s="92" t="n">
        <v>31.928778</v>
      </c>
      <c r="I1271" s="2165" t="n">
        <v>0</v>
      </c>
      <c r="J1271" s="2165" t="n">
        <v>0</v>
      </c>
      <c r="K1271" s="2165" t="n"/>
    </row>
    <row r="1272" outlineLevel="3" ht="12.75" customHeight="1">
      <c r="A1272" s="82" t="n">
        <v>95</v>
      </c>
      <c r="B1272" s="82" t="inlineStr">
        <is>
          <t>Insumo</t>
        </is>
      </c>
      <c r="C1272" s="82" t="inlineStr">
        <is>
          <t>Parede Com Sistema Em Chapas De Gesso Para Drywall, Uso Interno, Montante 70mm, Com Duas Face Simples Standart (ST/70/ST)</t>
        </is>
      </c>
      <c r="D1272" s="82" t="inlineStr">
        <is>
          <t>MASSA DE REJUNTE EM PO PARA DRYWALL, A BASE DE GESSO, SECAGEM RAPIDA, PARA TRATAMENTO DE JUNTAS DE CHAPA DE GESSO (NECESSITA ADICAO DE AGUA)</t>
        </is>
      </c>
      <c r="E1272" s="11">
        <f t="array" ref="E1272">_xlfn.XLOOKUP(D1272,Insumos!B:B,Insumos!C:$C)</f>
        <v/>
      </c>
      <c r="F1272" s="2164" t="n">
        <v>1.0978</v>
      </c>
      <c r="G1272" s="92">
        <f t="array" ref="G1272">IF(B1272="insumo",_xlfn.XLOOKUP($D1272,Insumos!$B$1:$B$996,Insumos!$D$1:$D$996),"")</f>
        <v/>
      </c>
      <c r="H1272" s="92" t="n">
        <v>3.765454</v>
      </c>
      <c r="I1272" s="2165" t="n">
        <v>0</v>
      </c>
      <c r="J1272" s="2165" t="n">
        <v>0</v>
      </c>
      <c r="K1272" s="2165" t="n"/>
    </row>
    <row r="1273" outlineLevel="3" ht="12.75" customHeight="1">
      <c r="A1273" s="82" t="n">
        <v>94</v>
      </c>
      <c r="B1273" s="82" t="inlineStr">
        <is>
          <t>Insumo</t>
        </is>
      </c>
      <c r="C1273" s="82" t="inlineStr">
        <is>
          <t>Parede Com Sistema Em Chapas De Gesso Para Drywall, Uso Interno, Montante 70mm, Com Duas Face Simples Standart (ST/70/ST)</t>
        </is>
      </c>
      <c r="D1273" s="82" t="inlineStr">
        <is>
          <t>FITA DE PAPEL MICROPERFURADO, 50 X 150 MM, PARA TRATAMENTO DE JUNTAS DE CHAPA DE GESSO PARA DRYWALL</t>
        </is>
      </c>
      <c r="E1273" s="11">
        <f t="array" ref="E1273">_xlfn.XLOOKUP(D1273,Insumos!B:B,Insumos!C:$C)</f>
        <v/>
      </c>
      <c r="F1273" s="2164" t="n">
        <v>2.5027</v>
      </c>
      <c r="G1273" s="92">
        <f t="array" ref="G1273">IF(B1273="insumo",_xlfn.XLOOKUP($D1273,Insumos!$B$1:$B$996,Insumos!$D$1:$D$996),"")</f>
        <v/>
      </c>
      <c r="H1273" s="92" t="n">
        <v>0.775837</v>
      </c>
      <c r="I1273" s="2165" t="n">
        <v>0</v>
      </c>
      <c r="J1273" s="2165" t="n">
        <v>0</v>
      </c>
      <c r="K1273" s="2165" t="n"/>
    </row>
    <row r="1274" outlineLevel="3" ht="12.75" customHeight="1">
      <c r="A1274" s="82" t="n">
        <v>94</v>
      </c>
      <c r="B1274" s="82" t="inlineStr">
        <is>
          <t>Insumo</t>
        </is>
      </c>
      <c r="C1274" s="82" t="inlineStr">
        <is>
          <t>Parede Com Sistema Em Chapas De Gesso Para Drywall, Uso Interno, Montante 70mm, Com Duas Face Simples Standart (ST/70/ST)</t>
        </is>
      </c>
      <c r="D1274" s="82" t="inlineStr">
        <is>
          <t>FITA DE PAPEL REFORCADA COM LAMINA DE METAL PARA REFORCO DE CANTOS DE CHAPA DE GESSO PARA DRYWALL</t>
        </is>
      </c>
      <c r="E1274" s="11">
        <f t="array" ref="E1274">_xlfn.XLOOKUP(D1274,Insumos!B:B,Insumos!C:$C)</f>
        <v/>
      </c>
      <c r="F1274" s="2164" t="n">
        <v>1.4815</v>
      </c>
      <c r="G1274" s="92">
        <f t="array" ref="G1274">IF(B1274="insumo",_xlfn.XLOOKUP($D1274,Insumos!$B$1:$B$996,Insumos!$D$1:$D$996),"")</f>
        <v/>
      </c>
      <c r="H1274" s="92" t="n">
        <v>4.05931</v>
      </c>
      <c r="I1274" s="2165" t="n">
        <v>0</v>
      </c>
      <c r="J1274" s="2165" t="n">
        <v>0</v>
      </c>
      <c r="K1274" s="2165" t="n"/>
    </row>
    <row r="1275" outlineLevel="3" ht="12.75" customHeight="1">
      <c r="A1275" s="82" t="n">
        <v>97</v>
      </c>
      <c r="B1275" s="82" t="inlineStr">
        <is>
          <t>Insumo</t>
        </is>
      </c>
      <c r="C1275" s="82" t="inlineStr">
        <is>
          <t>Parede Com Sistema Em Chapas De Gesso Para Drywall, Uso Interno, Montante 70mm, Com Duas Face Simples Standart (ST/70/ST)</t>
        </is>
      </c>
      <c r="D1275" s="82" t="inlineStr">
        <is>
          <t>PARAFUSO DRY WALL, EM ACO FOSFATIZADO, CABECA TROMBETA E PONTA AGULHA (TA), COMPRIMENTO 25 MM</t>
        </is>
      </c>
      <c r="E1275" s="11">
        <f t="array" ref="E1275">_xlfn.XLOOKUP(D1275,Insumos!B:B,Insumos!C:$C)</f>
        <v/>
      </c>
      <c r="F1275" s="2164" t="n">
        <v>20.1868</v>
      </c>
      <c r="G1275" s="92">
        <f t="array" ref="G1275">IF(B1275="insumo",_xlfn.XLOOKUP($D1275,Insumos!$B$1:$B$996,Insumos!$D$1:$D$996),"")</f>
        <v/>
      </c>
      <c r="H1275" s="92" t="n">
        <v>1.816812</v>
      </c>
      <c r="I1275" s="2165" t="n">
        <v>0</v>
      </c>
      <c r="J1275" s="2165" t="n">
        <v>0</v>
      </c>
      <c r="K1275" s="2165" t="n"/>
    </row>
    <row r="1276" outlineLevel="3" ht="12.75" customHeight="1">
      <c r="A1276" s="82" t="n">
        <v>95</v>
      </c>
      <c r="B1276" s="82" t="inlineStr">
        <is>
          <t>Insumo</t>
        </is>
      </c>
      <c r="C1276" s="82" t="inlineStr">
        <is>
          <t>Parede Com Sistema Em Chapas De Gesso Para Drywall, Uso Interno, Montante 70mm, Com Duas Face Simples Standart (ST/70/ST)</t>
        </is>
      </c>
      <c r="D1276" s="82" t="inlineStr">
        <is>
          <t>PARAFUSO DRY WALL, EM ACO ZINCADO, CABECA LENTILHA E PONTA BROCA (LB), LARGURA 4,2 MM, COMPRIMENTO 13 MM</t>
        </is>
      </c>
      <c r="E1276" s="11">
        <f t="array" ref="E1276">_xlfn.XLOOKUP(D1276,Insumos!B:B,Insumos!C:$C)</f>
        <v/>
      </c>
      <c r="F1276" s="2164" t="n">
        <v>0.4803</v>
      </c>
      <c r="G1276" s="92">
        <f t="array" ref="G1276">IF(B1276="insumo",_xlfn.XLOOKUP($D1276,Insumos!$B$1:$B$996,Insumos!$D$1:$D$996),"")</f>
        <v/>
      </c>
      <c r="H1276" s="92" t="n">
        <v>0.09606000000000001</v>
      </c>
      <c r="I1276" s="2165" t="n">
        <v>0</v>
      </c>
      <c r="J1276" s="2165" t="n">
        <v>0</v>
      </c>
      <c r="K1276" s="2165" t="n"/>
    </row>
    <row r="1277" outlineLevel="2" ht="12.75" customHeight="1">
      <c r="A1277" s="1071" t="n">
        <v>1</v>
      </c>
      <c r="B1277" s="1071" t="inlineStr">
        <is>
          <t>Serviço</t>
        </is>
      </c>
      <c r="C1277" s="1071" t="inlineStr">
        <is>
          <t>Parede Com Sistema Em Chapas De Gesso Para Drywall, Uso Interno, Montante 70mm, Com Duas Face Resistente a Umidade(RU/70/RU)</t>
        </is>
      </c>
      <c r="D1277" s="1071" t="inlineStr">
        <is>
          <t>Parede Com Sistema Em Chapas De Gesso Para Drywall, Uso Interno, Montante 70mm, Com Duas Face Resistente a Umidade(RU/70/RU)</t>
        </is>
      </c>
      <c r="E1277" s="1072" t="inlineStr">
        <is>
          <t>M2</t>
        </is>
      </c>
      <c r="F1277" s="1071" t="n"/>
      <c r="G1277" s="1073">
        <f t="array" ref="G1277">IF(B1277="insumo",_xlfn.XLOOKUP($D1277,Insumos!$B$1:$B$996,Insumos!$D$1:$D$996),"")</f>
        <v/>
      </c>
      <c r="H1277" s="1073" t="n">
        <v>183.384659</v>
      </c>
      <c r="I1277" s="2163" t="n">
        <v>0</v>
      </c>
      <c r="J1277" s="2163" t="n">
        <v>0</v>
      </c>
      <c r="K1277" s="2163" t="n"/>
    </row>
    <row r="1278" outlineLevel="3" ht="12.75" customHeight="1">
      <c r="A1278" s="82" t="n">
        <v>86</v>
      </c>
      <c r="B1278" s="82" t="inlineStr">
        <is>
          <t>Insumo</t>
        </is>
      </c>
      <c r="C1278" s="82" t="inlineStr">
        <is>
          <t>Parede Com Sistema Em Chapas De Gesso Para Drywall, Uso Interno, Montante 70mm, Com Duas Face Resistente a Umidade(RU/70/RU)</t>
        </is>
      </c>
      <c r="D1278" s="82" t="inlineStr">
        <is>
          <t>SERVICO - CONFECCAO SHAFT GESSO</t>
        </is>
      </c>
      <c r="E1278" s="11">
        <f t="array" ref="E1278">_xlfn.XLOOKUP(D1278,Insumos!B:B,Insumos!C:$C)</f>
        <v/>
      </c>
      <c r="F1278" s="2164" t="n">
        <v>1</v>
      </c>
      <c r="G1278" s="92">
        <f t="array" ref="G1278">IF(B1278="insumo",_xlfn.XLOOKUP($D1278,Insumos!$B$1:$B$996,Insumos!$D$1:$D$996),"")</f>
        <v/>
      </c>
      <c r="H1278" s="92" t="n">
        <v>70</v>
      </c>
      <c r="I1278" s="2165" t="n">
        <v>0</v>
      </c>
      <c r="J1278" s="2165" t="n">
        <v>0</v>
      </c>
      <c r="K1278" s="2165" t="n"/>
    </row>
    <row r="1279" outlineLevel="3" ht="12.75" customHeight="1">
      <c r="A1279" s="82" t="n">
        <v>49</v>
      </c>
      <c r="B1279" s="82" t="inlineStr">
        <is>
          <t>Insumo</t>
        </is>
      </c>
      <c r="C1279" s="82" t="inlineStr">
        <is>
          <t>Parede Com Sistema Em Chapas De Gesso Para Drywall, Uso Interno, Montante 70mm, Com Duas Face Resistente a Umidade(RU/70/RU)</t>
        </is>
      </c>
      <c r="D1279" s="82" t="inlineStr">
        <is>
          <t>PLACA / CHAPA DE GESSO ACARTONADO, RESISTENTE A UMIDADE (RU), COR VERDE, E = 12,5 MM, 1200 X 2400 MM (L X C)</t>
        </is>
      </c>
      <c r="E1279" s="11">
        <f t="array" ref="E1279">_xlfn.XLOOKUP(D1279,Insumos!B:B,Insumos!C:$C)</f>
        <v/>
      </c>
      <c r="F1279" s="2164" t="n">
        <v>2.106</v>
      </c>
      <c r="G1279" s="92">
        <f t="array" ref="G1279">IF(B1279="insumo",_xlfn.XLOOKUP($D1279,Insumos!$B$1:$B$996,Insumos!$D$1:$D$996),"")</f>
        <v/>
      </c>
      <c r="H1279" s="92" t="n">
        <v>57.0726</v>
      </c>
      <c r="I1279" s="2165" t="n">
        <v>0</v>
      </c>
      <c r="J1279" s="2165" t="n">
        <v>0</v>
      </c>
      <c r="K1279" s="2165" t="n"/>
    </row>
    <row r="1280" outlineLevel="3" ht="12.75" customHeight="1">
      <c r="A1280" s="82" t="n">
        <v>95</v>
      </c>
      <c r="B1280" s="82" t="inlineStr">
        <is>
          <t>Insumo</t>
        </is>
      </c>
      <c r="C1280" s="82" t="inlineStr">
        <is>
          <t>Parede Com Sistema Em Chapas De Gesso Para Drywall, Uso Interno, Montante 70mm, Com Duas Face Resistente a Umidade(RU/70/RU)</t>
        </is>
      </c>
      <c r="D1280" s="82" t="inlineStr">
        <is>
          <t>PINO DE ACO COM ARRUELA CONICA, DIAMETRO ARRUELA = *23* MM E COMP HASTE = *27* MM (ACAO INDIRETA)</t>
        </is>
      </c>
      <c r="E1280" s="11">
        <f t="array" ref="E1280">_xlfn.XLOOKUP(D1280,Insumos!B:B,Insumos!C:$C)</f>
        <v/>
      </c>
      <c r="F1280" s="2164" t="n">
        <v>4.95</v>
      </c>
      <c r="G1280" s="92">
        <f t="array" ref="G1280">IF(B1280="insumo",_xlfn.XLOOKUP($D1280,Insumos!$B$1:$B$996,Insumos!$D$1:$D$996),"")</f>
        <v/>
      </c>
      <c r="H1280" s="92" t="n">
        <v>2.4948</v>
      </c>
      <c r="I1280" s="2165" t="n">
        <v>0</v>
      </c>
      <c r="J1280" s="2165" t="n">
        <v>0</v>
      </c>
      <c r="K1280" s="2165" t="n"/>
    </row>
    <row r="1281" outlineLevel="3" ht="12.75" customHeight="1">
      <c r="A1281" s="82" t="n">
        <v>43</v>
      </c>
      <c r="B1281" s="82" t="inlineStr">
        <is>
          <t>Insumo</t>
        </is>
      </c>
      <c r="C1281" s="82" t="inlineStr">
        <is>
          <t>Parede Com Sistema Em Chapas De Gesso Para Drywall, Uso Interno, Montante 70mm, Com Duas Face Resistente a Umidade(RU/70/RU)</t>
        </is>
      </c>
      <c r="D1281" s="82" t="inlineStr">
        <is>
          <t>PERFIL GUIA, FORMATO U, EM ACO ZINCADO, PARA ESTRUTURA PAREDE DRYWALL, E = 0,5 MM, 70 X 3000 MM (L X C)</t>
        </is>
      </c>
      <c r="E1281" s="11">
        <f t="array" ref="E1281">_xlfn.XLOOKUP(D1281,Insumos!B:B,Insumos!C:$C)</f>
        <v/>
      </c>
      <c r="F1281" s="2164" t="n">
        <v>1.5248</v>
      </c>
      <c r="G1281" s="92">
        <f t="array" ref="G1281">IF(B1281="insumo",_xlfn.XLOOKUP($D1281,Insumos!$B$1:$B$996,Insumos!$D$1:$D$996),"")</f>
        <v/>
      </c>
      <c r="H1281" s="92" t="n">
        <v>11.375008</v>
      </c>
      <c r="I1281" s="2165" t="n">
        <v>0</v>
      </c>
      <c r="J1281" s="2165" t="n">
        <v>0</v>
      </c>
      <c r="K1281" s="2165" t="n"/>
    </row>
    <row r="1282" outlineLevel="3" ht="12.75" customHeight="1">
      <c r="A1282" s="82" t="n">
        <v>43</v>
      </c>
      <c r="B1282" s="82" t="inlineStr">
        <is>
          <t>Insumo</t>
        </is>
      </c>
      <c r="C1282" s="82" t="inlineStr">
        <is>
          <t>Parede Com Sistema Em Chapas De Gesso Para Drywall, Uso Interno, Montante 70mm, Com Duas Face Resistente a Umidade(RU/70/RU)</t>
        </is>
      </c>
      <c r="D1282" s="82" t="inlineStr">
        <is>
          <t>PERFIL MONTANTE, FORMATO C, EM ACO ZINCADO, PARA ESTRUTURA PAREDE DRYWALL, E = 0,5 MM, 70 X 3000 MM (L X C)</t>
        </is>
      </c>
      <c r="E1282" s="11">
        <f t="array" ref="E1282">_xlfn.XLOOKUP(D1282,Insumos!B:B,Insumos!C:$C)</f>
        <v/>
      </c>
      <c r="F1282" s="2164" t="n">
        <v>4.0011</v>
      </c>
      <c r="G1282" s="92">
        <f t="array" ref="G1282">IF(B1282="insumo",_xlfn.XLOOKUP($D1282,Insumos!$B$1:$B$996,Insumos!$D$1:$D$996),"")</f>
        <v/>
      </c>
      <c r="H1282" s="92" t="n">
        <v>31.928778</v>
      </c>
      <c r="I1282" s="2165" t="n">
        <v>0</v>
      </c>
      <c r="J1282" s="2165" t="n">
        <v>0</v>
      </c>
      <c r="K1282" s="2165" t="n"/>
    </row>
    <row r="1283" outlineLevel="3" ht="12.75" customHeight="1">
      <c r="A1283" s="82" t="n">
        <v>95</v>
      </c>
      <c r="B1283" s="82" t="inlineStr">
        <is>
          <t>Insumo</t>
        </is>
      </c>
      <c r="C1283" s="82" t="inlineStr">
        <is>
          <t>Parede Com Sistema Em Chapas De Gesso Para Drywall, Uso Interno, Montante 70mm, Com Duas Face Resistente a Umidade(RU/70/RU)</t>
        </is>
      </c>
      <c r="D1283" s="82" t="inlineStr">
        <is>
          <t>MASSA DE REJUNTE EM PO PARA DRYWALL, A BASE DE GESSO, SECAGEM RAPIDA, PARA TRATAMENTO DE JUNTAS DE CHAPA DE GESSO (NECESSITA ADICAO DE AGUA)</t>
        </is>
      </c>
      <c r="E1283" s="11">
        <f t="array" ref="E1283">_xlfn.XLOOKUP(D1283,Insumos!B:B,Insumos!C:$C)</f>
        <v/>
      </c>
      <c r="F1283" s="2164" t="n">
        <v>1.0978</v>
      </c>
      <c r="G1283" s="92">
        <f t="array" ref="G1283">IF(B1283="insumo",_xlfn.XLOOKUP($D1283,Insumos!$B$1:$B$996,Insumos!$D$1:$D$996),"")</f>
        <v/>
      </c>
      <c r="H1283" s="92" t="n">
        <v>3.765454</v>
      </c>
      <c r="I1283" s="2165" t="n">
        <v>0</v>
      </c>
      <c r="J1283" s="2165" t="n">
        <v>0</v>
      </c>
      <c r="K1283" s="2165" t="n"/>
    </row>
    <row r="1284" outlineLevel="3" ht="12.75" customHeight="1">
      <c r="A1284" s="82" t="n">
        <v>94</v>
      </c>
      <c r="B1284" s="82" t="inlineStr">
        <is>
          <t>Insumo</t>
        </is>
      </c>
      <c r="C1284" s="82" t="inlineStr">
        <is>
          <t>Parede Com Sistema Em Chapas De Gesso Para Drywall, Uso Interno, Montante 70mm, Com Duas Face Resistente a Umidade(RU/70/RU)</t>
        </is>
      </c>
      <c r="D1284" s="82" t="inlineStr">
        <is>
          <t>FITA DE PAPEL MICROPERFURADO, 50 X 150 MM, PARA TRATAMENTO DE JUNTAS DE CHAPA DE GESSO PARA DRYWALL</t>
        </is>
      </c>
      <c r="E1284" s="11">
        <f t="array" ref="E1284">_xlfn.XLOOKUP(D1284,Insumos!B:B,Insumos!C:$C)</f>
        <v/>
      </c>
      <c r="F1284" s="2164" t="n">
        <v>2.5027</v>
      </c>
      <c r="G1284" s="92">
        <f t="array" ref="G1284">IF(B1284="insumo",_xlfn.XLOOKUP($D1284,Insumos!$B$1:$B$996,Insumos!$D$1:$D$996),"")</f>
        <v/>
      </c>
      <c r="H1284" s="92" t="n">
        <v>0.775837</v>
      </c>
      <c r="I1284" s="2165" t="n">
        <v>0</v>
      </c>
      <c r="J1284" s="2165" t="n">
        <v>0</v>
      </c>
      <c r="K1284" s="2165" t="n"/>
    </row>
    <row r="1285" outlineLevel="3" ht="12.75" customHeight="1">
      <c r="A1285" s="82" t="n">
        <v>94</v>
      </c>
      <c r="B1285" s="82" t="inlineStr">
        <is>
          <t>Insumo</t>
        </is>
      </c>
      <c r="C1285" s="82" t="inlineStr">
        <is>
          <t>Parede Com Sistema Em Chapas De Gesso Para Drywall, Uso Interno, Montante 70mm, Com Duas Face Resistente a Umidade(RU/70/RU)</t>
        </is>
      </c>
      <c r="D1285" s="82" t="inlineStr">
        <is>
          <t>FITA DE PAPEL REFORCADA COM LAMINA DE METAL PARA REFORCO DE CANTOS DE CHAPA DE GESSO PARA DRYWALL</t>
        </is>
      </c>
      <c r="E1285" s="11">
        <f t="array" ref="E1285">_xlfn.XLOOKUP(D1285,Insumos!B:B,Insumos!C:$C)</f>
        <v/>
      </c>
      <c r="F1285" s="2164" t="n">
        <v>1.4815</v>
      </c>
      <c r="G1285" s="92">
        <f t="array" ref="G1285">IF(B1285="insumo",_xlfn.XLOOKUP($D1285,Insumos!$B$1:$B$996,Insumos!$D$1:$D$996),"")</f>
        <v/>
      </c>
      <c r="H1285" s="92" t="n">
        <v>4.05931</v>
      </c>
      <c r="I1285" s="2165" t="n">
        <v>0</v>
      </c>
      <c r="J1285" s="2165" t="n">
        <v>0</v>
      </c>
      <c r="K1285" s="2165" t="n"/>
    </row>
    <row r="1286" outlineLevel="3" ht="12.75" customHeight="1">
      <c r="A1286" s="82" t="n">
        <v>97</v>
      </c>
      <c r="B1286" s="82" t="inlineStr">
        <is>
          <t>Insumo</t>
        </is>
      </c>
      <c r="C1286" s="82" t="inlineStr">
        <is>
          <t>Parede Com Sistema Em Chapas De Gesso Para Drywall, Uso Interno, Montante 70mm, Com Duas Face Resistente a Umidade(RU/70/RU)</t>
        </is>
      </c>
      <c r="D1286" s="82" t="inlineStr">
        <is>
          <t>PARAFUSO DRY WALL, EM ACO FOSFATIZADO, CABECA TROMBETA E PONTA AGULHA (TA), COMPRIMENTO 25 MM</t>
        </is>
      </c>
      <c r="E1286" s="11">
        <f t="array" ref="E1286">_xlfn.XLOOKUP(D1286,Insumos!B:B,Insumos!C:$C)</f>
        <v/>
      </c>
      <c r="F1286" s="2164" t="n">
        <v>20.1868</v>
      </c>
      <c r="G1286" s="92">
        <f t="array" ref="G1286">IF(B1286="insumo",_xlfn.XLOOKUP($D1286,Insumos!$B$1:$B$996,Insumos!$D$1:$D$996),"")</f>
        <v/>
      </c>
      <c r="H1286" s="92" t="n">
        <v>1.816812</v>
      </c>
      <c r="I1286" s="2165" t="n">
        <v>0</v>
      </c>
      <c r="J1286" s="2165" t="n">
        <v>0</v>
      </c>
      <c r="K1286" s="2165" t="n"/>
    </row>
    <row r="1287" outlineLevel="3" ht="12.75" customHeight="1">
      <c r="A1287" s="82" t="n">
        <v>95</v>
      </c>
      <c r="B1287" s="82" t="inlineStr">
        <is>
          <t>Insumo</t>
        </is>
      </c>
      <c r="C1287" s="82" t="inlineStr">
        <is>
          <t>Parede Com Sistema Em Chapas De Gesso Para Drywall, Uso Interno, Montante 70mm, Com Duas Face Resistente a Umidade(RU/70/RU)</t>
        </is>
      </c>
      <c r="D1287" s="82" t="inlineStr">
        <is>
          <t>PARAFUSO DRY WALL, EM ACO ZINCADO, CABECA LENTILHA E PONTA BROCA (LB), LARGURA 4,2 MM, COMPRIMENTO 13 MM</t>
        </is>
      </c>
      <c r="E1287" s="11">
        <f t="array" ref="E1287">_xlfn.XLOOKUP(D1287,Insumos!B:B,Insumos!C:$C)</f>
        <v/>
      </c>
      <c r="F1287" s="2164" t="n">
        <v>0.4803</v>
      </c>
      <c r="G1287" s="92">
        <f t="array" ref="G1287">IF(B1287="insumo",_xlfn.XLOOKUP($D1287,Insumos!$B$1:$B$996,Insumos!$D$1:$D$996),"")</f>
        <v/>
      </c>
      <c r="H1287" s="92" t="n">
        <v>0.09606000000000001</v>
      </c>
      <c r="I1287" s="2165" t="n">
        <v>0</v>
      </c>
      <c r="J1287" s="2165" t="n">
        <v>0</v>
      </c>
      <c r="K1287" s="2165" t="n"/>
    </row>
    <row r="1288" outlineLevel="2" ht="12.75" customHeight="1">
      <c r="A1288" s="1071" t="n">
        <v>1</v>
      </c>
      <c r="B1288" s="1071" t="inlineStr">
        <is>
          <t>Serviço</t>
        </is>
      </c>
      <c r="C1288" s="1071" t="inlineStr">
        <is>
          <t>Parede Com Sistema Em Chapas De Gesso Para Drywall, Uso Interno, Montante 70mm, Com Uma Face Standart e Uma Face Resistente a Umidade(RU/70/ST)</t>
        </is>
      </c>
      <c r="D1288" s="1071" t="inlineStr">
        <is>
          <t>Parede Com Sistema Em Chapas De Gesso Para Drywall, Uso Interno, Montante 70mm, Com Uma Face Standart e Uma Face Resistente a Umidade(RU/70/ST)</t>
        </is>
      </c>
      <c r="E1288" s="1072" t="inlineStr">
        <is>
          <t>M2</t>
        </is>
      </c>
      <c r="F1288" s="1071" t="n"/>
      <c r="G1288" s="1073">
        <f t="array" ref="G1288">IF(B1288="insumo",_xlfn.XLOOKUP($D1288,Insumos!$B$1:$B$996,Insumos!$D$1:$D$996),"")</f>
        <v/>
      </c>
      <c r="H1288" s="1073" t="n">
        <v>176.076839</v>
      </c>
      <c r="I1288" s="2163" t="n">
        <v>0</v>
      </c>
      <c r="J1288" s="2163" t="n">
        <v>0</v>
      </c>
      <c r="K1288" s="2163" t="n"/>
    </row>
    <row r="1289" outlineLevel="3" ht="12.75" customHeight="1">
      <c r="A1289" s="82" t="n">
        <v>86</v>
      </c>
      <c r="B1289" s="82" t="inlineStr">
        <is>
          <t>Insumo</t>
        </is>
      </c>
      <c r="C1289" s="82" t="inlineStr">
        <is>
          <t>Parede Com Sistema Em Chapas De Gesso Para Drywall, Uso Interno, Montante 70mm, Com Uma Face Standart e Uma Face Resistente a Umidade(RU/70/ST)</t>
        </is>
      </c>
      <c r="D1289" s="82" t="inlineStr">
        <is>
          <t>SERVICO - CONFECCAO SHAFT GESSO</t>
        </is>
      </c>
      <c r="E1289" s="11">
        <f t="array" ref="E1289">_xlfn.XLOOKUP(D1289,Insumos!B:B,Insumos!C:$C)</f>
        <v/>
      </c>
      <c r="F1289" s="2164" t="n">
        <v>1</v>
      </c>
      <c r="G1289" s="92">
        <f t="array" ref="G1289">IF(B1289="insumo",_xlfn.XLOOKUP($D1289,Insumos!$B$1:$B$996,Insumos!$D$1:$D$996),"")</f>
        <v/>
      </c>
      <c r="H1289" s="92" t="n">
        <v>70</v>
      </c>
      <c r="I1289" s="2165" t="n">
        <v>0</v>
      </c>
      <c r="J1289" s="2165" t="n">
        <v>0</v>
      </c>
      <c r="K1289" s="2165" t="n"/>
    </row>
    <row r="1290" outlineLevel="3" ht="12.75" customHeight="1">
      <c r="A1290" s="82" t="n">
        <v>47</v>
      </c>
      <c r="B1290" s="82" t="inlineStr">
        <is>
          <t>Insumo</t>
        </is>
      </c>
      <c r="C1290" s="82" t="inlineStr">
        <is>
          <t>Parede Com Sistema Em Chapas De Gesso Para Drywall, Uso Interno, Montante 70mm, Com Uma Face Standart e Uma Face Resistente a Umidade(RU/70/ST)</t>
        </is>
      </c>
      <c r="D1290" s="82" t="inlineStr">
        <is>
          <t>PLACA / CHAPA DE GESSO ACARTONADO, STANDARD (ST), COR BRANCA, E = 12,5 MM, 1200 X 2400 MM (L X C)</t>
        </is>
      </c>
      <c r="E1290" s="11">
        <f t="array" ref="E1290">_xlfn.XLOOKUP(D1290,Insumos!B:B,Insumos!C:$C)</f>
        <v/>
      </c>
      <c r="F1290" s="2164" t="n">
        <v>1.053</v>
      </c>
      <c r="G1290" s="92">
        <f t="array" ref="G1290">IF(B1290="insumo",_xlfn.XLOOKUP($D1290,Insumos!$B$1:$B$996,Insumos!$D$1:$D$996),"")</f>
        <v/>
      </c>
      <c r="H1290" s="92" t="n">
        <v>21.22848</v>
      </c>
      <c r="I1290" s="2165" t="n">
        <v>0</v>
      </c>
      <c r="J1290" s="2165" t="n">
        <v>0</v>
      </c>
      <c r="K1290" s="2165" t="n"/>
    </row>
    <row r="1291" outlineLevel="3" ht="12.75" customHeight="1">
      <c r="A1291" s="82" t="n">
        <v>49</v>
      </c>
      <c r="B1291" s="82" t="inlineStr">
        <is>
          <t>Insumo</t>
        </is>
      </c>
      <c r="C1291" s="82" t="inlineStr">
        <is>
          <t>Parede Com Sistema Em Chapas De Gesso Para Drywall, Uso Interno, Montante 70mm, Com Uma Face Standart e Uma Face Resistente a Umidade(RU/70/ST)</t>
        </is>
      </c>
      <c r="D1291" s="82" t="inlineStr">
        <is>
          <t>PLACA / CHAPA DE GESSO ACARTONADO, RESISTENTE A UMIDADE (RU), COR VERDE, E = 12,5 MM, 1200 X 2400 MM (L X C)</t>
        </is>
      </c>
      <c r="E1291" s="11">
        <f t="array" ref="E1291">_xlfn.XLOOKUP(D1291,Insumos!B:B,Insumos!C:$C)</f>
        <v/>
      </c>
      <c r="F1291" s="2164" t="n">
        <v>1.053</v>
      </c>
      <c r="G1291" s="92">
        <f t="array" ref="G1291">IF(B1291="insumo",_xlfn.XLOOKUP($D1291,Insumos!$B$1:$B$996,Insumos!$D$1:$D$996),"")</f>
        <v/>
      </c>
      <c r="H1291" s="92" t="n">
        <v>28.5363</v>
      </c>
      <c r="I1291" s="2165" t="n">
        <v>0</v>
      </c>
      <c r="J1291" s="2165" t="n">
        <v>0</v>
      </c>
      <c r="K1291" s="2165" t="n"/>
    </row>
    <row r="1292" outlineLevel="3" ht="12.75" customHeight="1">
      <c r="A1292" s="82" t="n">
        <v>95</v>
      </c>
      <c r="B1292" s="82" t="inlineStr">
        <is>
          <t>Insumo</t>
        </is>
      </c>
      <c r="C1292" s="82" t="inlineStr">
        <is>
          <t>Parede Com Sistema Em Chapas De Gesso Para Drywall, Uso Interno, Montante 70mm, Com Uma Face Standart e Uma Face Resistente a Umidade(RU/70/ST)</t>
        </is>
      </c>
      <c r="D1292" s="82" t="inlineStr">
        <is>
          <t>PINO DE ACO COM ARRUELA CONICA, DIAMETRO ARRUELA = *23* MM E COMP HASTE = *27* MM (ACAO INDIRETA)</t>
        </is>
      </c>
      <c r="E1292" s="11">
        <f t="array" ref="E1292">_xlfn.XLOOKUP(D1292,Insumos!B:B,Insumos!C:$C)</f>
        <v/>
      </c>
      <c r="F1292" s="2164" t="n">
        <v>4.95</v>
      </c>
      <c r="G1292" s="92">
        <f t="array" ref="G1292">IF(B1292="insumo",_xlfn.XLOOKUP($D1292,Insumos!$B$1:$B$996,Insumos!$D$1:$D$996),"")</f>
        <v/>
      </c>
      <c r="H1292" s="92" t="n">
        <v>2.4948</v>
      </c>
      <c r="I1292" s="2165" t="n">
        <v>0</v>
      </c>
      <c r="J1292" s="2165" t="n">
        <v>0</v>
      </c>
      <c r="K1292" s="2165" t="n"/>
    </row>
    <row r="1293" outlineLevel="3" ht="12.75" customHeight="1">
      <c r="A1293" s="82" t="n">
        <v>43</v>
      </c>
      <c r="B1293" s="82" t="inlineStr">
        <is>
          <t>Insumo</t>
        </is>
      </c>
      <c r="C1293" s="82" t="inlineStr">
        <is>
          <t>Parede Com Sistema Em Chapas De Gesso Para Drywall, Uso Interno, Montante 70mm, Com Uma Face Standart e Uma Face Resistente a Umidade(RU/70/ST)</t>
        </is>
      </c>
      <c r="D1293" s="82" t="inlineStr">
        <is>
          <t>PERFIL GUIA, FORMATO U, EM ACO ZINCADO, PARA ESTRUTURA PAREDE DRYWALL, E = 0,5 MM, 70 X 3000 MM (L X C)</t>
        </is>
      </c>
      <c r="E1293" s="11">
        <f t="array" ref="E1293">_xlfn.XLOOKUP(D1293,Insumos!B:B,Insumos!C:$C)</f>
        <v/>
      </c>
      <c r="F1293" s="2164" t="n">
        <v>1.5248</v>
      </c>
      <c r="G1293" s="92">
        <f t="array" ref="G1293">IF(B1293="insumo",_xlfn.XLOOKUP($D1293,Insumos!$B$1:$B$996,Insumos!$D$1:$D$996),"")</f>
        <v/>
      </c>
      <c r="H1293" s="92" t="n">
        <v>11.375008</v>
      </c>
      <c r="I1293" s="2165" t="n">
        <v>0</v>
      </c>
      <c r="J1293" s="2165" t="n">
        <v>0</v>
      </c>
      <c r="K1293" s="2165" t="n"/>
    </row>
    <row r="1294" outlineLevel="3" ht="12.75" customHeight="1">
      <c r="A1294" s="82" t="n">
        <v>43</v>
      </c>
      <c r="B1294" s="82" t="inlineStr">
        <is>
          <t>Insumo</t>
        </is>
      </c>
      <c r="C1294" s="82" t="inlineStr">
        <is>
          <t>Parede Com Sistema Em Chapas De Gesso Para Drywall, Uso Interno, Montante 70mm, Com Uma Face Standart e Uma Face Resistente a Umidade(RU/70/ST)</t>
        </is>
      </c>
      <c r="D1294" s="82" t="inlineStr">
        <is>
          <t>PERFIL MONTANTE, FORMATO C, EM ACO ZINCADO, PARA ESTRUTURA PAREDE DRYWALL, E = 0,5 MM, 70 X 3000 MM (L X C)</t>
        </is>
      </c>
      <c r="E1294" s="11">
        <f t="array" ref="E1294">_xlfn.XLOOKUP(D1294,Insumos!B:B,Insumos!C:$C)</f>
        <v/>
      </c>
      <c r="F1294" s="2164" t="n">
        <v>4.0011</v>
      </c>
      <c r="G1294" s="92">
        <f t="array" ref="G1294">IF(B1294="insumo",_xlfn.XLOOKUP($D1294,Insumos!$B$1:$B$996,Insumos!$D$1:$D$996),"")</f>
        <v/>
      </c>
      <c r="H1294" s="92" t="n">
        <v>31.928778</v>
      </c>
      <c r="I1294" s="2165" t="n">
        <v>0</v>
      </c>
      <c r="J1294" s="2165" t="n">
        <v>0</v>
      </c>
      <c r="K1294" s="2165" t="n"/>
    </row>
    <row r="1295" outlineLevel="3" ht="12.75" customHeight="1">
      <c r="A1295" s="82" t="n">
        <v>95</v>
      </c>
      <c r="B1295" s="82" t="inlineStr">
        <is>
          <t>Insumo</t>
        </is>
      </c>
      <c r="C1295" s="82" t="inlineStr">
        <is>
          <t>Parede Com Sistema Em Chapas De Gesso Para Drywall, Uso Interno, Montante 70mm, Com Uma Face Standart e Uma Face Resistente a Umidade(RU/70/ST)</t>
        </is>
      </c>
      <c r="D1295" s="82" t="inlineStr">
        <is>
          <t>MASSA DE REJUNTE EM PO PARA DRYWALL, A BASE DE GESSO, SECAGEM RAPIDA, PARA TRATAMENTO DE JUNTAS DE CHAPA DE GESSO (NECESSITA ADICAO DE AGUA)</t>
        </is>
      </c>
      <c r="E1295" s="11">
        <f t="array" ref="E1295">_xlfn.XLOOKUP(D1295,Insumos!B:B,Insumos!C:$C)</f>
        <v/>
      </c>
      <c r="F1295" s="2164" t="n">
        <v>1.0978</v>
      </c>
      <c r="G1295" s="92">
        <f t="array" ref="G1295">IF(B1295="insumo",_xlfn.XLOOKUP($D1295,Insumos!$B$1:$B$996,Insumos!$D$1:$D$996),"")</f>
        <v/>
      </c>
      <c r="H1295" s="92" t="n">
        <v>3.765454</v>
      </c>
      <c r="I1295" s="2165" t="n">
        <v>0</v>
      </c>
      <c r="J1295" s="2165" t="n">
        <v>0</v>
      </c>
      <c r="K1295" s="2165" t="n"/>
    </row>
    <row r="1296" outlineLevel="3" ht="12.75" customHeight="1">
      <c r="A1296" s="82" t="n">
        <v>94</v>
      </c>
      <c r="B1296" s="82" t="inlineStr">
        <is>
          <t>Insumo</t>
        </is>
      </c>
      <c r="C1296" s="82" t="inlineStr">
        <is>
          <t>Parede Com Sistema Em Chapas De Gesso Para Drywall, Uso Interno, Montante 70mm, Com Uma Face Standart e Uma Face Resistente a Umidade(RU/70/ST)</t>
        </is>
      </c>
      <c r="D1296" s="82" t="inlineStr">
        <is>
          <t>FITA DE PAPEL MICROPERFURADO, 50 X 150 MM, PARA TRATAMENTO DE JUNTAS DE CHAPA DE GESSO PARA DRYWALL</t>
        </is>
      </c>
      <c r="E1296" s="11">
        <f t="array" ref="E1296">_xlfn.XLOOKUP(D1296,Insumos!B:B,Insumos!C:$C)</f>
        <v/>
      </c>
      <c r="F1296" s="2164" t="n">
        <v>2.5027</v>
      </c>
      <c r="G1296" s="92">
        <f t="array" ref="G1296">IF(B1296="insumo",_xlfn.XLOOKUP($D1296,Insumos!$B$1:$B$996,Insumos!$D$1:$D$996),"")</f>
        <v/>
      </c>
      <c r="H1296" s="92" t="n">
        <v>0.775837</v>
      </c>
      <c r="I1296" s="2165" t="n">
        <v>0</v>
      </c>
      <c r="J1296" s="2165" t="n">
        <v>0</v>
      </c>
      <c r="K1296" s="2165" t="n"/>
    </row>
    <row r="1297" outlineLevel="3" ht="12.75" customHeight="1">
      <c r="A1297" s="82" t="n">
        <v>94</v>
      </c>
      <c r="B1297" s="82" t="inlineStr">
        <is>
          <t>Insumo</t>
        </is>
      </c>
      <c r="C1297" s="82" t="inlineStr">
        <is>
          <t>Parede Com Sistema Em Chapas De Gesso Para Drywall, Uso Interno, Montante 70mm, Com Uma Face Standart e Uma Face Resistente a Umidade(RU/70/ST)</t>
        </is>
      </c>
      <c r="D1297" s="82" t="inlineStr">
        <is>
          <t>FITA DE PAPEL REFORCADA COM LAMINA DE METAL PARA REFORCO DE CANTOS DE CHAPA DE GESSO PARA DRYWALL</t>
        </is>
      </c>
      <c r="E1297" s="11">
        <f t="array" ref="E1297">_xlfn.XLOOKUP(D1297,Insumos!B:B,Insumos!C:$C)</f>
        <v/>
      </c>
      <c r="F1297" s="2164" t="n">
        <v>1.4815</v>
      </c>
      <c r="G1297" s="92">
        <f t="array" ref="G1297">IF(B1297="insumo",_xlfn.XLOOKUP($D1297,Insumos!$B$1:$B$996,Insumos!$D$1:$D$996),"")</f>
        <v/>
      </c>
      <c r="H1297" s="92" t="n">
        <v>4.05931</v>
      </c>
      <c r="I1297" s="2165" t="n">
        <v>0</v>
      </c>
      <c r="J1297" s="2165" t="n">
        <v>0</v>
      </c>
      <c r="K1297" s="2165" t="n"/>
    </row>
    <row r="1298" outlineLevel="3" ht="12.75" customHeight="1">
      <c r="A1298" s="82" t="n">
        <v>97</v>
      </c>
      <c r="B1298" s="82" t="inlineStr">
        <is>
          <t>Insumo</t>
        </is>
      </c>
      <c r="C1298" s="82" t="inlineStr">
        <is>
          <t>Parede Com Sistema Em Chapas De Gesso Para Drywall, Uso Interno, Montante 70mm, Com Uma Face Standart e Uma Face Resistente a Umidade(RU/70/ST)</t>
        </is>
      </c>
      <c r="D1298" s="82" t="inlineStr">
        <is>
          <t>PARAFUSO DRY WALL, EM ACO FOSFATIZADO, CABECA TROMBETA E PONTA AGULHA (TA), COMPRIMENTO 25 MM</t>
        </is>
      </c>
      <c r="E1298" s="11">
        <f t="array" ref="E1298">_xlfn.XLOOKUP(D1298,Insumos!B:B,Insumos!C:$C)</f>
        <v/>
      </c>
      <c r="F1298" s="2164" t="n">
        <v>20.1868</v>
      </c>
      <c r="G1298" s="92">
        <f t="array" ref="G1298">IF(B1298="insumo",_xlfn.XLOOKUP($D1298,Insumos!$B$1:$B$996,Insumos!$D$1:$D$996),"")</f>
        <v/>
      </c>
      <c r="H1298" s="92" t="n">
        <v>1.816812</v>
      </c>
      <c r="I1298" s="2165" t="n">
        <v>0</v>
      </c>
      <c r="J1298" s="2165" t="n">
        <v>0</v>
      </c>
      <c r="K1298" s="2165" t="n"/>
    </row>
    <row r="1299" outlineLevel="3" ht="12.75" customHeight="1">
      <c r="A1299" s="82" t="n">
        <v>95</v>
      </c>
      <c r="B1299" s="82" t="inlineStr">
        <is>
          <t>Insumo</t>
        </is>
      </c>
      <c r="C1299" s="82" t="inlineStr">
        <is>
          <t>Parede Com Sistema Em Chapas De Gesso Para Drywall, Uso Interno, Montante 70mm, Com Uma Face Standart e Uma Face Resistente a Umidade(RU/70/ST)</t>
        </is>
      </c>
      <c r="D1299" s="82" t="inlineStr">
        <is>
          <t>PARAFUSO DRY WALL, EM ACO ZINCADO, CABECA LENTILHA E PONTA BROCA (LB), LARGURA 4,2 MM, COMPRIMENTO 13 MM</t>
        </is>
      </c>
      <c r="E1299" s="11">
        <f t="array" ref="E1299">_xlfn.XLOOKUP(D1299,Insumos!B:B,Insumos!C:$C)</f>
        <v/>
      </c>
      <c r="F1299" s="2164" t="n">
        <v>0.4803</v>
      </c>
      <c r="G1299" s="92">
        <f t="array" ref="G1299">IF(B1299="insumo",_xlfn.XLOOKUP($D1299,Insumos!$B$1:$B$996,Insumos!$D$1:$D$996),"")</f>
        <v/>
      </c>
      <c r="H1299" s="92" t="n">
        <v>0.09606000000000001</v>
      </c>
      <c r="I1299" s="2165" t="n">
        <v>0</v>
      </c>
      <c r="J1299" s="2165" t="n">
        <v>0</v>
      </c>
      <c r="K1299" s="2165" t="n"/>
    </row>
    <row r="1300" outlineLevel="2" ht="12.75" customHeight="1">
      <c r="A1300" s="1071" t="n">
        <v>1</v>
      </c>
      <c r="B1300" s="1071" t="inlineStr">
        <is>
          <t>Serviço</t>
        </is>
      </c>
      <c r="C1300" s="1071" t="inlineStr">
        <is>
          <t>Parede Com Sistema Em Chapas De Gesso Para Drywall, Uso Interno, Montante 90mm, Com Uma Face Simples Standart (ST/90)</t>
        </is>
      </c>
      <c r="D1300" s="1071" t="inlineStr">
        <is>
          <t>Parede Com Sistema Em Chapas De Gesso Para Drywall, Uso Interno, Montante 90mm, Com Uma Face Simples Standart (ST/90)</t>
        </is>
      </c>
      <c r="E1300" s="1072" t="inlineStr">
        <is>
          <t>M2</t>
        </is>
      </c>
      <c r="F1300" s="1071" t="n"/>
      <c r="G1300" s="1073">
        <f t="array" ref="G1300">IF(B1300="insumo",_xlfn.XLOOKUP($D1300,Insumos!$B$1:$B$996,Insumos!$D$1:$D$996),"")</f>
        <v/>
      </c>
      <c r="H1300" s="1073" t="n">
        <v>140.561004</v>
      </c>
      <c r="I1300" s="2163" t="n">
        <v>0</v>
      </c>
      <c r="J1300" s="2163" t="n">
        <v>0</v>
      </c>
      <c r="K1300" s="2163" t="n"/>
    </row>
    <row r="1301" outlineLevel="3" ht="12.75" customHeight="1">
      <c r="A1301" s="82" t="n">
        <v>86</v>
      </c>
      <c r="B1301" s="82" t="inlineStr">
        <is>
          <t>Insumo</t>
        </is>
      </c>
      <c r="C1301" s="82" t="inlineStr">
        <is>
          <t>Parede Com Sistema Em Chapas De Gesso Para Drywall, Uso Interno, Montante 90mm, Com Uma Face Simples Standart (ST/90)</t>
        </is>
      </c>
      <c r="D1301" s="82" t="inlineStr">
        <is>
          <t>SERVICO - CONFECCAO SHAFT GESSO</t>
        </is>
      </c>
      <c r="E1301" s="11">
        <f t="array" ref="E1301">_xlfn.XLOOKUP(D1301,Insumos!B:B,Insumos!C:$C)</f>
        <v/>
      </c>
      <c r="F1301" s="2164" t="n">
        <v>1</v>
      </c>
      <c r="G1301" s="92">
        <f t="array" ref="G1301">IF(B1301="insumo",_xlfn.XLOOKUP($D1301,Insumos!$B$1:$B$996,Insumos!$D$1:$D$996),"")</f>
        <v/>
      </c>
      <c r="H1301" s="92" t="n">
        <v>70</v>
      </c>
      <c r="I1301" s="2165" t="n">
        <v>0</v>
      </c>
      <c r="J1301" s="2165" t="n">
        <v>0</v>
      </c>
      <c r="K1301" s="2165" t="n"/>
    </row>
    <row r="1302" outlineLevel="3" ht="12.75" customHeight="1">
      <c r="A1302" s="82" t="n">
        <v>47</v>
      </c>
      <c r="B1302" s="82" t="inlineStr">
        <is>
          <t>Insumo</t>
        </is>
      </c>
      <c r="C1302" s="82" t="inlineStr">
        <is>
          <t>Parede Com Sistema Em Chapas De Gesso Para Drywall, Uso Interno, Montante 90mm, Com Uma Face Simples Standart (ST/90)</t>
        </is>
      </c>
      <c r="D1302" s="82" t="inlineStr">
        <is>
          <t>PLACA / CHAPA DE GESSO ACARTONADO, STANDARD (ST), COR BRANCA, E = 12,5 MM, 1200 X 2400 MM (L X C)</t>
        </is>
      </c>
      <c r="E1302" s="11">
        <f t="array" ref="E1302">_xlfn.XLOOKUP(D1302,Insumos!B:B,Insumos!C:$C)</f>
        <v/>
      </c>
      <c r="F1302" s="2164" t="n">
        <v>1.053</v>
      </c>
      <c r="G1302" s="92">
        <f t="array" ref="G1302">IF(B1302="insumo",_xlfn.XLOOKUP($D1302,Insumos!$B$1:$B$996,Insumos!$D$1:$D$996),"")</f>
        <v/>
      </c>
      <c r="H1302" s="92" t="n">
        <v>21.22848</v>
      </c>
      <c r="I1302" s="2165" t="n">
        <v>0</v>
      </c>
      <c r="J1302" s="2165" t="n">
        <v>0</v>
      </c>
      <c r="K1302" s="2165" t="n"/>
    </row>
    <row r="1303" outlineLevel="3" ht="12.75" customHeight="1">
      <c r="A1303" s="82" t="n">
        <v>95</v>
      </c>
      <c r="B1303" s="82" t="inlineStr">
        <is>
          <t>Insumo</t>
        </is>
      </c>
      <c r="C1303" s="82" t="inlineStr">
        <is>
          <t>Parede Com Sistema Em Chapas De Gesso Para Drywall, Uso Interno, Montante 90mm, Com Uma Face Simples Standart (ST/90)</t>
        </is>
      </c>
      <c r="D1303" s="82" t="inlineStr">
        <is>
          <t>PINO DE ACO COM ARRUELA CONICA, DIAMETRO ARRUELA = *23* MM E COMP HASTE = *27* MM (ACAO INDIRETA)</t>
        </is>
      </c>
      <c r="E1303" s="11">
        <f t="array" ref="E1303">_xlfn.XLOOKUP(D1303,Insumos!B:B,Insumos!C:$C)</f>
        <v/>
      </c>
      <c r="F1303" s="2164" t="n">
        <v>2.48</v>
      </c>
      <c r="G1303" s="92">
        <f t="array" ref="G1303">IF(B1303="insumo",_xlfn.XLOOKUP($D1303,Insumos!$B$1:$B$996,Insumos!$D$1:$D$996),"")</f>
        <v/>
      </c>
      <c r="H1303" s="92" t="n">
        <v>1.24992</v>
      </c>
      <c r="I1303" s="2165" t="n">
        <v>0</v>
      </c>
      <c r="J1303" s="2165" t="n">
        <v>0</v>
      </c>
      <c r="K1303" s="2165" t="n"/>
    </row>
    <row r="1304" outlineLevel="3" ht="12.75" customHeight="1">
      <c r="A1304" s="82" t="n">
        <v>26</v>
      </c>
      <c r="B1304" s="82" t="inlineStr">
        <is>
          <t>Insumo</t>
        </is>
      </c>
      <c r="C1304" s="82" t="inlineStr">
        <is>
          <t>Parede Com Sistema Em Chapas De Gesso Para Drywall, Uso Interno, Montante 90mm, Com Uma Face Simples Standart (ST/90)</t>
        </is>
      </c>
      <c r="D1304" s="82" t="inlineStr">
        <is>
          <t>PERFIL GUIA, FORMATO U, EM ACO ZINCADO, PARA ESTRUTURA PAREDE DRYWALL, E = 0,5 MM, 90 X 3000 MM (L X C)</t>
        </is>
      </c>
      <c r="E1304" s="11">
        <f t="array" ref="E1304">_xlfn.XLOOKUP(D1304,Insumos!B:B,Insumos!C:$C)</f>
        <v/>
      </c>
      <c r="F1304" s="2164" t="n">
        <v>0.7624</v>
      </c>
      <c r="G1304" s="92">
        <f t="array" ref="G1304">IF(B1304="insumo",_xlfn.XLOOKUP($D1304,Insumos!$B$1:$B$996,Insumos!$D$1:$D$996),"")</f>
        <v/>
      </c>
      <c r="H1304" s="92" t="n">
        <v>6.587136</v>
      </c>
      <c r="I1304" s="2165" t="n">
        <v>0</v>
      </c>
      <c r="J1304" s="2165" t="n">
        <v>0</v>
      </c>
      <c r="K1304" s="2165" t="n"/>
    </row>
    <row r="1305" outlineLevel="3" ht="12.75" customHeight="1">
      <c r="A1305" s="82" t="n">
        <v>26</v>
      </c>
      <c r="B1305" s="82" t="inlineStr">
        <is>
          <t>Insumo</t>
        </is>
      </c>
      <c r="C1305" s="82" t="inlineStr">
        <is>
          <t>Parede Com Sistema Em Chapas De Gesso Para Drywall, Uso Interno, Montante 90mm, Com Uma Face Simples Standart (ST/90)</t>
        </is>
      </c>
      <c r="D1305" s="82" t="inlineStr">
        <is>
          <t>PERFIL MONTANTE, FORMATO C, EM ACO ZINCADO, PARA ESTRUTURA PAREDE DRYWALL, E = 0,5 MM, 90 X 3000 MM (L X C)</t>
        </is>
      </c>
      <c r="E1305" s="11">
        <f t="array" ref="E1305">_xlfn.XLOOKUP(D1305,Insumos!B:B,Insumos!C:$C)</f>
        <v/>
      </c>
      <c r="F1305" s="2164" t="n">
        <v>2.0006</v>
      </c>
      <c r="G1305" s="92">
        <f t="array" ref="G1305">IF(B1305="insumo",_xlfn.XLOOKUP($D1305,Insumos!$B$1:$B$996,Insumos!$D$1:$D$996),"")</f>
        <v/>
      </c>
      <c r="H1305" s="92" t="n">
        <v>36.190854</v>
      </c>
      <c r="I1305" s="2165" t="n">
        <v>0</v>
      </c>
      <c r="J1305" s="2165" t="n">
        <v>0</v>
      </c>
      <c r="K1305" s="2165" t="n"/>
    </row>
    <row r="1306" outlineLevel="3" ht="12.75" customHeight="1">
      <c r="A1306" s="82" t="n">
        <v>95</v>
      </c>
      <c r="B1306" s="82" t="inlineStr">
        <is>
          <t>Insumo</t>
        </is>
      </c>
      <c r="C1306" s="82" t="inlineStr">
        <is>
          <t>Parede Com Sistema Em Chapas De Gesso Para Drywall, Uso Interno, Montante 90mm, Com Uma Face Simples Standart (ST/90)</t>
        </is>
      </c>
      <c r="D1306" s="82" t="inlineStr">
        <is>
          <t>MASSA DE REJUNTE EM PO PARA DRYWALL, A BASE DE GESSO, SECAGEM RAPIDA, PARA TRATAMENTO DE JUNTAS DE CHAPA DE GESSO (NECESSITA ADICAO DE AGUA)</t>
        </is>
      </c>
      <c r="E1306" s="11">
        <f t="array" ref="E1306">_xlfn.XLOOKUP(D1306,Insumos!B:B,Insumos!C:$C)</f>
        <v/>
      </c>
      <c r="F1306" s="2164" t="n">
        <v>0.5489000000000001</v>
      </c>
      <c r="G1306" s="92">
        <f t="array" ref="G1306">IF(B1306="insumo",_xlfn.XLOOKUP($D1306,Insumos!$B$1:$B$996,Insumos!$D$1:$D$996),"")</f>
        <v/>
      </c>
      <c r="H1306" s="92" t="n">
        <v>1.882727</v>
      </c>
      <c r="I1306" s="2165" t="n">
        <v>0</v>
      </c>
      <c r="J1306" s="2165" t="n">
        <v>0</v>
      </c>
      <c r="K1306" s="2165" t="n"/>
    </row>
    <row r="1307" outlineLevel="3" ht="12.75" customHeight="1">
      <c r="A1307" s="82" t="n">
        <v>94</v>
      </c>
      <c r="B1307" s="82" t="inlineStr">
        <is>
          <t>Insumo</t>
        </is>
      </c>
      <c r="C1307" s="82" t="inlineStr">
        <is>
          <t>Parede Com Sistema Em Chapas De Gesso Para Drywall, Uso Interno, Montante 90mm, Com Uma Face Simples Standart (ST/90)</t>
        </is>
      </c>
      <c r="D1307" s="82" t="inlineStr">
        <is>
          <t>FITA DE PAPEL MICROPERFURADO, 50 X 150 MM, PARA TRATAMENTO DE JUNTAS DE CHAPA DE GESSO PARA DRYWALL</t>
        </is>
      </c>
      <c r="E1307" s="11">
        <f t="array" ref="E1307">_xlfn.XLOOKUP(D1307,Insumos!B:B,Insumos!C:$C)</f>
        <v/>
      </c>
      <c r="F1307" s="2164" t="n">
        <v>1.2513</v>
      </c>
      <c r="G1307" s="92">
        <f t="array" ref="G1307">IF(B1307="insumo",_xlfn.XLOOKUP($D1307,Insumos!$B$1:$B$996,Insumos!$D$1:$D$996),"")</f>
        <v/>
      </c>
      <c r="H1307" s="92" t="n">
        <v>0.387903</v>
      </c>
      <c r="I1307" s="2165" t="n">
        <v>0</v>
      </c>
      <c r="J1307" s="2165" t="n">
        <v>0</v>
      </c>
      <c r="K1307" s="2165" t="n"/>
    </row>
    <row r="1308" outlineLevel="3" ht="12.75" customHeight="1">
      <c r="A1308" s="82" t="n">
        <v>94</v>
      </c>
      <c r="B1308" s="82" t="inlineStr">
        <is>
          <t>Insumo</t>
        </is>
      </c>
      <c r="C1308" s="82" t="inlineStr">
        <is>
          <t>Parede Com Sistema Em Chapas De Gesso Para Drywall, Uso Interno, Montante 90mm, Com Uma Face Simples Standart (ST/90)</t>
        </is>
      </c>
      <c r="D1308" s="82" t="inlineStr">
        <is>
          <t>FITA DE PAPEL REFORCADA COM LAMINA DE METAL PARA REFORCO DE CANTOS DE CHAPA DE GESSO PARA DRYWALL</t>
        </is>
      </c>
      <c r="E1308" s="11">
        <f t="array" ref="E1308">_xlfn.XLOOKUP(D1308,Insumos!B:B,Insumos!C:$C)</f>
        <v/>
      </c>
      <c r="F1308" s="2164" t="n">
        <v>0.7407</v>
      </c>
      <c r="G1308" s="92">
        <f t="array" ref="G1308">IF(B1308="insumo",_xlfn.XLOOKUP($D1308,Insumos!$B$1:$B$996,Insumos!$D$1:$D$996),"")</f>
        <v/>
      </c>
      <c r="H1308" s="92" t="n">
        <v>2.029518</v>
      </c>
      <c r="I1308" s="2165" t="n">
        <v>0</v>
      </c>
      <c r="J1308" s="2165" t="n">
        <v>0</v>
      </c>
      <c r="K1308" s="2165" t="n"/>
    </row>
    <row r="1309" outlineLevel="3" ht="12.75" customHeight="1">
      <c r="A1309" s="82" t="n">
        <v>97</v>
      </c>
      <c r="B1309" s="82" t="inlineStr">
        <is>
          <t>Insumo</t>
        </is>
      </c>
      <c r="C1309" s="82" t="inlineStr">
        <is>
          <t>Parede Com Sistema Em Chapas De Gesso Para Drywall, Uso Interno, Montante 90mm, Com Uma Face Simples Standart (ST/90)</t>
        </is>
      </c>
      <c r="D1309" s="82" t="inlineStr">
        <is>
          <t>PARAFUSO DRY WALL, EM ACO FOSFATIZADO, CABECA TROMBETA E PONTA AGULHA (TA), COMPRIMENTO 25 MM</t>
        </is>
      </c>
      <c r="E1309" s="11">
        <f t="array" ref="E1309">_xlfn.XLOOKUP(D1309,Insumos!B:B,Insumos!C:$C)</f>
        <v/>
      </c>
      <c r="F1309" s="2164" t="n">
        <v>10.0934</v>
      </c>
      <c r="G1309" s="92">
        <f t="array" ref="G1309">IF(B1309="insumo",_xlfn.XLOOKUP($D1309,Insumos!$B$1:$B$996,Insumos!$D$1:$D$996),"")</f>
        <v/>
      </c>
      <c r="H1309" s="92" t="n">
        <v>0.908406</v>
      </c>
      <c r="I1309" s="2165" t="n">
        <v>0</v>
      </c>
      <c r="J1309" s="2165" t="n">
        <v>0</v>
      </c>
      <c r="K1309" s="2165" t="n"/>
    </row>
    <row r="1310" outlineLevel="3" ht="12.75" customHeight="1">
      <c r="A1310" s="82" t="n">
        <v>95</v>
      </c>
      <c r="B1310" s="82" t="inlineStr">
        <is>
          <t>Insumo</t>
        </is>
      </c>
      <c r="C1310" s="82" t="inlineStr">
        <is>
          <t>Parede Com Sistema Em Chapas De Gesso Para Drywall, Uso Interno, Montante 90mm, Com Uma Face Simples Standart (ST/90)</t>
        </is>
      </c>
      <c r="D1310" s="82" t="inlineStr">
        <is>
          <t>PARAFUSO DRY WALL, EM ACO ZINCADO, CABECA LENTILHA E PONTA BROCA (LB), LARGURA 4,2 MM, COMPRIMENTO 13 MM</t>
        </is>
      </c>
      <c r="E1310" s="11">
        <f t="array" ref="E1310">_xlfn.XLOOKUP(D1310,Insumos!B:B,Insumos!C:$C)</f>
        <v/>
      </c>
      <c r="F1310" s="2164" t="n">
        <v>0.4803</v>
      </c>
      <c r="G1310" s="92">
        <f t="array" ref="G1310">IF(B1310="insumo",_xlfn.XLOOKUP($D1310,Insumos!$B$1:$B$996,Insumos!$D$1:$D$996),"")</f>
        <v/>
      </c>
      <c r="H1310" s="92" t="n">
        <v>0.09606000000000001</v>
      </c>
      <c r="I1310" s="2165" t="n">
        <v>0</v>
      </c>
      <c r="J1310" s="2165" t="n">
        <v>0</v>
      </c>
      <c r="K1310" s="2165" t="n"/>
    </row>
    <row r="1311" outlineLevel="2" ht="12.75" customHeight="1">
      <c r="A1311" s="1071" t="n">
        <v>1</v>
      </c>
      <c r="B1311" s="1071" t="inlineStr">
        <is>
          <t>Serviço</t>
        </is>
      </c>
      <c r="C1311" s="1071" t="inlineStr">
        <is>
          <t>Parede Com Sistema Em Chapas De Gesso Para Drywall, Uso Interno, Montante 90mm, Com Uma Face Simples Resistente à Umidade (RU/90)</t>
        </is>
      </c>
      <c r="D1311" s="1071" t="inlineStr">
        <is>
          <t>Parede Com Sistema Em Chapas De Gesso Para Drywall, Uso Interno, Montante 90mm, Com Uma Face Simples Resistente à Umidade (RU/90)</t>
        </is>
      </c>
      <c r="E1311" s="1072" t="inlineStr">
        <is>
          <t>M2</t>
        </is>
      </c>
      <c r="F1311" s="1071" t="n"/>
      <c r="G1311" s="1073">
        <f t="array" ref="G1311">IF(B1311="insumo",_xlfn.XLOOKUP($D1311,Insumos!$B$1:$B$996,Insumos!$D$1:$D$996),"")</f>
        <v/>
      </c>
      <c r="H1311" s="1073" t="n">
        <v>147.868824</v>
      </c>
      <c r="I1311" s="2163" t="n">
        <v>0</v>
      </c>
      <c r="J1311" s="2163" t="n">
        <v>0</v>
      </c>
      <c r="K1311" s="2163" t="n"/>
    </row>
    <row r="1312" outlineLevel="3" ht="12.75" customHeight="1">
      <c r="A1312" s="82" t="n">
        <v>86</v>
      </c>
      <c r="B1312" s="82" t="inlineStr">
        <is>
          <t>Insumo</t>
        </is>
      </c>
      <c r="C1312" s="82" t="inlineStr">
        <is>
          <t>Parede Com Sistema Em Chapas De Gesso Para Drywall, Uso Interno, Montante 90mm, Com Uma Face Simples Resistente à Umidade (RU/90)</t>
        </is>
      </c>
      <c r="D1312" s="82" t="inlineStr">
        <is>
          <t>SERVICO - CONFECCAO SHAFT GESSO</t>
        </is>
      </c>
      <c r="E1312" s="11">
        <f t="array" ref="E1312">_xlfn.XLOOKUP(D1312,Insumos!B:B,Insumos!C:$C)</f>
        <v/>
      </c>
      <c r="F1312" s="2164" t="n">
        <v>1</v>
      </c>
      <c r="G1312" s="92">
        <f t="array" ref="G1312">IF(B1312="insumo",_xlfn.XLOOKUP($D1312,Insumos!$B$1:$B$996,Insumos!$D$1:$D$996),"")</f>
        <v/>
      </c>
      <c r="H1312" s="92" t="n">
        <v>70</v>
      </c>
      <c r="I1312" s="2165" t="n">
        <v>0</v>
      </c>
      <c r="J1312" s="2165" t="n">
        <v>0</v>
      </c>
      <c r="K1312" s="2165" t="n"/>
    </row>
    <row r="1313" outlineLevel="3" ht="12.75" customHeight="1">
      <c r="A1313" s="82" t="n">
        <v>49</v>
      </c>
      <c r="B1313" s="82" t="inlineStr">
        <is>
          <t>Insumo</t>
        </is>
      </c>
      <c r="C1313" s="82" t="inlineStr">
        <is>
          <t>Parede Com Sistema Em Chapas De Gesso Para Drywall, Uso Interno, Montante 90mm, Com Uma Face Simples Resistente à Umidade (RU/90)</t>
        </is>
      </c>
      <c r="D1313" s="82" t="inlineStr">
        <is>
          <t>PLACA / CHAPA DE GESSO ACARTONADO, RESISTENTE A UMIDADE (RU), COR VERDE, E = 12,5 MM, 1200 X 2400 MM (L X C)</t>
        </is>
      </c>
      <c r="E1313" s="11">
        <f t="array" ref="E1313">_xlfn.XLOOKUP(D1313,Insumos!B:B,Insumos!C:$C)</f>
        <v/>
      </c>
      <c r="F1313" s="2164" t="n">
        <v>1.053</v>
      </c>
      <c r="G1313" s="92">
        <f t="array" ref="G1313">IF(B1313="insumo",_xlfn.XLOOKUP($D1313,Insumos!$B$1:$B$996,Insumos!$D$1:$D$996),"")</f>
        <v/>
      </c>
      <c r="H1313" s="92" t="n">
        <v>28.5363</v>
      </c>
      <c r="I1313" s="2165" t="n">
        <v>0</v>
      </c>
      <c r="J1313" s="2165" t="n">
        <v>0</v>
      </c>
      <c r="K1313" s="2165" t="n"/>
    </row>
    <row r="1314" outlineLevel="3" ht="12.75" customHeight="1">
      <c r="A1314" s="82" t="n">
        <v>95</v>
      </c>
      <c r="B1314" s="82" t="inlineStr">
        <is>
          <t>Insumo</t>
        </is>
      </c>
      <c r="C1314" s="82" t="inlineStr">
        <is>
          <t>Parede Com Sistema Em Chapas De Gesso Para Drywall, Uso Interno, Montante 90mm, Com Uma Face Simples Resistente à Umidade (RU/90)</t>
        </is>
      </c>
      <c r="D1314" s="82" t="inlineStr">
        <is>
          <t>PINO DE ACO COM ARRUELA CONICA, DIAMETRO ARRUELA = *23* MM E COMP HASTE = *27* MM (ACAO INDIRETA)</t>
        </is>
      </c>
      <c r="E1314" s="11">
        <f t="array" ref="E1314">_xlfn.XLOOKUP(D1314,Insumos!B:B,Insumos!C:$C)</f>
        <v/>
      </c>
      <c r="F1314" s="2164" t="n">
        <v>2.48</v>
      </c>
      <c r="G1314" s="92">
        <f t="array" ref="G1314">IF(B1314="insumo",_xlfn.XLOOKUP($D1314,Insumos!$B$1:$B$996,Insumos!$D$1:$D$996),"")</f>
        <v/>
      </c>
      <c r="H1314" s="92" t="n">
        <v>1.24992</v>
      </c>
      <c r="I1314" s="2165" t="n">
        <v>0</v>
      </c>
      <c r="J1314" s="2165" t="n">
        <v>0</v>
      </c>
      <c r="K1314" s="2165" t="n"/>
    </row>
    <row r="1315" outlineLevel="3" ht="12.75" customHeight="1">
      <c r="A1315" s="82" t="n">
        <v>26</v>
      </c>
      <c r="B1315" s="82" t="inlineStr">
        <is>
          <t>Insumo</t>
        </is>
      </c>
      <c r="C1315" s="82" t="inlineStr">
        <is>
          <t>Parede Com Sistema Em Chapas De Gesso Para Drywall, Uso Interno, Montante 90mm, Com Uma Face Simples Resistente à Umidade (RU/90)</t>
        </is>
      </c>
      <c r="D1315" s="82" t="inlineStr">
        <is>
          <t>PERFIL GUIA, FORMATO U, EM ACO ZINCADO, PARA ESTRUTURA PAREDE DRYWALL, E = 0,5 MM, 90 X 3000 MM (L X C)</t>
        </is>
      </c>
      <c r="E1315" s="11">
        <f t="array" ref="E1315">_xlfn.XLOOKUP(D1315,Insumos!B:B,Insumos!C:$C)</f>
        <v/>
      </c>
      <c r="F1315" s="2164" t="n">
        <v>0.7624</v>
      </c>
      <c r="G1315" s="92">
        <f t="array" ref="G1315">IF(B1315="insumo",_xlfn.XLOOKUP($D1315,Insumos!$B$1:$B$996,Insumos!$D$1:$D$996),"")</f>
        <v/>
      </c>
      <c r="H1315" s="92" t="n">
        <v>6.587136</v>
      </c>
      <c r="I1315" s="2165" t="n">
        <v>0</v>
      </c>
      <c r="J1315" s="2165" t="n">
        <v>0</v>
      </c>
      <c r="K1315" s="2165" t="n"/>
    </row>
    <row r="1316" outlineLevel="3" ht="12.75" customHeight="1">
      <c r="A1316" s="82" t="n">
        <v>26</v>
      </c>
      <c r="B1316" s="82" t="inlineStr">
        <is>
          <t>Insumo</t>
        </is>
      </c>
      <c r="C1316" s="82" t="inlineStr">
        <is>
          <t>Parede Com Sistema Em Chapas De Gesso Para Drywall, Uso Interno, Montante 90mm, Com Uma Face Simples Resistente à Umidade (RU/90)</t>
        </is>
      </c>
      <c r="D1316" s="82" t="inlineStr">
        <is>
          <t>PERFIL MONTANTE, FORMATO C, EM ACO ZINCADO, PARA ESTRUTURA PAREDE DRYWALL, E = 0,5 MM, 90 X 3000 MM (L X C)</t>
        </is>
      </c>
      <c r="E1316" s="11">
        <f t="array" ref="E1316">_xlfn.XLOOKUP(D1316,Insumos!B:B,Insumos!C:$C)</f>
        <v/>
      </c>
      <c r="F1316" s="2164" t="n">
        <v>2.0006</v>
      </c>
      <c r="G1316" s="92">
        <f t="array" ref="G1316">IF(B1316="insumo",_xlfn.XLOOKUP($D1316,Insumos!$B$1:$B$996,Insumos!$D$1:$D$996),"")</f>
        <v/>
      </c>
      <c r="H1316" s="92" t="n">
        <v>36.190854</v>
      </c>
      <c r="I1316" s="2165" t="n">
        <v>0</v>
      </c>
      <c r="J1316" s="2165" t="n">
        <v>0</v>
      </c>
      <c r="K1316" s="2165" t="n"/>
    </row>
    <row r="1317" outlineLevel="3" ht="12.75" customHeight="1">
      <c r="A1317" s="82" t="n">
        <v>95</v>
      </c>
      <c r="B1317" s="82" t="inlineStr">
        <is>
          <t>Insumo</t>
        </is>
      </c>
      <c r="C1317" s="82" t="inlineStr">
        <is>
          <t>Parede Com Sistema Em Chapas De Gesso Para Drywall, Uso Interno, Montante 90mm, Com Uma Face Simples Resistente à Umidade (RU/90)</t>
        </is>
      </c>
      <c r="D1317" s="82" t="inlineStr">
        <is>
          <t>MASSA DE REJUNTE EM PO PARA DRYWALL, A BASE DE GESSO, SECAGEM RAPIDA, PARA TRATAMENTO DE JUNTAS DE CHAPA DE GESSO (NECESSITA ADICAO DE AGUA)</t>
        </is>
      </c>
      <c r="E1317" s="11">
        <f t="array" ref="E1317">_xlfn.XLOOKUP(D1317,Insumos!B:B,Insumos!C:$C)</f>
        <v/>
      </c>
      <c r="F1317" s="2164" t="n">
        <v>0.5489000000000001</v>
      </c>
      <c r="G1317" s="92">
        <f t="array" ref="G1317">IF(B1317="insumo",_xlfn.XLOOKUP($D1317,Insumos!$B$1:$B$996,Insumos!$D$1:$D$996),"")</f>
        <v/>
      </c>
      <c r="H1317" s="92" t="n">
        <v>1.882727</v>
      </c>
      <c r="I1317" s="2165" t="n">
        <v>0</v>
      </c>
      <c r="J1317" s="2165" t="n">
        <v>0</v>
      </c>
      <c r="K1317" s="2165" t="n"/>
    </row>
    <row r="1318" outlineLevel="3" ht="12.75" customHeight="1">
      <c r="A1318" s="82" t="n">
        <v>94</v>
      </c>
      <c r="B1318" s="82" t="inlineStr">
        <is>
          <t>Insumo</t>
        </is>
      </c>
      <c r="C1318" s="82" t="inlineStr">
        <is>
          <t>Parede Com Sistema Em Chapas De Gesso Para Drywall, Uso Interno, Montante 90mm, Com Uma Face Simples Resistente à Umidade (RU/90)</t>
        </is>
      </c>
      <c r="D1318" s="82" t="inlineStr">
        <is>
          <t>FITA DE PAPEL MICROPERFURADO, 50 X 150 MM, PARA TRATAMENTO DE JUNTAS DE CHAPA DE GESSO PARA DRYWALL</t>
        </is>
      </c>
      <c r="E1318" s="11">
        <f t="array" ref="E1318">_xlfn.XLOOKUP(D1318,Insumos!B:B,Insumos!C:$C)</f>
        <v/>
      </c>
      <c r="F1318" s="2164" t="n">
        <v>1.2513</v>
      </c>
      <c r="G1318" s="92">
        <f t="array" ref="G1318">IF(B1318="insumo",_xlfn.XLOOKUP($D1318,Insumos!$B$1:$B$996,Insumos!$D$1:$D$996),"")</f>
        <v/>
      </c>
      <c r="H1318" s="92" t="n">
        <v>0.387903</v>
      </c>
      <c r="I1318" s="2165" t="n">
        <v>0</v>
      </c>
      <c r="J1318" s="2165" t="n">
        <v>0</v>
      </c>
      <c r="K1318" s="2165" t="n"/>
    </row>
    <row r="1319" outlineLevel="3" ht="12.75" customHeight="1">
      <c r="A1319" s="82" t="n">
        <v>94</v>
      </c>
      <c r="B1319" s="82" t="inlineStr">
        <is>
          <t>Insumo</t>
        </is>
      </c>
      <c r="C1319" s="82" t="inlineStr">
        <is>
          <t>Parede Com Sistema Em Chapas De Gesso Para Drywall, Uso Interno, Montante 90mm, Com Uma Face Simples Resistente à Umidade (RU/90)</t>
        </is>
      </c>
      <c r="D1319" s="82" t="inlineStr">
        <is>
          <t>FITA DE PAPEL REFORCADA COM LAMINA DE METAL PARA REFORCO DE CANTOS DE CHAPA DE GESSO PARA DRYWALL</t>
        </is>
      </c>
      <c r="E1319" s="11">
        <f t="array" ref="E1319">_xlfn.XLOOKUP(D1319,Insumos!B:B,Insumos!C:$C)</f>
        <v/>
      </c>
      <c r="F1319" s="2164" t="n">
        <v>0.7407</v>
      </c>
      <c r="G1319" s="92">
        <f t="array" ref="G1319">IF(B1319="insumo",_xlfn.XLOOKUP($D1319,Insumos!$B$1:$B$996,Insumos!$D$1:$D$996),"")</f>
        <v/>
      </c>
      <c r="H1319" s="92" t="n">
        <v>2.029518</v>
      </c>
      <c r="I1319" s="2165" t="n">
        <v>0</v>
      </c>
      <c r="J1319" s="2165" t="n">
        <v>0</v>
      </c>
      <c r="K1319" s="2165" t="n"/>
    </row>
    <row r="1320" outlineLevel="3" ht="12.75" customHeight="1">
      <c r="A1320" s="82" t="n">
        <v>97</v>
      </c>
      <c r="B1320" s="82" t="inlineStr">
        <is>
          <t>Insumo</t>
        </is>
      </c>
      <c r="C1320" s="82" t="inlineStr">
        <is>
          <t>Parede Com Sistema Em Chapas De Gesso Para Drywall, Uso Interno, Montante 90mm, Com Uma Face Simples Resistente à Umidade (RU/90)</t>
        </is>
      </c>
      <c r="D1320" s="82" t="inlineStr">
        <is>
          <t>PARAFUSO DRY WALL, EM ACO FOSFATIZADO, CABECA TROMBETA E PONTA AGULHA (TA), COMPRIMENTO 25 MM</t>
        </is>
      </c>
      <c r="E1320" s="11">
        <f t="array" ref="E1320">_xlfn.XLOOKUP(D1320,Insumos!B:B,Insumos!C:$C)</f>
        <v/>
      </c>
      <c r="F1320" s="2164" t="n">
        <v>10.0934</v>
      </c>
      <c r="G1320" s="92">
        <f t="array" ref="G1320">IF(B1320="insumo",_xlfn.XLOOKUP($D1320,Insumos!$B$1:$B$996,Insumos!$D$1:$D$996),"")</f>
        <v/>
      </c>
      <c r="H1320" s="92" t="n">
        <v>0.908406</v>
      </c>
      <c r="I1320" s="2165" t="n">
        <v>0</v>
      </c>
      <c r="J1320" s="2165" t="n">
        <v>0</v>
      </c>
      <c r="K1320" s="2165" t="n"/>
    </row>
    <row r="1321" outlineLevel="3" ht="12.75" customHeight="1">
      <c r="A1321" s="82" t="n">
        <v>95</v>
      </c>
      <c r="B1321" s="82" t="inlineStr">
        <is>
          <t>Insumo</t>
        </is>
      </c>
      <c r="C1321" s="82" t="inlineStr">
        <is>
          <t>Parede Com Sistema Em Chapas De Gesso Para Drywall, Uso Interno, Montante 90mm, Com Uma Face Simples Resistente à Umidade (RU/90)</t>
        </is>
      </c>
      <c r="D1321" s="82" t="inlineStr">
        <is>
          <t>PARAFUSO DRY WALL, EM ACO ZINCADO, CABECA LENTILHA E PONTA BROCA (LB), LARGURA 4,2 MM, COMPRIMENTO 13 MM</t>
        </is>
      </c>
      <c r="E1321" s="11">
        <f t="array" ref="E1321">_xlfn.XLOOKUP(D1321,Insumos!B:B,Insumos!C:$C)</f>
        <v/>
      </c>
      <c r="F1321" s="2164" t="n">
        <v>0.4803</v>
      </c>
      <c r="G1321" s="92">
        <f t="array" ref="G1321">IF(B1321="insumo",_xlfn.XLOOKUP($D1321,Insumos!$B$1:$B$996,Insumos!$D$1:$D$996),"")</f>
        <v/>
      </c>
      <c r="H1321" s="92" t="n">
        <v>0.09606000000000001</v>
      </c>
      <c r="I1321" s="2165" t="n">
        <v>0</v>
      </c>
      <c r="J1321" s="2165" t="n">
        <v>0</v>
      </c>
      <c r="K1321" s="2165" t="n"/>
    </row>
    <row r="1322" outlineLevel="2" ht="12.75" customHeight="1">
      <c r="A1322" s="1071" t="n">
        <v>1</v>
      </c>
      <c r="B1322" s="1071" t="inlineStr">
        <is>
          <t>Serviço</t>
        </is>
      </c>
      <c r="C1322" s="1071" t="inlineStr">
        <is>
          <t>Parede Com Sistema Em Chapas De Gesso Para Drywall, Uso Interno, Montante 90mm, Com Duas Face Simples Standart (ST/90/ST)</t>
        </is>
      </c>
      <c r="D1322" s="1071" t="inlineStr">
        <is>
          <t>Parede Com Sistema Em Chapas De Gesso Para Drywall, Uso Interno, Montante 90mm, Com Duas Face Simples Standart (ST/90/ST)</t>
        </is>
      </c>
      <c r="E1322" s="1072" t="inlineStr">
        <is>
          <t>M2</t>
        </is>
      </c>
      <c r="F1322" s="1071" t="n"/>
      <c r="G1322" s="1073">
        <f t="array" ref="G1322">IF(B1322="insumo",_xlfn.XLOOKUP($D1322,Insumos!$B$1:$B$996,Insumos!$D$1:$D$996),"")</f>
        <v/>
      </c>
      <c r="H1322" s="1073" t="n">
        <v>211.019404</v>
      </c>
      <c r="I1322" s="2163" t="n">
        <v>0</v>
      </c>
      <c r="J1322" s="2163" t="n">
        <v>0</v>
      </c>
      <c r="K1322" s="2163" t="n"/>
    </row>
    <row r="1323" outlineLevel="3" ht="12.75" customHeight="1">
      <c r="A1323" s="82" t="n">
        <v>86</v>
      </c>
      <c r="B1323" s="82" t="inlineStr">
        <is>
          <t>Insumo</t>
        </is>
      </c>
      <c r="C1323" s="82" t="inlineStr">
        <is>
          <t>Parede Com Sistema Em Chapas De Gesso Para Drywall, Uso Interno, Montante 90mm, Com Duas Face Simples Standart (ST/90/ST)</t>
        </is>
      </c>
      <c r="D1323" s="82" t="inlineStr">
        <is>
          <t>SERVICO - CONFECCAO SHAFT GESSO</t>
        </is>
      </c>
      <c r="E1323" s="11">
        <f t="array" ref="E1323">_xlfn.XLOOKUP(D1323,Insumos!B:B,Insumos!C:$C)</f>
        <v/>
      </c>
      <c r="F1323" s="2164" t="n">
        <v>1</v>
      </c>
      <c r="G1323" s="92">
        <f t="array" ref="G1323">IF(B1323="insumo",_xlfn.XLOOKUP($D1323,Insumos!$B$1:$B$996,Insumos!$D$1:$D$996),"")</f>
        <v/>
      </c>
      <c r="H1323" s="92" t="n">
        <v>70</v>
      </c>
      <c r="I1323" s="2165" t="n">
        <v>0</v>
      </c>
      <c r="J1323" s="2165" t="n">
        <v>0</v>
      </c>
      <c r="K1323" s="2165" t="n"/>
    </row>
    <row r="1324" outlineLevel="3" ht="12.75" customHeight="1">
      <c r="A1324" s="82" t="n">
        <v>47</v>
      </c>
      <c r="B1324" s="82" t="inlineStr">
        <is>
          <t>Insumo</t>
        </is>
      </c>
      <c r="C1324" s="82" t="inlineStr">
        <is>
          <t>Parede Com Sistema Em Chapas De Gesso Para Drywall, Uso Interno, Montante 90mm, Com Duas Face Simples Standart (ST/90/ST)</t>
        </is>
      </c>
      <c r="D1324" s="82" t="inlineStr">
        <is>
          <t>PLACA / CHAPA DE GESSO ACARTONADO, STANDARD (ST), COR BRANCA, E = 12,5 MM, 1200 X 2400 MM (L X C)</t>
        </is>
      </c>
      <c r="E1324" s="11">
        <f t="array" ref="E1324">_xlfn.XLOOKUP(D1324,Insumos!B:B,Insumos!C:$C)</f>
        <v/>
      </c>
      <c r="F1324" s="2164" t="n">
        <v>2.106</v>
      </c>
      <c r="G1324" s="92">
        <f t="array" ref="G1324">IF(B1324="insumo",_xlfn.XLOOKUP($D1324,Insumos!$B$1:$B$996,Insumos!$D$1:$D$996),"")</f>
        <v/>
      </c>
      <c r="H1324" s="92" t="n">
        <v>42.45696</v>
      </c>
      <c r="I1324" s="2165" t="n">
        <v>0</v>
      </c>
      <c r="J1324" s="2165" t="n">
        <v>0</v>
      </c>
      <c r="K1324" s="2165" t="n"/>
    </row>
    <row r="1325" outlineLevel="3" ht="12.75" customHeight="1">
      <c r="A1325" s="82" t="n">
        <v>95</v>
      </c>
      <c r="B1325" s="82" t="inlineStr">
        <is>
          <t>Insumo</t>
        </is>
      </c>
      <c r="C1325" s="82" t="inlineStr">
        <is>
          <t>Parede Com Sistema Em Chapas De Gesso Para Drywall, Uso Interno, Montante 90mm, Com Duas Face Simples Standart (ST/90/ST)</t>
        </is>
      </c>
      <c r="D1325" s="82" t="inlineStr">
        <is>
          <t>PINO DE ACO COM ARRUELA CONICA, DIAMETRO ARRUELA = *23* MM E COMP HASTE = *27* MM (ACAO INDIRETA)</t>
        </is>
      </c>
      <c r="E1325" s="11">
        <f t="array" ref="E1325">_xlfn.XLOOKUP(D1325,Insumos!B:B,Insumos!C:$C)</f>
        <v/>
      </c>
      <c r="F1325" s="2164" t="n">
        <v>4.95</v>
      </c>
      <c r="G1325" s="92">
        <f t="array" ref="G1325">IF(B1325="insumo",_xlfn.XLOOKUP($D1325,Insumos!$B$1:$B$996,Insumos!$D$1:$D$996),"")</f>
        <v/>
      </c>
      <c r="H1325" s="92" t="n">
        <v>2.4948</v>
      </c>
      <c r="I1325" s="2165" t="n">
        <v>0</v>
      </c>
      <c r="J1325" s="2165" t="n">
        <v>0</v>
      </c>
      <c r="K1325" s="2165" t="n"/>
    </row>
    <row r="1326" outlineLevel="3" ht="12.75" customHeight="1">
      <c r="A1326" s="82" t="n">
        <v>26</v>
      </c>
      <c r="B1326" s="82" t="inlineStr">
        <is>
          <t>Insumo</t>
        </is>
      </c>
      <c r="C1326" s="82" t="inlineStr">
        <is>
          <t>Parede Com Sistema Em Chapas De Gesso Para Drywall, Uso Interno, Montante 90mm, Com Duas Face Simples Standart (ST/90/ST)</t>
        </is>
      </c>
      <c r="D1326" s="82" t="inlineStr">
        <is>
          <t>PERFIL GUIA, FORMATO U, EM ACO ZINCADO, PARA ESTRUTURA PAREDE DRYWALL, E = 0,5 MM, 90 X 3000 MM (L X C)</t>
        </is>
      </c>
      <c r="E1326" s="11">
        <f t="array" ref="E1326">_xlfn.XLOOKUP(D1326,Insumos!B:B,Insumos!C:$C)</f>
        <v/>
      </c>
      <c r="F1326" s="2164" t="n">
        <v>1.5248</v>
      </c>
      <c r="G1326" s="92">
        <f t="array" ref="G1326">IF(B1326="insumo",_xlfn.XLOOKUP($D1326,Insumos!$B$1:$B$996,Insumos!$D$1:$D$996),"")</f>
        <v/>
      </c>
      <c r="H1326" s="92" t="n">
        <v>13.174272</v>
      </c>
      <c r="I1326" s="2165" t="n">
        <v>0</v>
      </c>
      <c r="J1326" s="2165" t="n">
        <v>0</v>
      </c>
      <c r="K1326" s="2165" t="n"/>
    </row>
    <row r="1327" outlineLevel="3" ht="12.75" customHeight="1">
      <c r="A1327" s="82" t="n">
        <v>26</v>
      </c>
      <c r="B1327" s="82" t="inlineStr">
        <is>
          <t>Insumo</t>
        </is>
      </c>
      <c r="C1327" s="82" t="inlineStr">
        <is>
          <t>Parede Com Sistema Em Chapas De Gesso Para Drywall, Uso Interno, Montante 90mm, Com Duas Face Simples Standart (ST/90/ST)</t>
        </is>
      </c>
      <c r="D1327" s="82" t="inlineStr">
        <is>
          <t>PERFIL MONTANTE, FORMATO C, EM ACO ZINCADO, PARA ESTRUTURA PAREDE DRYWALL, E = 0,5 MM, 90 X 3000 MM (L X C)</t>
        </is>
      </c>
      <c r="E1327" s="11">
        <f t="array" ref="E1327">_xlfn.XLOOKUP(D1327,Insumos!B:B,Insumos!C:$C)</f>
        <v/>
      </c>
      <c r="F1327" s="2164" t="n">
        <v>4.0011</v>
      </c>
      <c r="G1327" s="92">
        <f t="array" ref="G1327">IF(B1327="insumo",_xlfn.XLOOKUP($D1327,Insumos!$B$1:$B$996,Insumos!$D$1:$D$996),"")</f>
        <v/>
      </c>
      <c r="H1327" s="92" t="n">
        <v>72.37989899999999</v>
      </c>
      <c r="I1327" s="2165" t="n">
        <v>0</v>
      </c>
      <c r="J1327" s="2165" t="n">
        <v>0</v>
      </c>
      <c r="K1327" s="2165" t="n"/>
    </row>
    <row r="1328" outlineLevel="3" ht="12.75" customHeight="1">
      <c r="A1328" s="82" t="n">
        <v>95</v>
      </c>
      <c r="B1328" s="82" t="inlineStr">
        <is>
          <t>Insumo</t>
        </is>
      </c>
      <c r="C1328" s="82" t="inlineStr">
        <is>
          <t>Parede Com Sistema Em Chapas De Gesso Para Drywall, Uso Interno, Montante 90mm, Com Duas Face Simples Standart (ST/90/ST)</t>
        </is>
      </c>
      <c r="D1328" s="82" t="inlineStr">
        <is>
          <t>MASSA DE REJUNTE EM PO PARA DRYWALL, A BASE DE GESSO, SECAGEM RAPIDA, PARA TRATAMENTO DE JUNTAS DE CHAPA DE GESSO (NECESSITA ADICAO DE AGUA)</t>
        </is>
      </c>
      <c r="E1328" s="11">
        <f t="array" ref="E1328">_xlfn.XLOOKUP(D1328,Insumos!B:B,Insumos!C:$C)</f>
        <v/>
      </c>
      <c r="F1328" s="2164" t="n">
        <v>1.0978</v>
      </c>
      <c r="G1328" s="92">
        <f t="array" ref="G1328">IF(B1328="insumo",_xlfn.XLOOKUP($D1328,Insumos!$B$1:$B$996,Insumos!$D$1:$D$996),"")</f>
        <v/>
      </c>
      <c r="H1328" s="92" t="n">
        <v>3.765454</v>
      </c>
      <c r="I1328" s="2165" t="n">
        <v>0</v>
      </c>
      <c r="J1328" s="2165" t="n">
        <v>0</v>
      </c>
      <c r="K1328" s="2165" t="n"/>
    </row>
    <row r="1329" outlineLevel="3" ht="12.75" customHeight="1">
      <c r="A1329" s="82" t="n">
        <v>94</v>
      </c>
      <c r="B1329" s="82" t="inlineStr">
        <is>
          <t>Insumo</t>
        </is>
      </c>
      <c r="C1329" s="82" t="inlineStr">
        <is>
          <t>Parede Com Sistema Em Chapas De Gesso Para Drywall, Uso Interno, Montante 90mm, Com Duas Face Simples Standart (ST/90/ST)</t>
        </is>
      </c>
      <c r="D1329" s="82" t="inlineStr">
        <is>
          <t>FITA DE PAPEL MICROPERFURADO, 50 X 150 MM, PARA TRATAMENTO DE JUNTAS DE CHAPA DE GESSO PARA DRYWALL</t>
        </is>
      </c>
      <c r="E1329" s="11">
        <f t="array" ref="E1329">_xlfn.XLOOKUP(D1329,Insumos!B:B,Insumos!C:$C)</f>
        <v/>
      </c>
      <c r="F1329" s="2164" t="n">
        <v>2.5027</v>
      </c>
      <c r="G1329" s="92">
        <f t="array" ref="G1329">IF(B1329="insumo",_xlfn.XLOOKUP($D1329,Insumos!$B$1:$B$996,Insumos!$D$1:$D$996),"")</f>
        <v/>
      </c>
      <c r="H1329" s="92" t="n">
        <v>0.775837</v>
      </c>
      <c r="I1329" s="2165" t="n">
        <v>0</v>
      </c>
      <c r="J1329" s="2165" t="n">
        <v>0</v>
      </c>
      <c r="K1329" s="2165" t="n"/>
    </row>
    <row r="1330" outlineLevel="3" ht="12.75" customHeight="1">
      <c r="A1330" s="82" t="n">
        <v>94</v>
      </c>
      <c r="B1330" s="82" t="inlineStr">
        <is>
          <t>Insumo</t>
        </is>
      </c>
      <c r="C1330" s="82" t="inlineStr">
        <is>
          <t>Parede Com Sistema Em Chapas De Gesso Para Drywall, Uso Interno, Montante 90mm, Com Duas Face Simples Standart (ST/90/ST)</t>
        </is>
      </c>
      <c r="D1330" s="82" t="inlineStr">
        <is>
          <t>FITA DE PAPEL REFORCADA COM LAMINA DE METAL PARA REFORCO DE CANTOS DE CHAPA DE GESSO PARA DRYWALL</t>
        </is>
      </c>
      <c r="E1330" s="11">
        <f t="array" ref="E1330">_xlfn.XLOOKUP(D1330,Insumos!B:B,Insumos!C:$C)</f>
        <v/>
      </c>
      <c r="F1330" s="2164" t="n">
        <v>1.4815</v>
      </c>
      <c r="G1330" s="92">
        <f t="array" ref="G1330">IF(B1330="insumo",_xlfn.XLOOKUP($D1330,Insumos!$B$1:$B$996,Insumos!$D$1:$D$996),"")</f>
        <v/>
      </c>
      <c r="H1330" s="92" t="n">
        <v>4.05931</v>
      </c>
      <c r="I1330" s="2165" t="n">
        <v>0</v>
      </c>
      <c r="J1330" s="2165" t="n">
        <v>0</v>
      </c>
      <c r="K1330" s="2165" t="n"/>
    </row>
    <row r="1331" outlineLevel="3" ht="12.75" customHeight="1">
      <c r="A1331" s="82" t="n">
        <v>97</v>
      </c>
      <c r="B1331" s="82" t="inlineStr">
        <is>
          <t>Insumo</t>
        </is>
      </c>
      <c r="C1331" s="82" t="inlineStr">
        <is>
          <t>Parede Com Sistema Em Chapas De Gesso Para Drywall, Uso Interno, Montante 90mm, Com Duas Face Simples Standart (ST/90/ST)</t>
        </is>
      </c>
      <c r="D1331" s="82" t="inlineStr">
        <is>
          <t>PARAFUSO DRY WALL, EM ACO FOSFATIZADO, CABECA TROMBETA E PONTA AGULHA (TA), COMPRIMENTO 25 MM</t>
        </is>
      </c>
      <c r="E1331" s="11">
        <f t="array" ref="E1331">_xlfn.XLOOKUP(D1331,Insumos!B:B,Insumos!C:$C)</f>
        <v/>
      </c>
      <c r="F1331" s="2164" t="n">
        <v>20.1868</v>
      </c>
      <c r="G1331" s="92">
        <f t="array" ref="G1331">IF(B1331="insumo",_xlfn.XLOOKUP($D1331,Insumos!$B$1:$B$996,Insumos!$D$1:$D$996),"")</f>
        <v/>
      </c>
      <c r="H1331" s="92" t="n">
        <v>1.816812</v>
      </c>
      <c r="I1331" s="2165" t="n">
        <v>0</v>
      </c>
      <c r="J1331" s="2165" t="n">
        <v>0</v>
      </c>
      <c r="K1331" s="2165" t="n"/>
    </row>
    <row r="1332" outlineLevel="3" ht="12.75" customHeight="1">
      <c r="A1332" s="82" t="n">
        <v>95</v>
      </c>
      <c r="B1332" s="82" t="inlineStr">
        <is>
          <t>Insumo</t>
        </is>
      </c>
      <c r="C1332" s="82" t="inlineStr">
        <is>
          <t>Parede Com Sistema Em Chapas De Gesso Para Drywall, Uso Interno, Montante 90mm, Com Duas Face Simples Standart (ST/90/ST)</t>
        </is>
      </c>
      <c r="D1332" s="82" t="inlineStr">
        <is>
          <t>PARAFUSO DRY WALL, EM ACO ZINCADO, CABECA LENTILHA E PONTA BROCA (LB), LARGURA 4,2 MM, COMPRIMENTO 13 MM</t>
        </is>
      </c>
      <c r="E1332" s="11">
        <f t="array" ref="E1332">_xlfn.XLOOKUP(D1332,Insumos!B:B,Insumos!C:$C)</f>
        <v/>
      </c>
      <c r="F1332" s="2164" t="n">
        <v>0.4803</v>
      </c>
      <c r="G1332" s="92">
        <f t="array" ref="G1332">IF(B1332="insumo",_xlfn.XLOOKUP($D1332,Insumos!$B$1:$B$996,Insumos!$D$1:$D$996),"")</f>
        <v/>
      </c>
      <c r="H1332" s="92" t="n">
        <v>0.09606000000000001</v>
      </c>
      <c r="I1332" s="2165" t="n">
        <v>0</v>
      </c>
      <c r="J1332" s="2165" t="n">
        <v>0</v>
      </c>
      <c r="K1332" s="2165" t="n"/>
    </row>
    <row r="1333" outlineLevel="2" ht="12.75" customHeight="1">
      <c r="A1333" s="1071" t="n">
        <v>1</v>
      </c>
      <c r="B1333" s="1071" t="inlineStr">
        <is>
          <t>Serviço</t>
        </is>
      </c>
      <c r="C1333" s="1071" t="inlineStr">
        <is>
          <t>Parede Com Sistema Em Chapas De Gesso Para Drywall, Uso Interno, Montante 90mm, Com Duas Face Simples Resistente à Umidade (RU/90/RU)</t>
        </is>
      </c>
      <c r="D1333" s="1071" t="inlineStr">
        <is>
          <t>Parede Com Sistema Em Chapas De Gesso Para Drywall, Uso Interno, Montante 90mm, Com Duas Face Simples Resistente à Umidade (RU/90/RU)</t>
        </is>
      </c>
      <c r="E1333" s="1072" t="inlineStr">
        <is>
          <t>M2</t>
        </is>
      </c>
      <c r="F1333" s="1071" t="n"/>
      <c r="G1333" s="1073">
        <f t="array" ref="G1333">IF(B1333="insumo",_xlfn.XLOOKUP($D1333,Insumos!$B$1:$B$996,Insumos!$D$1:$D$996),"")</f>
        <v/>
      </c>
      <c r="H1333" s="1073" t="n">
        <v>225.635044</v>
      </c>
      <c r="I1333" s="2163" t="n">
        <v>0</v>
      </c>
      <c r="J1333" s="2163" t="n">
        <v>0</v>
      </c>
      <c r="K1333" s="2163" t="n"/>
    </row>
    <row r="1334" outlineLevel="3" ht="12.75" customHeight="1">
      <c r="A1334" s="82" t="n">
        <v>86</v>
      </c>
      <c r="B1334" s="82" t="inlineStr">
        <is>
          <t>Insumo</t>
        </is>
      </c>
      <c r="C1334" s="82" t="inlineStr">
        <is>
          <t>Parede Com Sistema Em Chapas De Gesso Para Drywall, Uso Interno, Montante 90mm, Com Duas Face Simples Resistente à Umidade (RU/90/RU)</t>
        </is>
      </c>
      <c r="D1334" s="82" t="inlineStr">
        <is>
          <t>SERVICO - CONFECCAO SHAFT GESSO</t>
        </is>
      </c>
      <c r="E1334" s="11">
        <f t="array" ref="E1334">_xlfn.XLOOKUP(D1334,Insumos!B:B,Insumos!C:$C)</f>
        <v/>
      </c>
      <c r="F1334" s="2164" t="n">
        <v>1</v>
      </c>
      <c r="G1334" s="92">
        <f t="array" ref="G1334">IF(B1334="insumo",_xlfn.XLOOKUP($D1334,Insumos!$B$1:$B$996,Insumos!$D$1:$D$996),"")</f>
        <v/>
      </c>
      <c r="H1334" s="92" t="n">
        <v>70</v>
      </c>
      <c r="I1334" s="2165" t="n">
        <v>0</v>
      </c>
      <c r="J1334" s="2165" t="n">
        <v>0</v>
      </c>
      <c r="K1334" s="2165" t="n"/>
    </row>
    <row r="1335" outlineLevel="3" ht="12.75" customHeight="1">
      <c r="A1335" s="82" t="n">
        <v>49</v>
      </c>
      <c r="B1335" s="82" t="inlineStr">
        <is>
          <t>Insumo</t>
        </is>
      </c>
      <c r="C1335" s="82" t="inlineStr">
        <is>
          <t>Parede Com Sistema Em Chapas De Gesso Para Drywall, Uso Interno, Montante 90mm, Com Duas Face Simples Resistente à Umidade (RU/90/RU)</t>
        </is>
      </c>
      <c r="D1335" s="82" t="inlineStr">
        <is>
          <t>PLACA / CHAPA DE GESSO ACARTONADO, RESISTENTE A UMIDADE (RU), COR VERDE, E = 12,5 MM, 1200 X 2400 MM (L X C)</t>
        </is>
      </c>
      <c r="E1335" s="11">
        <f t="array" ref="E1335">_xlfn.XLOOKUP(D1335,Insumos!B:B,Insumos!C:$C)</f>
        <v/>
      </c>
      <c r="F1335" s="2164" t="n">
        <v>2.106</v>
      </c>
      <c r="G1335" s="92">
        <f t="array" ref="G1335">IF(B1335="insumo",_xlfn.XLOOKUP($D1335,Insumos!$B$1:$B$996,Insumos!$D$1:$D$996),"")</f>
        <v/>
      </c>
      <c r="H1335" s="92" t="n">
        <v>57.0726</v>
      </c>
      <c r="I1335" s="2165" t="n">
        <v>0</v>
      </c>
      <c r="J1335" s="2165" t="n">
        <v>0</v>
      </c>
      <c r="K1335" s="2165" t="n"/>
    </row>
    <row r="1336" outlineLevel="3" ht="12.75" customHeight="1">
      <c r="A1336" s="82" t="n">
        <v>95</v>
      </c>
      <c r="B1336" s="82" t="inlineStr">
        <is>
          <t>Insumo</t>
        </is>
      </c>
      <c r="C1336" s="82" t="inlineStr">
        <is>
          <t>Parede Com Sistema Em Chapas De Gesso Para Drywall, Uso Interno, Montante 90mm, Com Duas Face Simples Resistente à Umidade (RU/90/RU)</t>
        </is>
      </c>
      <c r="D1336" s="82" t="inlineStr">
        <is>
          <t>PINO DE ACO COM ARRUELA CONICA, DIAMETRO ARRUELA = *23* MM E COMP HASTE = *27* MM (ACAO INDIRETA)</t>
        </is>
      </c>
      <c r="E1336" s="11">
        <f t="array" ref="E1336">_xlfn.XLOOKUP(D1336,Insumos!B:B,Insumos!C:$C)</f>
        <v/>
      </c>
      <c r="F1336" s="2164" t="n">
        <v>4.95</v>
      </c>
      <c r="G1336" s="92">
        <f t="array" ref="G1336">IF(B1336="insumo",_xlfn.XLOOKUP($D1336,Insumos!$B$1:$B$996,Insumos!$D$1:$D$996),"")</f>
        <v/>
      </c>
      <c r="H1336" s="92" t="n">
        <v>2.4948</v>
      </c>
      <c r="I1336" s="2165" t="n">
        <v>0</v>
      </c>
      <c r="J1336" s="2165" t="n">
        <v>0</v>
      </c>
      <c r="K1336" s="2165" t="n"/>
    </row>
    <row r="1337" outlineLevel="3" ht="12.75" customHeight="1">
      <c r="A1337" s="82" t="n">
        <v>26</v>
      </c>
      <c r="B1337" s="82" t="inlineStr">
        <is>
          <t>Insumo</t>
        </is>
      </c>
      <c r="C1337" s="82" t="inlineStr">
        <is>
          <t>Parede Com Sistema Em Chapas De Gesso Para Drywall, Uso Interno, Montante 90mm, Com Duas Face Simples Resistente à Umidade (RU/90/RU)</t>
        </is>
      </c>
      <c r="D1337" s="82" t="inlineStr">
        <is>
          <t>PERFIL GUIA, FORMATO U, EM ACO ZINCADO, PARA ESTRUTURA PAREDE DRYWALL, E = 0,5 MM, 90 X 3000 MM (L X C)</t>
        </is>
      </c>
      <c r="E1337" s="11">
        <f t="array" ref="E1337">_xlfn.XLOOKUP(D1337,Insumos!B:B,Insumos!C:$C)</f>
        <v/>
      </c>
      <c r="F1337" s="2164" t="n">
        <v>1.5248</v>
      </c>
      <c r="G1337" s="92">
        <f t="array" ref="G1337">IF(B1337="insumo",_xlfn.XLOOKUP($D1337,Insumos!$B$1:$B$996,Insumos!$D$1:$D$996),"")</f>
        <v/>
      </c>
      <c r="H1337" s="92" t="n">
        <v>13.174272</v>
      </c>
      <c r="I1337" s="2165" t="n">
        <v>0</v>
      </c>
      <c r="J1337" s="2165" t="n">
        <v>0</v>
      </c>
      <c r="K1337" s="2165" t="n"/>
    </row>
    <row r="1338" outlineLevel="3" ht="12.75" customHeight="1">
      <c r="A1338" s="82" t="n">
        <v>26</v>
      </c>
      <c r="B1338" s="82" t="inlineStr">
        <is>
          <t>Insumo</t>
        </is>
      </c>
      <c r="C1338" s="82" t="inlineStr">
        <is>
          <t>Parede Com Sistema Em Chapas De Gesso Para Drywall, Uso Interno, Montante 90mm, Com Duas Face Simples Resistente à Umidade (RU/90/RU)</t>
        </is>
      </c>
      <c r="D1338" s="82" t="inlineStr">
        <is>
          <t>PERFIL MONTANTE, FORMATO C, EM ACO ZINCADO, PARA ESTRUTURA PAREDE DRYWALL, E = 0,5 MM, 90 X 3000 MM (L X C)</t>
        </is>
      </c>
      <c r="E1338" s="11">
        <f t="array" ref="E1338">_xlfn.XLOOKUP(D1338,Insumos!B:B,Insumos!C:$C)</f>
        <v/>
      </c>
      <c r="F1338" s="2164" t="n">
        <v>4.0011</v>
      </c>
      <c r="G1338" s="92">
        <f t="array" ref="G1338">IF(B1338="insumo",_xlfn.XLOOKUP($D1338,Insumos!$B$1:$B$996,Insumos!$D$1:$D$996),"")</f>
        <v/>
      </c>
      <c r="H1338" s="92" t="n">
        <v>72.37989899999999</v>
      </c>
      <c r="I1338" s="2165" t="n">
        <v>0</v>
      </c>
      <c r="J1338" s="2165" t="n">
        <v>0</v>
      </c>
      <c r="K1338" s="2165" t="n"/>
    </row>
    <row r="1339" outlineLevel="3" ht="12.75" customHeight="1">
      <c r="A1339" s="82" t="n">
        <v>95</v>
      </c>
      <c r="B1339" s="82" t="inlineStr">
        <is>
          <t>Insumo</t>
        </is>
      </c>
      <c r="C1339" s="82" t="inlineStr">
        <is>
          <t>Parede Com Sistema Em Chapas De Gesso Para Drywall, Uso Interno, Montante 90mm, Com Duas Face Simples Resistente à Umidade (RU/90/RU)</t>
        </is>
      </c>
      <c r="D1339" s="82" t="inlineStr">
        <is>
          <t>MASSA DE REJUNTE EM PO PARA DRYWALL, A BASE DE GESSO, SECAGEM RAPIDA, PARA TRATAMENTO DE JUNTAS DE CHAPA DE GESSO (NECESSITA ADICAO DE AGUA)</t>
        </is>
      </c>
      <c r="E1339" s="11">
        <f t="array" ref="E1339">_xlfn.XLOOKUP(D1339,Insumos!B:B,Insumos!C:$C)</f>
        <v/>
      </c>
      <c r="F1339" s="2164" t="n">
        <v>1.0978</v>
      </c>
      <c r="G1339" s="92">
        <f t="array" ref="G1339">IF(B1339="insumo",_xlfn.XLOOKUP($D1339,Insumos!$B$1:$B$996,Insumos!$D$1:$D$996),"")</f>
        <v/>
      </c>
      <c r="H1339" s="92" t="n">
        <v>3.765454</v>
      </c>
      <c r="I1339" s="2165" t="n">
        <v>0</v>
      </c>
      <c r="J1339" s="2165" t="n">
        <v>0</v>
      </c>
      <c r="K1339" s="2165" t="n"/>
    </row>
    <row r="1340" outlineLevel="3" ht="12.75" customHeight="1">
      <c r="A1340" s="82" t="n">
        <v>94</v>
      </c>
      <c r="B1340" s="82" t="inlineStr">
        <is>
          <t>Insumo</t>
        </is>
      </c>
      <c r="C1340" s="82" t="inlineStr">
        <is>
          <t>Parede Com Sistema Em Chapas De Gesso Para Drywall, Uso Interno, Montante 90mm, Com Duas Face Simples Resistente à Umidade (RU/90/RU)</t>
        </is>
      </c>
      <c r="D1340" s="82" t="inlineStr">
        <is>
          <t>FITA DE PAPEL MICROPERFURADO, 50 X 150 MM, PARA TRATAMENTO DE JUNTAS DE CHAPA DE GESSO PARA DRYWALL</t>
        </is>
      </c>
      <c r="E1340" s="11">
        <f t="array" ref="E1340">_xlfn.XLOOKUP(D1340,Insumos!B:B,Insumos!C:$C)</f>
        <v/>
      </c>
      <c r="F1340" s="2164" t="n">
        <v>2.5027</v>
      </c>
      <c r="G1340" s="92">
        <f t="array" ref="G1340">IF(B1340="insumo",_xlfn.XLOOKUP($D1340,Insumos!$B$1:$B$996,Insumos!$D$1:$D$996),"")</f>
        <v/>
      </c>
      <c r="H1340" s="92" t="n">
        <v>0.775837</v>
      </c>
      <c r="I1340" s="2165" t="n">
        <v>0</v>
      </c>
      <c r="J1340" s="2165" t="n">
        <v>0</v>
      </c>
      <c r="K1340" s="2165" t="n"/>
    </row>
    <row r="1341" outlineLevel="3" ht="12.75" customHeight="1">
      <c r="A1341" s="82" t="n">
        <v>94</v>
      </c>
      <c r="B1341" s="82" t="inlineStr">
        <is>
          <t>Insumo</t>
        </is>
      </c>
      <c r="C1341" s="82" t="inlineStr">
        <is>
          <t>Parede Com Sistema Em Chapas De Gesso Para Drywall, Uso Interno, Montante 90mm, Com Duas Face Simples Resistente à Umidade (RU/90/RU)</t>
        </is>
      </c>
      <c r="D1341" s="82" t="inlineStr">
        <is>
          <t>FITA DE PAPEL REFORCADA COM LAMINA DE METAL PARA REFORCO DE CANTOS DE CHAPA DE GESSO PARA DRYWALL</t>
        </is>
      </c>
      <c r="E1341" s="11">
        <f t="array" ref="E1341">_xlfn.XLOOKUP(D1341,Insumos!B:B,Insumos!C:$C)</f>
        <v/>
      </c>
      <c r="F1341" s="2164" t="n">
        <v>1.4815</v>
      </c>
      <c r="G1341" s="92">
        <f t="array" ref="G1341">IF(B1341="insumo",_xlfn.XLOOKUP($D1341,Insumos!$B$1:$B$996,Insumos!$D$1:$D$996),"")</f>
        <v/>
      </c>
      <c r="H1341" s="92" t="n">
        <v>4.05931</v>
      </c>
      <c r="I1341" s="2165" t="n">
        <v>0</v>
      </c>
      <c r="J1341" s="2165" t="n">
        <v>0</v>
      </c>
      <c r="K1341" s="2165" t="n"/>
    </row>
    <row r="1342" outlineLevel="3" ht="12.75" customHeight="1">
      <c r="A1342" s="82" t="n">
        <v>97</v>
      </c>
      <c r="B1342" s="82" t="inlineStr">
        <is>
          <t>Insumo</t>
        </is>
      </c>
      <c r="C1342" s="82" t="inlineStr">
        <is>
          <t>Parede Com Sistema Em Chapas De Gesso Para Drywall, Uso Interno, Montante 90mm, Com Duas Face Simples Resistente à Umidade (RU/90/RU)</t>
        </is>
      </c>
      <c r="D1342" s="82" t="inlineStr">
        <is>
          <t>PARAFUSO DRY WALL, EM ACO FOSFATIZADO, CABECA TROMBETA E PONTA AGULHA (TA), COMPRIMENTO 25 MM</t>
        </is>
      </c>
      <c r="E1342" s="11">
        <f t="array" ref="E1342">_xlfn.XLOOKUP(D1342,Insumos!B:B,Insumos!C:$C)</f>
        <v/>
      </c>
      <c r="F1342" s="2164" t="n">
        <v>20.1868</v>
      </c>
      <c r="G1342" s="92">
        <f t="array" ref="G1342">IF(B1342="insumo",_xlfn.XLOOKUP($D1342,Insumos!$B$1:$B$996,Insumos!$D$1:$D$996),"")</f>
        <v/>
      </c>
      <c r="H1342" s="92" t="n">
        <v>1.816812</v>
      </c>
      <c r="I1342" s="2165" t="n">
        <v>0</v>
      </c>
      <c r="J1342" s="2165" t="n">
        <v>0</v>
      </c>
      <c r="K1342" s="2165" t="n"/>
    </row>
    <row r="1343" outlineLevel="3" ht="12.75" customHeight="1">
      <c r="A1343" s="82" t="n">
        <v>95</v>
      </c>
      <c r="B1343" s="82" t="inlineStr">
        <is>
          <t>Insumo</t>
        </is>
      </c>
      <c r="C1343" s="82" t="inlineStr">
        <is>
          <t>Parede Com Sistema Em Chapas De Gesso Para Drywall, Uso Interno, Montante 90mm, Com Duas Face Simples Resistente à Umidade (RU/90/RU)</t>
        </is>
      </c>
      <c r="D1343" s="82" t="inlineStr">
        <is>
          <t>PARAFUSO DRY WALL, EM ACO ZINCADO, CABECA LENTILHA E PONTA BROCA (LB), LARGURA 4,2 MM, COMPRIMENTO 13 MM</t>
        </is>
      </c>
      <c r="E1343" s="11">
        <f t="array" ref="E1343">_xlfn.XLOOKUP(D1343,Insumos!B:B,Insumos!C:$C)</f>
        <v/>
      </c>
      <c r="F1343" s="2164" t="n">
        <v>0.4803</v>
      </c>
      <c r="G1343" s="92">
        <f t="array" ref="G1343">IF(B1343="insumo",_xlfn.XLOOKUP($D1343,Insumos!$B$1:$B$996,Insumos!$D$1:$D$996),"")</f>
        <v/>
      </c>
      <c r="H1343" s="92" t="n">
        <v>0.09606000000000001</v>
      </c>
      <c r="I1343" s="2165" t="n">
        <v>0</v>
      </c>
      <c r="J1343" s="2165" t="n">
        <v>0</v>
      </c>
      <c r="K1343" s="2165" t="n"/>
    </row>
    <row r="1344" outlineLevel="2" ht="12.75" customHeight="1">
      <c r="A1344" s="1071" t="n">
        <v>1</v>
      </c>
      <c r="B1344" s="1071" t="inlineStr">
        <is>
          <t>Serviço</t>
        </is>
      </c>
      <c r="C1344" s="1071" t="inlineStr">
        <is>
          <t>Parede Com Sistema Em Chapas De Gesso Para Drywall, Uso Interno, Montante 90mm, Com Uma Face Standart e Uma Face Resistente a Umidade (ST/90/RU)</t>
        </is>
      </c>
      <c r="D1344" s="1071" t="inlineStr">
        <is>
          <t>Parede Com Sistema Em Chapas De Gesso Para Drywall, Uso Interno, Montante 90mm, Com Uma Face Standart e Uma Face Resistente a Umidade (ST/90/RU)</t>
        </is>
      </c>
      <c r="E1344" s="1072" t="inlineStr">
        <is>
          <t>M2</t>
        </is>
      </c>
      <c r="F1344" s="1071" t="n"/>
      <c r="G1344" s="1073">
        <f t="array" ref="G1344">IF(B1344="insumo",_xlfn.XLOOKUP($D1344,Insumos!$B$1:$B$996,Insumos!$D$1:$D$996),"")</f>
        <v/>
      </c>
      <c r="H1344" s="1073" t="n">
        <v>218.327224</v>
      </c>
      <c r="I1344" s="2163" t="n">
        <v>0</v>
      </c>
      <c r="J1344" s="2163" t="n">
        <v>0</v>
      </c>
      <c r="K1344" s="2163" t="n"/>
    </row>
    <row r="1345" outlineLevel="3" ht="12.75" customHeight="1">
      <c r="A1345" s="82" t="n">
        <v>86</v>
      </c>
      <c r="B1345" s="82" t="inlineStr">
        <is>
          <t>Insumo</t>
        </is>
      </c>
      <c r="C1345" s="82" t="inlineStr">
        <is>
          <t>Parede Com Sistema Em Chapas De Gesso Para Drywall, Uso Interno, Montante 90mm, Com Uma Face Standart e Uma Face Resistente a Umidade (ST/90/RU)</t>
        </is>
      </c>
      <c r="D1345" s="82" t="inlineStr">
        <is>
          <t>SERVICO - CONFECCAO SHAFT GESSO</t>
        </is>
      </c>
      <c r="E1345" s="11">
        <f t="array" ref="E1345">_xlfn.XLOOKUP(D1345,Insumos!B:B,Insumos!C:$C)</f>
        <v/>
      </c>
      <c r="F1345" s="2164" t="n">
        <v>1</v>
      </c>
      <c r="G1345" s="92">
        <f t="array" ref="G1345">IF(B1345="insumo",_xlfn.XLOOKUP($D1345,Insumos!$B$1:$B$996,Insumos!$D$1:$D$996),"")</f>
        <v/>
      </c>
      <c r="H1345" s="92" t="n">
        <v>70</v>
      </c>
      <c r="I1345" s="2165" t="n">
        <v>0</v>
      </c>
      <c r="J1345" s="2165" t="n">
        <v>0</v>
      </c>
      <c r="K1345" s="2165" t="n"/>
    </row>
    <row r="1346" outlineLevel="3" ht="12.75" customHeight="1">
      <c r="A1346" s="82" t="n">
        <v>49</v>
      </c>
      <c r="B1346" s="82" t="inlineStr">
        <is>
          <t>Insumo</t>
        </is>
      </c>
      <c r="C1346" s="82" t="inlineStr">
        <is>
          <t>Parede Com Sistema Em Chapas De Gesso Para Drywall, Uso Interno, Montante 90mm, Com Uma Face Standart e Uma Face Resistente a Umidade (ST/90/RU)</t>
        </is>
      </c>
      <c r="D1346" s="82" t="inlineStr">
        <is>
          <t>PLACA / CHAPA DE GESSO ACARTONADO, RESISTENTE A UMIDADE (RU), COR VERDE, E = 12,5 MM, 1200 X 2400 MM (L X C)</t>
        </is>
      </c>
      <c r="E1346" s="11">
        <f t="array" ref="E1346">_xlfn.XLOOKUP(D1346,Insumos!B:B,Insumos!C:$C)</f>
        <v/>
      </c>
      <c r="F1346" s="2164" t="n">
        <v>1.053</v>
      </c>
      <c r="G1346" s="92">
        <f t="array" ref="G1346">IF(B1346="insumo",_xlfn.XLOOKUP($D1346,Insumos!$B$1:$B$996,Insumos!$D$1:$D$996),"")</f>
        <v/>
      </c>
      <c r="H1346" s="92" t="n">
        <v>28.5363</v>
      </c>
      <c r="I1346" s="2165" t="n">
        <v>0</v>
      </c>
      <c r="J1346" s="2165" t="n">
        <v>0</v>
      </c>
      <c r="K1346" s="2165" t="n"/>
    </row>
    <row r="1347" outlineLevel="3" ht="12.75" customHeight="1">
      <c r="A1347" s="82" t="n">
        <v>47</v>
      </c>
      <c r="B1347" s="82" t="inlineStr">
        <is>
          <t>Insumo</t>
        </is>
      </c>
      <c r="C1347" s="82" t="inlineStr">
        <is>
          <t>Parede Com Sistema Em Chapas De Gesso Para Drywall, Uso Interno, Montante 90mm, Com Uma Face Standart e Uma Face Resistente a Umidade (ST/90/RU)</t>
        </is>
      </c>
      <c r="D1347" s="82" t="inlineStr">
        <is>
          <t>PLACA / CHAPA DE GESSO ACARTONADO, STANDARD (ST), COR BRANCA, E = 12,5 MM, 1200 X 2400 MM (L X C)</t>
        </is>
      </c>
      <c r="E1347" s="11">
        <f t="array" ref="E1347">_xlfn.XLOOKUP(D1347,Insumos!B:B,Insumos!C:$C)</f>
        <v/>
      </c>
      <c r="F1347" s="2164" t="n">
        <v>1.053</v>
      </c>
      <c r="G1347" s="92">
        <f t="array" ref="G1347">IF(B1347="insumo",_xlfn.XLOOKUP($D1347,Insumos!$B$1:$B$996,Insumos!$D$1:$D$996),"")</f>
        <v/>
      </c>
      <c r="H1347" s="92" t="n">
        <v>21.22848</v>
      </c>
      <c r="I1347" s="2165" t="n">
        <v>0</v>
      </c>
      <c r="J1347" s="2165" t="n">
        <v>0</v>
      </c>
      <c r="K1347" s="2165" t="n"/>
    </row>
    <row r="1348" outlineLevel="3" ht="12.75" customHeight="1">
      <c r="A1348" s="82" t="n">
        <v>95</v>
      </c>
      <c r="B1348" s="82" t="inlineStr">
        <is>
          <t>Insumo</t>
        </is>
      </c>
      <c r="C1348" s="82" t="inlineStr">
        <is>
          <t>Parede Com Sistema Em Chapas De Gesso Para Drywall, Uso Interno, Montante 90mm, Com Uma Face Standart e Uma Face Resistente a Umidade (ST/90/RU)</t>
        </is>
      </c>
      <c r="D1348" s="82" t="inlineStr">
        <is>
          <t>PINO DE ACO COM ARRUELA CONICA, DIAMETRO ARRUELA = *23* MM E COMP HASTE = *27* MM (ACAO INDIRETA)</t>
        </is>
      </c>
      <c r="E1348" s="11">
        <f t="array" ref="E1348">_xlfn.XLOOKUP(D1348,Insumos!B:B,Insumos!C:$C)</f>
        <v/>
      </c>
      <c r="F1348" s="2164" t="n">
        <v>4.95</v>
      </c>
      <c r="G1348" s="92">
        <f t="array" ref="G1348">IF(B1348="insumo",_xlfn.XLOOKUP($D1348,Insumos!$B$1:$B$996,Insumos!$D$1:$D$996),"")</f>
        <v/>
      </c>
      <c r="H1348" s="92" t="n">
        <v>2.4948</v>
      </c>
      <c r="I1348" s="2165" t="n">
        <v>0</v>
      </c>
      <c r="J1348" s="2165" t="n">
        <v>0</v>
      </c>
      <c r="K1348" s="2165" t="n"/>
    </row>
    <row r="1349" outlineLevel="3" ht="12.75" customHeight="1">
      <c r="A1349" s="82" t="n">
        <v>26</v>
      </c>
      <c r="B1349" s="82" t="inlineStr">
        <is>
          <t>Insumo</t>
        </is>
      </c>
      <c r="C1349" s="82" t="inlineStr">
        <is>
          <t>Parede Com Sistema Em Chapas De Gesso Para Drywall, Uso Interno, Montante 90mm, Com Uma Face Standart e Uma Face Resistente a Umidade (ST/90/RU)</t>
        </is>
      </c>
      <c r="D1349" s="82" t="inlineStr">
        <is>
          <t>PERFIL GUIA, FORMATO U, EM ACO ZINCADO, PARA ESTRUTURA PAREDE DRYWALL, E = 0,5 MM, 90 X 3000 MM (L X C)</t>
        </is>
      </c>
      <c r="E1349" s="11">
        <f t="array" ref="E1349">_xlfn.XLOOKUP(D1349,Insumos!B:B,Insumos!C:$C)</f>
        <v/>
      </c>
      <c r="F1349" s="2164" t="n">
        <v>1.5248</v>
      </c>
      <c r="G1349" s="92">
        <f t="array" ref="G1349">IF(B1349="insumo",_xlfn.XLOOKUP($D1349,Insumos!$B$1:$B$996,Insumos!$D$1:$D$996),"")</f>
        <v/>
      </c>
      <c r="H1349" s="92" t="n">
        <v>13.174272</v>
      </c>
      <c r="I1349" s="2165" t="n">
        <v>0</v>
      </c>
      <c r="J1349" s="2165" t="n">
        <v>0</v>
      </c>
      <c r="K1349" s="2165" t="n"/>
    </row>
    <row r="1350" outlineLevel="3" ht="12.75" customHeight="1">
      <c r="A1350" s="82" t="n">
        <v>26</v>
      </c>
      <c r="B1350" s="82" t="inlineStr">
        <is>
          <t>Insumo</t>
        </is>
      </c>
      <c r="C1350" s="82" t="inlineStr">
        <is>
          <t>Parede Com Sistema Em Chapas De Gesso Para Drywall, Uso Interno, Montante 90mm, Com Uma Face Standart e Uma Face Resistente a Umidade (ST/90/RU)</t>
        </is>
      </c>
      <c r="D1350" s="82" t="inlineStr">
        <is>
          <t>PERFIL MONTANTE, FORMATO C, EM ACO ZINCADO, PARA ESTRUTURA PAREDE DRYWALL, E = 0,5 MM, 90 X 3000 MM (L X C)</t>
        </is>
      </c>
      <c r="E1350" s="11">
        <f t="array" ref="E1350">_xlfn.XLOOKUP(D1350,Insumos!B:B,Insumos!C:$C)</f>
        <v/>
      </c>
      <c r="F1350" s="2164" t="n">
        <v>4.0011</v>
      </c>
      <c r="G1350" s="92">
        <f t="array" ref="G1350">IF(B1350="insumo",_xlfn.XLOOKUP($D1350,Insumos!$B$1:$B$996,Insumos!$D$1:$D$996),"")</f>
        <v/>
      </c>
      <c r="H1350" s="92" t="n">
        <v>72.37989899999999</v>
      </c>
      <c r="I1350" s="2165" t="n">
        <v>0</v>
      </c>
      <c r="J1350" s="2165" t="n">
        <v>0</v>
      </c>
      <c r="K1350" s="2165" t="n"/>
    </row>
    <row r="1351" outlineLevel="3" ht="12.75" customHeight="1">
      <c r="A1351" s="82" t="n">
        <v>95</v>
      </c>
      <c r="B1351" s="82" t="inlineStr">
        <is>
          <t>Insumo</t>
        </is>
      </c>
      <c r="C1351" s="82" t="inlineStr">
        <is>
          <t>Parede Com Sistema Em Chapas De Gesso Para Drywall, Uso Interno, Montante 90mm, Com Uma Face Standart e Uma Face Resistente a Umidade (ST/90/RU)</t>
        </is>
      </c>
      <c r="D1351" s="82" t="inlineStr">
        <is>
          <t>MASSA DE REJUNTE EM PO PARA DRYWALL, A BASE DE GESSO, SECAGEM RAPIDA, PARA TRATAMENTO DE JUNTAS DE CHAPA DE GESSO (NECESSITA ADICAO DE AGUA)</t>
        </is>
      </c>
      <c r="E1351" s="11">
        <f t="array" ref="E1351">_xlfn.XLOOKUP(D1351,Insumos!B:B,Insumos!C:$C)</f>
        <v/>
      </c>
      <c r="F1351" s="2164" t="n">
        <v>1.0978</v>
      </c>
      <c r="G1351" s="92">
        <f t="array" ref="G1351">IF(B1351="insumo",_xlfn.XLOOKUP($D1351,Insumos!$B$1:$B$996,Insumos!$D$1:$D$996),"")</f>
        <v/>
      </c>
      <c r="H1351" s="92" t="n">
        <v>3.765454</v>
      </c>
      <c r="I1351" s="2165" t="n">
        <v>0</v>
      </c>
      <c r="J1351" s="2165" t="n">
        <v>0</v>
      </c>
      <c r="K1351" s="2165" t="n"/>
    </row>
    <row r="1352" outlineLevel="3" ht="12.75" customHeight="1">
      <c r="A1352" s="82" t="n">
        <v>94</v>
      </c>
      <c r="B1352" s="82" t="inlineStr">
        <is>
          <t>Insumo</t>
        </is>
      </c>
      <c r="C1352" s="82" t="inlineStr">
        <is>
          <t>Parede Com Sistema Em Chapas De Gesso Para Drywall, Uso Interno, Montante 90mm, Com Uma Face Standart e Uma Face Resistente a Umidade (ST/90/RU)</t>
        </is>
      </c>
      <c r="D1352" s="82" t="inlineStr">
        <is>
          <t>FITA DE PAPEL MICROPERFURADO, 50 X 150 MM, PARA TRATAMENTO DE JUNTAS DE CHAPA DE GESSO PARA DRYWALL</t>
        </is>
      </c>
      <c r="E1352" s="11">
        <f t="array" ref="E1352">_xlfn.XLOOKUP(D1352,Insumos!B:B,Insumos!C:$C)</f>
        <v/>
      </c>
      <c r="F1352" s="2164" t="n">
        <v>2.5027</v>
      </c>
      <c r="G1352" s="92">
        <f t="array" ref="G1352">IF(B1352="insumo",_xlfn.XLOOKUP($D1352,Insumos!$B$1:$B$996,Insumos!$D$1:$D$996),"")</f>
        <v/>
      </c>
      <c r="H1352" s="92" t="n">
        <v>0.775837</v>
      </c>
      <c r="I1352" s="2165" t="n">
        <v>0</v>
      </c>
      <c r="J1352" s="2165" t="n">
        <v>0</v>
      </c>
      <c r="K1352" s="2165" t="n"/>
    </row>
    <row r="1353" outlineLevel="3" ht="12.75" customHeight="1">
      <c r="A1353" s="82" t="n">
        <v>94</v>
      </c>
      <c r="B1353" s="82" t="inlineStr">
        <is>
          <t>Insumo</t>
        </is>
      </c>
      <c r="C1353" s="82" t="inlineStr">
        <is>
          <t>Parede Com Sistema Em Chapas De Gesso Para Drywall, Uso Interno, Montante 90mm, Com Uma Face Standart e Uma Face Resistente a Umidade (ST/90/RU)</t>
        </is>
      </c>
      <c r="D1353" s="82" t="inlineStr">
        <is>
          <t>FITA DE PAPEL REFORCADA COM LAMINA DE METAL PARA REFORCO DE CANTOS DE CHAPA DE GESSO PARA DRYWALL</t>
        </is>
      </c>
      <c r="E1353" s="11">
        <f t="array" ref="E1353">_xlfn.XLOOKUP(D1353,Insumos!B:B,Insumos!C:$C)</f>
        <v/>
      </c>
      <c r="F1353" s="2164" t="n">
        <v>1.4815</v>
      </c>
      <c r="G1353" s="92">
        <f t="array" ref="G1353">IF(B1353="insumo",_xlfn.XLOOKUP($D1353,Insumos!$B$1:$B$996,Insumos!$D$1:$D$996),"")</f>
        <v/>
      </c>
      <c r="H1353" s="92" t="n">
        <v>4.05931</v>
      </c>
      <c r="I1353" s="2165" t="n">
        <v>0</v>
      </c>
      <c r="J1353" s="2165" t="n">
        <v>0</v>
      </c>
      <c r="K1353" s="2165" t="n"/>
    </row>
    <row r="1354" outlineLevel="3" ht="12.75" customHeight="1">
      <c r="A1354" s="82" t="n">
        <v>97</v>
      </c>
      <c r="B1354" s="82" t="inlineStr">
        <is>
          <t>Insumo</t>
        </is>
      </c>
      <c r="C1354" s="82" t="inlineStr">
        <is>
          <t>Parede Com Sistema Em Chapas De Gesso Para Drywall, Uso Interno, Montante 90mm, Com Uma Face Standart e Uma Face Resistente a Umidade (ST/90/RU)</t>
        </is>
      </c>
      <c r="D1354" s="82" t="inlineStr">
        <is>
          <t>PARAFUSO DRY WALL, EM ACO FOSFATIZADO, CABECA TROMBETA E PONTA AGULHA (TA), COMPRIMENTO 25 MM</t>
        </is>
      </c>
      <c r="E1354" s="11">
        <f t="array" ref="E1354">_xlfn.XLOOKUP(D1354,Insumos!B:B,Insumos!C:$C)</f>
        <v/>
      </c>
      <c r="F1354" s="2164" t="n">
        <v>20.1868</v>
      </c>
      <c r="G1354" s="92">
        <f t="array" ref="G1354">IF(B1354="insumo",_xlfn.XLOOKUP($D1354,Insumos!$B$1:$B$996,Insumos!$D$1:$D$996),"")</f>
        <v/>
      </c>
      <c r="H1354" s="92" t="n">
        <v>1.816812</v>
      </c>
      <c r="I1354" s="2165" t="n">
        <v>0</v>
      </c>
      <c r="J1354" s="2165" t="n">
        <v>0</v>
      </c>
      <c r="K1354" s="2165" t="n"/>
    </row>
    <row r="1355" outlineLevel="3" ht="12.75" customHeight="1">
      <c r="A1355" s="82" t="n">
        <v>95</v>
      </c>
      <c r="B1355" s="82" t="inlineStr">
        <is>
          <t>Insumo</t>
        </is>
      </c>
      <c r="C1355" s="82" t="inlineStr">
        <is>
          <t>Parede Com Sistema Em Chapas De Gesso Para Drywall, Uso Interno, Montante 90mm, Com Uma Face Standart e Uma Face Resistente a Umidade (ST/90/RU)</t>
        </is>
      </c>
      <c r="D1355" s="82" t="inlineStr">
        <is>
          <t>PARAFUSO DRY WALL, EM ACO ZINCADO, CABECA LENTILHA E PONTA BROCA (LB), LARGURA 4,2 MM, COMPRIMENTO 13 MM</t>
        </is>
      </c>
      <c r="E1355" s="11">
        <f t="array" ref="E1355">_xlfn.XLOOKUP(D1355,Insumos!B:B,Insumos!C:$C)</f>
        <v/>
      </c>
      <c r="F1355" s="2164" t="n">
        <v>0.4803</v>
      </c>
      <c r="G1355" s="92">
        <f t="array" ref="G1355">IF(B1355="insumo",_xlfn.XLOOKUP($D1355,Insumos!$B$1:$B$996,Insumos!$D$1:$D$996),"")</f>
        <v/>
      </c>
      <c r="H1355" s="92" t="n">
        <v>0.09606000000000001</v>
      </c>
      <c r="I1355" s="2165" t="n">
        <v>0</v>
      </c>
      <c r="J1355" s="2165" t="n">
        <v>0</v>
      </c>
      <c r="K1355" s="2165" t="n"/>
    </row>
    <row r="1356" outlineLevel="2" ht="12.75" customHeight="1">
      <c r="A1356" s="1071" t="n">
        <v>1</v>
      </c>
      <c r="B1356" s="1071" t="inlineStr">
        <is>
          <t>Serviço</t>
        </is>
      </c>
      <c r="C1356" s="1071" t="inlineStr">
        <is>
          <t>Perfil Steelframe, Montante 50mm - Um lado</t>
        </is>
      </c>
      <c r="D1356" s="1071" t="inlineStr">
        <is>
          <t>Perfil Steelframe, Montante 50mm - Um lado</t>
        </is>
      </c>
      <c r="E1356" s="1072" t="inlineStr">
        <is>
          <t>M2</t>
        </is>
      </c>
      <c r="F1356" s="1071" t="n"/>
      <c r="G1356" s="1073">
        <f t="array" ref="G1356">IF(B1356="insumo",_xlfn.XLOOKUP($D1356,Insumos!$B$1:$B$996,Insumos!$D$1:$D$996),"")</f>
        <v/>
      </c>
      <c r="H1356" s="1073" t="n">
        <v>23.578846</v>
      </c>
      <c r="I1356" s="2163" t="n">
        <v>0</v>
      </c>
      <c r="J1356" s="2163" t="n">
        <v>0</v>
      </c>
      <c r="K1356" s="2163" t="n"/>
    </row>
    <row r="1357" outlineLevel="3" ht="12.75" customHeight="1">
      <c r="A1357" s="82" t="n">
        <v>95</v>
      </c>
      <c r="B1357" s="82" t="inlineStr">
        <is>
          <t>Insumo</t>
        </is>
      </c>
      <c r="C1357" s="82" t="inlineStr">
        <is>
          <t>Perfil Steelframe, Montante 50mm - Um lado</t>
        </is>
      </c>
      <c r="D1357" s="82" t="inlineStr">
        <is>
          <t>PINO DE ACO COM ARRUELA CONICA, DIAMETRO ARRUELA = *23* MM E COMP HASTE = *27* MM (ACAO INDIRETA)</t>
        </is>
      </c>
      <c r="E1357" s="11">
        <f t="array" ref="E1357">_xlfn.XLOOKUP(D1357,Insumos!B:B,Insumos!C:$C)</f>
        <v/>
      </c>
      <c r="F1357" s="2164" t="n">
        <v>2.48</v>
      </c>
      <c r="G1357" s="92">
        <f t="array" ref="G1357">IF(B1357="insumo",_xlfn.XLOOKUP($D1357,Insumos!$B$1:$B$996,Insumos!$D$1:$D$996),"")</f>
        <v/>
      </c>
      <c r="H1357" s="92" t="n">
        <v>1.24992</v>
      </c>
      <c r="I1357" s="2165" t="n">
        <v>0</v>
      </c>
      <c r="J1357" s="2165" t="n">
        <v>0</v>
      </c>
      <c r="K1357" s="2165" t="n"/>
    </row>
    <row r="1358" outlineLevel="3" ht="12.75" customHeight="1">
      <c r="A1358" s="82" t="n">
        <v>26</v>
      </c>
      <c r="B1358" s="82" t="inlineStr">
        <is>
          <t>Insumo</t>
        </is>
      </c>
      <c r="C1358" s="82" t="inlineStr">
        <is>
          <t>Perfil Steelframe, Montante 50mm - Um lado</t>
        </is>
      </c>
      <c r="D1358" s="82" t="inlineStr">
        <is>
          <t>PERFIL GUIA, FORMATO U, EM ACO ZINCADO, PARA ESTRUTURA PAREDE DRYWALL, E = 0,5 MM, 48 X 3000 MM (L X C)</t>
        </is>
      </c>
      <c r="E1358" s="11">
        <f t="array" ref="E1358">_xlfn.XLOOKUP(D1358,Insumos!B:B,Insumos!C:$C)</f>
        <v/>
      </c>
      <c r="F1358" s="2164" t="n">
        <v>0.7624</v>
      </c>
      <c r="G1358" s="92">
        <f t="array" ref="G1358">IF(B1358="insumo",_xlfn.XLOOKUP($D1358,Insumos!$B$1:$B$996,Insumos!$D$1:$D$996),"")</f>
        <v/>
      </c>
      <c r="H1358" s="92" t="n">
        <v>5.359672</v>
      </c>
      <c r="I1358" s="2165" t="n">
        <v>0</v>
      </c>
      <c r="J1358" s="2165" t="n">
        <v>0</v>
      </c>
      <c r="K1358" s="2165" t="n"/>
    </row>
    <row r="1359" outlineLevel="3" ht="12.75" customHeight="1">
      <c r="A1359" s="82" t="n">
        <v>26</v>
      </c>
      <c r="B1359" s="82" t="inlineStr">
        <is>
          <t>Insumo</t>
        </is>
      </c>
      <c r="C1359" s="82" t="inlineStr">
        <is>
          <t>Perfil Steelframe, Montante 50mm - Um lado</t>
        </is>
      </c>
      <c r="D1359" s="82" t="inlineStr">
        <is>
          <t>PERFIL MONTANTE, FORMATO C, EM ACO ZINCADO, PARA ESTRUTURA PAREDE DRYWALL, E = 0,5 MM, 48 X 3000 MM (L X C)</t>
        </is>
      </c>
      <c r="E1359" s="11">
        <f t="array" ref="E1359">_xlfn.XLOOKUP(D1359,Insumos!B:B,Insumos!C:$C)</f>
        <v/>
      </c>
      <c r="F1359" s="2164" t="n">
        <v>2.0006</v>
      </c>
      <c r="G1359" s="92">
        <f t="array" ref="G1359">IF(B1359="insumo",_xlfn.XLOOKUP($D1359,Insumos!$B$1:$B$996,Insumos!$D$1:$D$996),"")</f>
        <v/>
      </c>
      <c r="H1359" s="92" t="n">
        <v>15.964788</v>
      </c>
      <c r="I1359" s="2165" t="n">
        <v>0</v>
      </c>
      <c r="J1359" s="2165" t="n">
        <v>0</v>
      </c>
      <c r="K1359" s="2165" t="n"/>
    </row>
    <row r="1360" outlineLevel="3" ht="12.75" customHeight="1">
      <c r="A1360" s="82" t="n">
        <v>97</v>
      </c>
      <c r="B1360" s="82" t="inlineStr">
        <is>
          <t>Insumo</t>
        </is>
      </c>
      <c r="C1360" s="82" t="inlineStr">
        <is>
          <t>Perfil Steelframe, Montante 50mm - Um lado</t>
        </is>
      </c>
      <c r="D1360" s="82" t="inlineStr">
        <is>
          <t>PARAFUSO DRY WALL, EM ACO FOSFATIZADO, CABECA TROMBETA E PONTA AGULHA (TA), COMPRIMENTO 25 MM</t>
        </is>
      </c>
      <c r="E1360" s="11">
        <f t="array" ref="E1360">_xlfn.XLOOKUP(D1360,Insumos!B:B,Insumos!C:$C)</f>
        <v/>
      </c>
      <c r="F1360" s="2164" t="n">
        <v>10.0934</v>
      </c>
      <c r="G1360" s="92">
        <f t="array" ref="G1360">IF(B1360="insumo",_xlfn.XLOOKUP($D1360,Insumos!$B$1:$B$996,Insumos!$D$1:$D$996),"")</f>
        <v/>
      </c>
      <c r="H1360" s="92" t="n">
        <v>0.908406</v>
      </c>
      <c r="I1360" s="2165" t="n">
        <v>0</v>
      </c>
      <c r="J1360" s="2165" t="n">
        <v>0</v>
      </c>
      <c r="K1360" s="2165" t="n"/>
    </row>
    <row r="1361" outlineLevel="3" ht="12.75" customHeight="1">
      <c r="A1361" s="82" t="n">
        <v>95</v>
      </c>
      <c r="B1361" s="82" t="inlineStr">
        <is>
          <t>Insumo</t>
        </is>
      </c>
      <c r="C1361" s="82" t="inlineStr">
        <is>
          <t>Perfil Steelframe, Montante 50mm - Um lado</t>
        </is>
      </c>
      <c r="D1361" s="82" t="inlineStr">
        <is>
          <t>PARAFUSO DRY WALL, EM ACO ZINCADO, CABECA LENTILHA E PONTA BROCA (LB), LARGURA 4,2 MM, COMPRIMENTO 13 MM</t>
        </is>
      </c>
      <c r="E1361" s="11">
        <f t="array" ref="E1361">_xlfn.XLOOKUP(D1361,Insumos!B:B,Insumos!C:$C)</f>
        <v/>
      </c>
      <c r="F1361" s="2164" t="n">
        <v>0.4803</v>
      </c>
      <c r="G1361" s="92">
        <f t="array" ref="G1361">IF(B1361="insumo",_xlfn.XLOOKUP($D1361,Insumos!$B$1:$B$996,Insumos!$D$1:$D$996),"")</f>
        <v/>
      </c>
      <c r="H1361" s="92" t="n">
        <v>0.09606000000000001</v>
      </c>
      <c r="I1361" s="2165" t="n">
        <v>0</v>
      </c>
      <c r="J1361" s="2165" t="n">
        <v>0</v>
      </c>
      <c r="K1361" s="2165" t="n"/>
    </row>
    <row r="1362" outlineLevel="2" ht="12.75" customHeight="1">
      <c r="A1362" s="1071" t="n">
        <v>1</v>
      </c>
      <c r="B1362" s="1071" t="inlineStr">
        <is>
          <t>Serviço</t>
        </is>
      </c>
      <c r="C1362" s="1071" t="inlineStr">
        <is>
          <t>Perfil Steelframe, Montante 70mm - Um lado</t>
        </is>
      </c>
      <c r="D1362" s="1071" t="inlineStr">
        <is>
          <t>Perfil Steelframe, Montante 70mm - Um lado</t>
        </is>
      </c>
      <c r="E1362" s="1072" t="inlineStr">
        <is>
          <t>M2</t>
        </is>
      </c>
      <c r="F1362" s="1071" t="n"/>
      <c r="G1362" s="1073">
        <f t="array" ref="G1362">IF(B1362="insumo",_xlfn.XLOOKUP($D1362,Insumos!$B$1:$B$996,Insumos!$D$1:$D$996),"")</f>
        <v/>
      </c>
      <c r="H1362" s="1073" t="n">
        <v>23.906678</v>
      </c>
      <c r="I1362" s="2163" t="n">
        <v>0</v>
      </c>
      <c r="J1362" s="2163" t="n">
        <v>0</v>
      </c>
      <c r="K1362" s="2163" t="n"/>
    </row>
    <row r="1363" outlineLevel="3" ht="12.75" customHeight="1">
      <c r="A1363" s="82" t="n">
        <v>95</v>
      </c>
      <c r="B1363" s="82" t="inlineStr">
        <is>
          <t>Insumo</t>
        </is>
      </c>
      <c r="C1363" s="82" t="inlineStr">
        <is>
          <t>Perfil Steelframe, Montante 70mm - Um lado</t>
        </is>
      </c>
      <c r="D1363" s="82" t="inlineStr">
        <is>
          <t>PINO DE ACO COM ARRUELA CONICA, DIAMETRO ARRUELA = *23* MM E COMP HASTE = *27* MM (ACAO INDIRETA)</t>
        </is>
      </c>
      <c r="E1363" s="11">
        <f t="array" ref="E1363">_xlfn.XLOOKUP(D1363,Insumos!B:B,Insumos!C:$C)</f>
        <v/>
      </c>
      <c r="F1363" s="2164" t="n">
        <v>2.48</v>
      </c>
      <c r="G1363" s="92">
        <f t="array" ref="G1363">IF(B1363="insumo",_xlfn.XLOOKUP($D1363,Insumos!$B$1:$B$996,Insumos!$D$1:$D$996),"")</f>
        <v/>
      </c>
      <c r="H1363" s="92" t="n">
        <v>1.24992</v>
      </c>
      <c r="I1363" s="2165" t="n">
        <v>0</v>
      </c>
      <c r="J1363" s="2165" t="n">
        <v>0</v>
      </c>
      <c r="K1363" s="2165" t="n"/>
    </row>
    <row r="1364" outlineLevel="3" ht="12.75" customHeight="1">
      <c r="A1364" s="82" t="n">
        <v>43</v>
      </c>
      <c r="B1364" s="82" t="inlineStr">
        <is>
          <t>Insumo</t>
        </is>
      </c>
      <c r="C1364" s="82" t="inlineStr">
        <is>
          <t>Perfil Steelframe, Montante 70mm - Um lado</t>
        </is>
      </c>
      <c r="D1364" s="82" t="inlineStr">
        <is>
          <t>PERFIL GUIA, FORMATO U, EM ACO ZINCADO, PARA ESTRUTURA PAREDE DRYWALL, E = 0,5 MM, 70 X 3000 MM (L X C)</t>
        </is>
      </c>
      <c r="E1364" s="11">
        <f t="array" ref="E1364">_xlfn.XLOOKUP(D1364,Insumos!B:B,Insumos!C:$C)</f>
        <v/>
      </c>
      <c r="F1364" s="2164" t="n">
        <v>0.7624</v>
      </c>
      <c r="G1364" s="92">
        <f t="array" ref="G1364">IF(B1364="insumo",_xlfn.XLOOKUP($D1364,Insumos!$B$1:$B$996,Insumos!$D$1:$D$996),"")</f>
        <v/>
      </c>
      <c r="H1364" s="92" t="n">
        <v>5.687504</v>
      </c>
      <c r="I1364" s="2165" t="n">
        <v>0</v>
      </c>
      <c r="J1364" s="2165" t="n">
        <v>0</v>
      </c>
      <c r="K1364" s="2165" t="n"/>
    </row>
    <row r="1365" outlineLevel="3" ht="12.75" customHeight="1">
      <c r="A1365" s="82" t="n">
        <v>43</v>
      </c>
      <c r="B1365" s="82" t="inlineStr">
        <is>
          <t>Insumo</t>
        </is>
      </c>
      <c r="C1365" s="82" t="inlineStr">
        <is>
          <t>Perfil Steelframe, Montante 70mm - Um lado</t>
        </is>
      </c>
      <c r="D1365" s="82" t="inlineStr">
        <is>
          <t>PERFIL MONTANTE, FORMATO C, EM ACO ZINCADO, PARA ESTRUTURA PAREDE DRYWALL, E = 0,5 MM, 70 X 3000 MM (L X C)</t>
        </is>
      </c>
      <c r="E1365" s="11">
        <f t="array" ref="E1365">_xlfn.XLOOKUP(D1365,Insumos!B:B,Insumos!C:$C)</f>
        <v/>
      </c>
      <c r="F1365" s="2164" t="n">
        <v>2.0006</v>
      </c>
      <c r="G1365" s="92">
        <f t="array" ref="G1365">IF(B1365="insumo",_xlfn.XLOOKUP($D1365,Insumos!$B$1:$B$996,Insumos!$D$1:$D$996),"")</f>
        <v/>
      </c>
      <c r="H1365" s="92" t="n">
        <v>15.964788</v>
      </c>
      <c r="I1365" s="2165" t="n">
        <v>0</v>
      </c>
      <c r="J1365" s="2165" t="n">
        <v>0</v>
      </c>
      <c r="K1365" s="2165" t="n"/>
    </row>
    <row r="1366" outlineLevel="3" ht="12.75" customHeight="1">
      <c r="A1366" s="82" t="n">
        <v>97</v>
      </c>
      <c r="B1366" s="82" t="inlineStr">
        <is>
          <t>Insumo</t>
        </is>
      </c>
      <c r="C1366" s="82" t="inlineStr">
        <is>
          <t>Perfil Steelframe, Montante 70mm - Um lado</t>
        </is>
      </c>
      <c r="D1366" s="82" t="inlineStr">
        <is>
          <t>PARAFUSO DRY WALL, EM ACO FOSFATIZADO, CABECA TROMBETA E PONTA AGULHA (TA), COMPRIMENTO 25 MM</t>
        </is>
      </c>
      <c r="E1366" s="11">
        <f t="array" ref="E1366">_xlfn.XLOOKUP(D1366,Insumos!B:B,Insumos!C:$C)</f>
        <v/>
      </c>
      <c r="F1366" s="2164" t="n">
        <v>10.0934</v>
      </c>
      <c r="G1366" s="92">
        <f t="array" ref="G1366">IF(B1366="insumo",_xlfn.XLOOKUP($D1366,Insumos!$B$1:$B$996,Insumos!$D$1:$D$996),"")</f>
        <v/>
      </c>
      <c r="H1366" s="92" t="n">
        <v>0.908406</v>
      </c>
      <c r="I1366" s="2165" t="n">
        <v>0</v>
      </c>
      <c r="J1366" s="2165" t="n">
        <v>0</v>
      </c>
      <c r="K1366" s="2165" t="n"/>
    </row>
    <row r="1367" outlineLevel="3" ht="12.75" customHeight="1">
      <c r="A1367" s="82" t="n">
        <v>95</v>
      </c>
      <c r="B1367" s="82" t="inlineStr">
        <is>
          <t>Insumo</t>
        </is>
      </c>
      <c r="C1367" s="82" t="inlineStr">
        <is>
          <t>Perfil Steelframe, Montante 70mm - Um lado</t>
        </is>
      </c>
      <c r="D1367" s="82" t="inlineStr">
        <is>
          <t>PARAFUSO DRY WALL, EM ACO ZINCADO, CABECA LENTILHA E PONTA BROCA (LB), LARGURA 4,2 MM, COMPRIMENTO 13 MM</t>
        </is>
      </c>
      <c r="E1367" s="11">
        <f t="array" ref="E1367">_xlfn.XLOOKUP(D1367,Insumos!B:B,Insumos!C:$C)</f>
        <v/>
      </c>
      <c r="F1367" s="2164" t="n">
        <v>0.4803</v>
      </c>
      <c r="G1367" s="92">
        <f t="array" ref="G1367">IF(B1367="insumo",_xlfn.XLOOKUP($D1367,Insumos!$B$1:$B$996,Insumos!$D$1:$D$996),"")</f>
        <v/>
      </c>
      <c r="H1367" s="92" t="n">
        <v>0.09606000000000001</v>
      </c>
      <c r="I1367" s="2165" t="n">
        <v>0</v>
      </c>
      <c r="J1367" s="2165" t="n">
        <v>0</v>
      </c>
      <c r="K1367" s="2165" t="n"/>
    </row>
    <row r="1368" outlineLevel="2" ht="12.75" customHeight="1">
      <c r="A1368" s="1071" t="n">
        <v>1</v>
      </c>
      <c r="B1368" s="1071" t="inlineStr">
        <is>
          <t>Serviço</t>
        </is>
      </c>
      <c r="C1368" s="1071" t="inlineStr">
        <is>
          <t>Perfil Steelframe, Montante 90mm - Um lado</t>
        </is>
      </c>
      <c r="D1368" s="1071" t="inlineStr">
        <is>
          <t>Perfil Steelframe, Montante 90mm - Um lado</t>
        </is>
      </c>
      <c r="E1368" s="1072" t="inlineStr">
        <is>
          <t>M2</t>
        </is>
      </c>
      <c r="F1368" s="1071" t="n"/>
      <c r="G1368" s="1073">
        <f t="array" ref="G1368">IF(B1368="insumo",_xlfn.XLOOKUP($D1368,Insumos!$B$1:$B$996,Insumos!$D$1:$D$996),"")</f>
        <v/>
      </c>
      <c r="H1368" s="1073" t="n">
        <v>45.032376</v>
      </c>
      <c r="I1368" s="2163" t="n">
        <v>0</v>
      </c>
      <c r="J1368" s="2163" t="n">
        <v>0</v>
      </c>
      <c r="K1368" s="2163" t="n"/>
    </row>
    <row r="1369" outlineLevel="3" ht="12.75" customHeight="1">
      <c r="A1369" s="82" t="n">
        <v>95</v>
      </c>
      <c r="B1369" s="82" t="inlineStr">
        <is>
          <t>Insumo</t>
        </is>
      </c>
      <c r="C1369" s="82" t="inlineStr">
        <is>
          <t>Perfil Steelframe, Montante 90mm - Um lado</t>
        </is>
      </c>
      <c r="D1369" s="82" t="inlineStr">
        <is>
          <t>PINO DE ACO COM ARRUELA CONICA, DIAMETRO ARRUELA = *23* MM E COMP HASTE = *27* MM (ACAO INDIRETA)</t>
        </is>
      </c>
      <c r="E1369" s="11">
        <f t="array" ref="E1369">_xlfn.XLOOKUP(D1369,Insumos!B:B,Insumos!C:$C)</f>
        <v/>
      </c>
      <c r="F1369" s="2164" t="n">
        <v>2.48</v>
      </c>
      <c r="G1369" s="92">
        <f t="array" ref="G1369">IF(B1369="insumo",_xlfn.XLOOKUP($D1369,Insumos!$B$1:$B$996,Insumos!$D$1:$D$996),"")</f>
        <v/>
      </c>
      <c r="H1369" s="92" t="n">
        <v>1.24992</v>
      </c>
      <c r="I1369" s="2165" t="n">
        <v>0</v>
      </c>
      <c r="J1369" s="2165" t="n">
        <v>0</v>
      </c>
      <c r="K1369" s="2165" t="n"/>
    </row>
    <row r="1370" outlineLevel="3" ht="12.75" customHeight="1">
      <c r="A1370" s="82" t="n">
        <v>26</v>
      </c>
      <c r="B1370" s="82" t="inlineStr">
        <is>
          <t>Insumo</t>
        </is>
      </c>
      <c r="C1370" s="82" t="inlineStr">
        <is>
          <t>Perfil Steelframe, Montante 90mm - Um lado</t>
        </is>
      </c>
      <c r="D1370" s="82" t="inlineStr">
        <is>
          <t>PERFIL GUIA, FORMATO U, EM ACO ZINCADO, PARA ESTRUTURA PAREDE DRYWALL, E = 0,5 MM, 90 X 3000 MM (L X C)</t>
        </is>
      </c>
      <c r="E1370" s="11">
        <f t="array" ref="E1370">_xlfn.XLOOKUP(D1370,Insumos!B:B,Insumos!C:$C)</f>
        <v/>
      </c>
      <c r="F1370" s="2164" t="n">
        <v>0.7624</v>
      </c>
      <c r="G1370" s="92">
        <f t="array" ref="G1370">IF(B1370="insumo",_xlfn.XLOOKUP($D1370,Insumos!$B$1:$B$996,Insumos!$D$1:$D$996),"")</f>
        <v/>
      </c>
      <c r="H1370" s="92" t="n">
        <v>6.587136</v>
      </c>
      <c r="I1370" s="2165" t="n">
        <v>0</v>
      </c>
      <c r="J1370" s="2165" t="n">
        <v>0</v>
      </c>
      <c r="K1370" s="2165" t="n"/>
    </row>
    <row r="1371" outlineLevel="3" ht="12.75" customHeight="1">
      <c r="A1371" s="82" t="n">
        <v>26</v>
      </c>
      <c r="B1371" s="82" t="inlineStr">
        <is>
          <t>Insumo</t>
        </is>
      </c>
      <c r="C1371" s="82" t="inlineStr">
        <is>
          <t>Perfil Steelframe, Montante 90mm - Um lado</t>
        </is>
      </c>
      <c r="D1371" s="82" t="inlineStr">
        <is>
          <t>PERFIL MONTANTE, FORMATO C, EM ACO ZINCADO, PARA ESTRUTURA PAREDE DRYWALL, E = 0,5 MM, 90 X 3000 MM (L X C)</t>
        </is>
      </c>
      <c r="E1371" s="11">
        <f t="array" ref="E1371">_xlfn.XLOOKUP(D1371,Insumos!B:B,Insumos!C:$C)</f>
        <v/>
      </c>
      <c r="F1371" s="2164" t="n">
        <v>2.0006</v>
      </c>
      <c r="G1371" s="92">
        <f t="array" ref="G1371">IF(B1371="insumo",_xlfn.XLOOKUP($D1371,Insumos!$B$1:$B$996,Insumos!$D$1:$D$996),"")</f>
        <v/>
      </c>
      <c r="H1371" s="92" t="n">
        <v>36.190854</v>
      </c>
      <c r="I1371" s="2165" t="n">
        <v>0</v>
      </c>
      <c r="J1371" s="2165" t="n">
        <v>0</v>
      </c>
      <c r="K1371" s="2165" t="n"/>
    </row>
    <row r="1372" outlineLevel="3" ht="12.75" customHeight="1">
      <c r="A1372" s="82" t="n">
        <v>97</v>
      </c>
      <c r="B1372" s="82" t="inlineStr">
        <is>
          <t>Insumo</t>
        </is>
      </c>
      <c r="C1372" s="82" t="inlineStr">
        <is>
          <t>Perfil Steelframe, Montante 90mm - Um lado</t>
        </is>
      </c>
      <c r="D1372" s="82" t="inlineStr">
        <is>
          <t>PARAFUSO DRY WALL, EM ACO FOSFATIZADO, CABECA TROMBETA E PONTA AGULHA (TA), COMPRIMENTO 25 MM</t>
        </is>
      </c>
      <c r="E1372" s="11">
        <f t="array" ref="E1372">_xlfn.XLOOKUP(D1372,Insumos!B:B,Insumos!C:$C)</f>
        <v/>
      </c>
      <c r="F1372" s="2164" t="n">
        <v>10.0934</v>
      </c>
      <c r="G1372" s="92">
        <f t="array" ref="G1372">IF(B1372="insumo",_xlfn.XLOOKUP($D1372,Insumos!$B$1:$B$996,Insumos!$D$1:$D$996),"")</f>
        <v/>
      </c>
      <c r="H1372" s="92" t="n">
        <v>0.908406</v>
      </c>
      <c r="I1372" s="2165" t="n">
        <v>0</v>
      </c>
      <c r="J1372" s="2165" t="n">
        <v>0</v>
      </c>
      <c r="K1372" s="2165" t="n"/>
    </row>
    <row r="1373" outlineLevel="3" ht="12.75" customHeight="1">
      <c r="A1373" s="82" t="n">
        <v>95</v>
      </c>
      <c r="B1373" s="82" t="inlineStr">
        <is>
          <t>Insumo</t>
        </is>
      </c>
      <c r="C1373" s="82" t="inlineStr">
        <is>
          <t>Perfil Steelframe, Montante 90mm - Um lado</t>
        </is>
      </c>
      <c r="D1373" s="82" t="inlineStr">
        <is>
          <t>PARAFUSO DRY WALL, EM ACO ZINCADO, CABECA LENTILHA E PONTA BROCA (LB), LARGURA 4,2 MM, COMPRIMENTO 13 MM</t>
        </is>
      </c>
      <c r="E1373" s="11">
        <f t="array" ref="E1373">_xlfn.XLOOKUP(D1373,Insumos!B:B,Insumos!C:$C)</f>
        <v/>
      </c>
      <c r="F1373" s="2164" t="n">
        <v>0.4803</v>
      </c>
      <c r="G1373" s="92">
        <f t="array" ref="G1373">IF(B1373="insumo",_xlfn.XLOOKUP($D1373,Insumos!$B$1:$B$996,Insumos!$D$1:$D$996),"")</f>
        <v/>
      </c>
      <c r="H1373" s="92" t="n">
        <v>0.09606000000000001</v>
      </c>
      <c r="I1373" s="2165" t="n">
        <v>0</v>
      </c>
      <c r="J1373" s="2165" t="n">
        <v>0</v>
      </c>
      <c r="K1373" s="2165" t="n"/>
    </row>
    <row r="1374" outlineLevel="2" ht="12.75" customHeight="1">
      <c r="A1374" s="1071" t="n">
        <v>1</v>
      </c>
      <c r="B1374" s="1071" t="inlineStr">
        <is>
          <t>Serviço</t>
        </is>
      </c>
      <c r="C1374" s="1071" t="inlineStr">
        <is>
          <t>Enchimento de parede em Chapas De Gesso Para Drywall, Uso Interno, Montante 70mm, Com Uma Face Simples Standart e isolamento com Lâ de Vidro (ST/70)</t>
        </is>
      </c>
      <c r="D1374" s="1071" t="inlineStr">
        <is>
          <t>Enchimento de parede em Chapas De Gesso Para Drywall, Uso Interno, Montante 70mm, Com Uma Face Simples Standart e isolamento com Lâ de Vidro (ST/70)</t>
        </is>
      </c>
      <c r="E1374" s="1072" t="inlineStr">
        <is>
          <t>M2</t>
        </is>
      </c>
      <c r="F1374" s="1071" t="n"/>
      <c r="G1374" s="1073">
        <f t="array" ref="G1374">IF(B1374="insumo",_xlfn.XLOOKUP($D1374,Insumos!$B$1:$B$996,Insumos!$D$1:$D$996),"")</f>
        <v/>
      </c>
      <c r="H1374" s="1073" t="n">
        <v>133.546839333333</v>
      </c>
      <c r="I1374" s="2163" t="n">
        <v>0</v>
      </c>
      <c r="J1374" s="2163" t="n">
        <v>0</v>
      </c>
      <c r="K1374" s="2163" t="n"/>
    </row>
    <row r="1375" outlineLevel="3" ht="12.75" customHeight="1">
      <c r="A1375" s="82" t="n">
        <v>86</v>
      </c>
      <c r="B1375" s="82" t="inlineStr">
        <is>
          <t>Insumo</t>
        </is>
      </c>
      <c r="C1375" s="82" t="inlineStr">
        <is>
          <t>Enchimento de parede em Chapas De Gesso Para Drywall, Uso Interno, Montante 70mm, Com Uma Face Simples Standart e isolamento com Lâ de Vidro (ST/70)</t>
        </is>
      </c>
      <c r="D1375" s="82" t="inlineStr">
        <is>
          <t>SERVICO - CONFECCAO SHAFT GESSO</t>
        </is>
      </c>
      <c r="E1375" s="11">
        <f t="array" ref="E1375">_xlfn.XLOOKUP(D1375,Insumos!B:B,Insumos!C:$C)</f>
        <v/>
      </c>
      <c r="F1375" s="2164" t="n">
        <v>1</v>
      </c>
      <c r="G1375" s="92">
        <f t="array" ref="G1375">IF(B1375="insumo",_xlfn.XLOOKUP($D1375,Insumos!$B$1:$B$996,Insumos!$D$1:$D$996),"")</f>
        <v/>
      </c>
      <c r="H1375" s="92" t="n">
        <v>70</v>
      </c>
      <c r="I1375" s="2165" t="n">
        <v>0</v>
      </c>
      <c r="J1375" s="2165" t="n">
        <v>0</v>
      </c>
      <c r="K1375" s="2165" t="n"/>
    </row>
    <row r="1376" outlineLevel="3" ht="12.75" customHeight="1">
      <c r="A1376" s="82" t="n">
        <v>47</v>
      </c>
      <c r="B1376" s="82" t="inlineStr">
        <is>
          <t>Insumo</t>
        </is>
      </c>
      <c r="C1376" s="82" t="inlineStr">
        <is>
          <t>Enchimento de parede em Chapas De Gesso Para Drywall, Uso Interno, Montante 70mm, Com Uma Face Simples Standart e isolamento com Lâ de Vidro (ST/70)</t>
        </is>
      </c>
      <c r="D1376" s="82" t="inlineStr">
        <is>
          <t>PLACA / CHAPA DE GESSO ACARTONADO, STANDARD (ST), COR BRANCA, E = 12,5 MM, 1200 X 2400 MM (L X C)</t>
        </is>
      </c>
      <c r="E1376" s="11">
        <f t="array" ref="E1376">_xlfn.XLOOKUP(D1376,Insumos!B:B,Insumos!C:$C)</f>
        <v/>
      </c>
      <c r="F1376" s="2164" t="n">
        <v>1.053</v>
      </c>
      <c r="G1376" s="92">
        <f t="array" ref="G1376">IF(B1376="insumo",_xlfn.XLOOKUP($D1376,Insumos!$B$1:$B$996,Insumos!$D$1:$D$996),"")</f>
        <v/>
      </c>
      <c r="H1376" s="92" t="n">
        <v>21.22848</v>
      </c>
      <c r="I1376" s="2165" t="n">
        <v>0</v>
      </c>
      <c r="J1376" s="2165" t="n">
        <v>0</v>
      </c>
      <c r="K1376" s="2165" t="n"/>
    </row>
    <row r="1377" outlineLevel="3" ht="12.75" customHeight="1">
      <c r="A1377" s="82" t="n">
        <v>95</v>
      </c>
      <c r="B1377" s="82" t="inlineStr">
        <is>
          <t>Insumo</t>
        </is>
      </c>
      <c r="C1377" s="82" t="inlineStr">
        <is>
          <t>Enchimento de parede em Chapas De Gesso Para Drywall, Uso Interno, Montante 70mm, Com Uma Face Simples Standart e isolamento com Lâ de Vidro (ST/70)</t>
        </is>
      </c>
      <c r="D1377" s="82" t="inlineStr">
        <is>
          <t>PINO DE ACO COM ARRUELA CONICA, DIAMETRO ARRUELA = *23* MM E COMP HASTE = *27* MM (ACAO INDIRETA)</t>
        </is>
      </c>
      <c r="E1377" s="11">
        <f t="array" ref="E1377">_xlfn.XLOOKUP(D1377,Insumos!B:B,Insumos!C:$C)</f>
        <v/>
      </c>
      <c r="F1377" s="2164" t="n">
        <v>2.48</v>
      </c>
      <c r="G1377" s="92">
        <f t="array" ref="G1377">IF(B1377="insumo",_xlfn.XLOOKUP($D1377,Insumos!$B$1:$B$996,Insumos!$D$1:$D$996),"")</f>
        <v/>
      </c>
      <c r="H1377" s="92" t="n">
        <v>1.24992</v>
      </c>
      <c r="I1377" s="2165" t="n">
        <v>0</v>
      </c>
      <c r="J1377" s="2165" t="n">
        <v>0</v>
      </c>
      <c r="K1377" s="2165" t="n"/>
    </row>
    <row r="1378" outlineLevel="3" ht="12.75" customHeight="1">
      <c r="A1378" s="82" t="n">
        <v>43</v>
      </c>
      <c r="B1378" s="82" t="inlineStr">
        <is>
          <t>Insumo</t>
        </is>
      </c>
      <c r="C1378" s="82" t="inlineStr">
        <is>
          <t>Enchimento de parede em Chapas De Gesso Para Drywall, Uso Interno, Montante 70mm, Com Uma Face Simples Standart e isolamento com Lâ de Vidro (ST/70)</t>
        </is>
      </c>
      <c r="D1378" s="82" t="inlineStr">
        <is>
          <t>PERFIL GUIA, FORMATO U, EM ACO ZINCADO, PARA ESTRUTURA PAREDE DRYWALL, E = 0,5 MM, 70 X 3000 MM (L X C)</t>
        </is>
      </c>
      <c r="E1378" s="11">
        <f t="array" ref="E1378">_xlfn.XLOOKUP(D1378,Insumos!B:B,Insumos!C:$C)</f>
        <v/>
      </c>
      <c r="F1378" s="2164" t="n">
        <v>0.7624</v>
      </c>
      <c r="G1378" s="92">
        <f t="array" ref="G1378">IF(B1378="insumo",_xlfn.XLOOKUP($D1378,Insumos!$B$1:$B$996,Insumos!$D$1:$D$996),"")</f>
        <v/>
      </c>
      <c r="H1378" s="92" t="n">
        <v>5.687504</v>
      </c>
      <c r="I1378" s="2165" t="n">
        <v>0</v>
      </c>
      <c r="J1378" s="2165" t="n">
        <v>0</v>
      </c>
      <c r="K1378" s="2165" t="n"/>
    </row>
    <row r="1379" outlineLevel="3" ht="12.75" customHeight="1">
      <c r="A1379" s="82" t="n">
        <v>43</v>
      </c>
      <c r="B1379" s="82" t="inlineStr">
        <is>
          <t>Insumo</t>
        </is>
      </c>
      <c r="C1379" s="82" t="inlineStr">
        <is>
          <t>Enchimento de parede em Chapas De Gesso Para Drywall, Uso Interno, Montante 70mm, Com Uma Face Simples Standart e isolamento com Lâ de Vidro (ST/70)</t>
        </is>
      </c>
      <c r="D1379" s="82" t="inlineStr">
        <is>
          <t>PERFIL MONTANTE, FORMATO C, EM ACO ZINCADO, PARA ESTRUTURA PAREDE DRYWALL, E = 0,5 MM, 70 X 3000 MM (L X C)</t>
        </is>
      </c>
      <c r="E1379" s="11">
        <f t="array" ref="E1379">_xlfn.XLOOKUP(D1379,Insumos!B:B,Insumos!C:$C)</f>
        <v/>
      </c>
      <c r="F1379" s="2164" t="n">
        <v>2.0006</v>
      </c>
      <c r="G1379" s="92">
        <f t="array" ref="G1379">IF(B1379="insumo",_xlfn.XLOOKUP($D1379,Insumos!$B$1:$B$996,Insumos!$D$1:$D$996),"")</f>
        <v/>
      </c>
      <c r="H1379" s="92" t="n">
        <v>15.964788</v>
      </c>
      <c r="I1379" s="2165" t="n">
        <v>0</v>
      </c>
      <c r="J1379" s="2165" t="n">
        <v>0</v>
      </c>
      <c r="K1379" s="2165" t="n"/>
    </row>
    <row r="1380" outlineLevel="3" ht="12.75" customHeight="1">
      <c r="A1380" s="82" t="n">
        <v>95</v>
      </c>
      <c r="B1380" s="82" t="inlineStr">
        <is>
          <t>Insumo</t>
        </is>
      </c>
      <c r="C1380" s="82" t="inlineStr">
        <is>
          <t>Enchimento de parede em Chapas De Gesso Para Drywall, Uso Interno, Montante 70mm, Com Uma Face Simples Standart e isolamento com Lâ de Vidro (ST/70)</t>
        </is>
      </c>
      <c r="D1380" s="82" t="inlineStr">
        <is>
          <t>MASSA DE REJUNTE EM PO PARA DRYWALL, A BASE DE GESSO, SECAGEM RAPIDA, PARA TRATAMENTO DE JUNTAS DE CHAPA DE GESSO (NECESSITA ADICAO DE AGUA)</t>
        </is>
      </c>
      <c r="E1380" s="11">
        <f t="array" ref="E1380">_xlfn.XLOOKUP(D1380,Insumos!B:B,Insumos!C:$C)</f>
        <v/>
      </c>
      <c r="F1380" s="2164" t="n">
        <v>0.5489000000000001</v>
      </c>
      <c r="G1380" s="92">
        <f t="array" ref="G1380">IF(B1380="insumo",_xlfn.XLOOKUP($D1380,Insumos!$B$1:$B$996,Insumos!$D$1:$D$996),"")</f>
        <v/>
      </c>
      <c r="H1380" s="92" t="n">
        <v>1.882727</v>
      </c>
      <c r="I1380" s="2165" t="n">
        <v>0</v>
      </c>
      <c r="J1380" s="2165" t="n">
        <v>0</v>
      </c>
      <c r="K1380" s="2165" t="n"/>
    </row>
    <row r="1381" outlineLevel="3" ht="12.75" customHeight="1">
      <c r="A1381" s="82" t="n">
        <v>94</v>
      </c>
      <c r="B1381" s="82" t="inlineStr">
        <is>
          <t>Insumo</t>
        </is>
      </c>
      <c r="C1381" s="82" t="inlineStr">
        <is>
          <t>Enchimento de parede em Chapas De Gesso Para Drywall, Uso Interno, Montante 70mm, Com Uma Face Simples Standart e isolamento com Lâ de Vidro (ST/70)</t>
        </is>
      </c>
      <c r="D1381" s="82" t="inlineStr">
        <is>
          <t>FITA DE PAPEL MICROPERFURADO, 50 X 150 MM, PARA TRATAMENTO DE JUNTAS DE CHAPA DE GESSO PARA DRYWALL</t>
        </is>
      </c>
      <c r="E1381" s="11">
        <f t="array" ref="E1381">_xlfn.XLOOKUP(D1381,Insumos!B:B,Insumos!C:$C)</f>
        <v/>
      </c>
      <c r="F1381" s="2164" t="n">
        <v>1.2513</v>
      </c>
      <c r="G1381" s="92">
        <f t="array" ref="G1381">IF(B1381="insumo",_xlfn.XLOOKUP($D1381,Insumos!$B$1:$B$996,Insumos!$D$1:$D$996),"")</f>
        <v/>
      </c>
      <c r="H1381" s="92" t="n">
        <v>0.387903</v>
      </c>
      <c r="I1381" s="2165" t="n">
        <v>0</v>
      </c>
      <c r="J1381" s="2165" t="n">
        <v>0</v>
      </c>
      <c r="K1381" s="2165" t="n"/>
    </row>
    <row r="1382" outlineLevel="3" ht="12.75" customHeight="1">
      <c r="A1382" s="82" t="n">
        <v>94</v>
      </c>
      <c r="B1382" s="82" t="inlineStr">
        <is>
          <t>Insumo</t>
        </is>
      </c>
      <c r="C1382" s="82" t="inlineStr">
        <is>
          <t>Enchimento de parede em Chapas De Gesso Para Drywall, Uso Interno, Montante 70mm, Com Uma Face Simples Standart e isolamento com Lâ de Vidro (ST/70)</t>
        </is>
      </c>
      <c r="D1382" s="82" t="inlineStr">
        <is>
          <t>FITA DE PAPEL REFORCADA COM LAMINA DE METAL PARA REFORCO DE CANTOS DE CHAPA DE GESSO PARA DRYWALL</t>
        </is>
      </c>
      <c r="E1382" s="11">
        <f t="array" ref="E1382">_xlfn.XLOOKUP(D1382,Insumos!B:B,Insumos!C:$C)</f>
        <v/>
      </c>
      <c r="F1382" s="2164" t="n">
        <v>0.7407</v>
      </c>
      <c r="G1382" s="92">
        <f t="array" ref="G1382">IF(B1382="insumo",_xlfn.XLOOKUP($D1382,Insumos!$B$1:$B$996,Insumos!$D$1:$D$996),"")</f>
        <v/>
      </c>
      <c r="H1382" s="92" t="n">
        <v>2.029518</v>
      </c>
      <c r="I1382" s="2165" t="n">
        <v>0</v>
      </c>
      <c r="J1382" s="2165" t="n">
        <v>0</v>
      </c>
      <c r="K1382" s="2165" t="n"/>
    </row>
    <row r="1383" outlineLevel="3" ht="12.75" customHeight="1">
      <c r="A1383" s="82" t="n">
        <v>97</v>
      </c>
      <c r="B1383" s="82" t="inlineStr">
        <is>
          <t>Insumo</t>
        </is>
      </c>
      <c r="C1383" s="82" t="inlineStr">
        <is>
          <t>Enchimento de parede em Chapas De Gesso Para Drywall, Uso Interno, Montante 70mm, Com Uma Face Simples Standart e isolamento com Lâ de Vidro (ST/70)</t>
        </is>
      </c>
      <c r="D1383" s="82" t="inlineStr">
        <is>
          <t>PARAFUSO DRY WALL, EM ACO FOSFATIZADO, CABECA TROMBETA E PONTA AGULHA (TA), COMPRIMENTO 25 MM</t>
        </is>
      </c>
      <c r="E1383" s="11">
        <f t="array" ref="E1383">_xlfn.XLOOKUP(D1383,Insumos!B:B,Insumos!C:$C)</f>
        <v/>
      </c>
      <c r="F1383" s="2164" t="n">
        <v>10.0934</v>
      </c>
      <c r="G1383" s="92">
        <f t="array" ref="G1383">IF(B1383="insumo",_xlfn.XLOOKUP($D1383,Insumos!$B$1:$B$996,Insumos!$D$1:$D$996),"")</f>
        <v/>
      </c>
      <c r="H1383" s="92" t="n">
        <v>0.908406</v>
      </c>
      <c r="I1383" s="2165" t="n">
        <v>0</v>
      </c>
      <c r="J1383" s="2165" t="n">
        <v>0</v>
      </c>
      <c r="K1383" s="2165" t="n"/>
    </row>
    <row r="1384" outlineLevel="3" ht="12.75" customHeight="1">
      <c r="A1384" s="82" t="n">
        <v>95</v>
      </c>
      <c r="B1384" s="82" t="inlineStr">
        <is>
          <t>Insumo</t>
        </is>
      </c>
      <c r="C1384" s="82" t="inlineStr">
        <is>
          <t>Enchimento de parede em Chapas De Gesso Para Drywall, Uso Interno, Montante 70mm, Com Uma Face Simples Standart e isolamento com Lâ de Vidro (ST/70)</t>
        </is>
      </c>
      <c r="D1384" s="82" t="inlineStr">
        <is>
          <t>PARAFUSO DRY WALL, EM ACO ZINCADO, CABECA LENTILHA E PONTA BROCA (LB), LARGURA 4,2 MM, COMPRIMENTO 13 MM</t>
        </is>
      </c>
      <c r="E1384" s="11">
        <f t="array" ref="E1384">_xlfn.XLOOKUP(D1384,Insumos!B:B,Insumos!C:$C)</f>
        <v/>
      </c>
      <c r="F1384" s="2164" t="n">
        <v>0.4803</v>
      </c>
      <c r="G1384" s="92">
        <f t="array" ref="G1384">IF(B1384="insumo",_xlfn.XLOOKUP($D1384,Insumos!$B$1:$B$996,Insumos!$D$1:$D$996),"")</f>
        <v/>
      </c>
      <c r="H1384" s="92" t="n">
        <v>0.09606000000000001</v>
      </c>
      <c r="I1384" s="2165" t="n">
        <v>0</v>
      </c>
      <c r="J1384" s="2165" t="n">
        <v>0</v>
      </c>
      <c r="K1384" s="2165" t="n"/>
    </row>
    <row r="1385" outlineLevel="3" ht="12.75" customHeight="1">
      <c r="A1385" s="82" t="n">
        <v>5</v>
      </c>
      <c r="B1385" s="82" t="inlineStr">
        <is>
          <t>Insumo</t>
        </is>
      </c>
      <c r="C1385" s="82" t="inlineStr">
        <is>
          <t>Enchimento de parede em Chapas De Gesso Para Drywall, Uso Interno, Montante 70mm, Com Uma Face Simples Standart e isolamento com Lâ de Vidro (ST/70)</t>
        </is>
      </c>
      <c r="D1385" s="82" t="inlineStr">
        <is>
          <t>LÂ DE VIDRO PARA ISOLAMENTO 50mm</t>
        </is>
      </c>
      <c r="E1385" s="11">
        <f t="array" ref="E1385">_xlfn.XLOOKUP(D1385,Insumos!B:B,Insumos!C:$C)</f>
        <v/>
      </c>
      <c r="F1385" s="2164" t="n">
        <v>1.1</v>
      </c>
      <c r="G1385" s="92">
        <f t="array" ref="G1385">IF(B1385="insumo",_xlfn.XLOOKUP($D1385,Insumos!$B$1:$B$996,Insumos!$D$1:$D$996),"")</f>
        <v/>
      </c>
      <c r="H1385" s="92" t="n">
        <v>14.1115333333333</v>
      </c>
      <c r="I1385" s="2165" t="n">
        <v>0</v>
      </c>
      <c r="J1385" s="2165" t="n">
        <v>0</v>
      </c>
      <c r="K1385" s="2165" t="n"/>
    </row>
    <row r="1386" outlineLevel="2" ht="15.75" customHeight="1">
      <c r="A1386" s="1067" t="n">
        <v>1</v>
      </c>
      <c r="B1386" s="1067" t="inlineStr">
        <is>
          <t>Serviço</t>
        </is>
      </c>
      <c r="C1386" s="1067" t="inlineStr">
        <is>
          <t>Fechamento de Shaft em Chapas De Gesso Para Drywall, Uso Interno, Montante 48mm, Com Duas Face Resistente a Umidade(RU/48/RU)</t>
        </is>
      </c>
      <c r="D1386" s="1067" t="inlineStr">
        <is>
          <t>Fechamento de Shaft em Chapas De Gesso Para Drywall, Uso Interno, Montante 48mm, Com Duas Face Resistente a Umidade(RU/48/RU)</t>
        </is>
      </c>
      <c r="E1386" s="1068" t="inlineStr">
        <is>
          <t>M2</t>
        </is>
      </c>
      <c r="F1386" s="1067" t="n"/>
      <c r="G1386" s="1069">
        <f t="array" ref="G1386">IF(B1386="insumo",_xlfn.XLOOKUP($D1386,Insumos!$B$1:$B$996,Insumos!$D$1:$D$996),"")</f>
        <v/>
      </c>
      <c r="H1386" s="1069" t="n">
        <v>200.190723</v>
      </c>
      <c r="I1386" s="2161" t="n">
        <v>0</v>
      </c>
      <c r="J1386" s="2161" t="n">
        <v>0</v>
      </c>
      <c r="K1386" s="2161" t="n"/>
    </row>
    <row r="1387" outlineLevel="3" ht="15.75" customHeight="1">
      <c r="A1387" s="10" t="n">
        <v>86</v>
      </c>
      <c r="B1387" s="10" t="inlineStr">
        <is>
          <t>Insumo</t>
        </is>
      </c>
      <c r="C1387" s="10" t="inlineStr">
        <is>
          <t>Fechamento de Shaft em Chapas De Gesso Para Drywall, Uso Interno, Montante 48mm, Com Duas Face Resistente a Umidade(RU/48/RU)</t>
        </is>
      </c>
      <c r="D1387" s="10" t="inlineStr">
        <is>
          <t>SERVICO - CONFECCAO SHAFT GESSO</t>
        </is>
      </c>
      <c r="E1387" s="11">
        <f t="array" ref="E1387">_xlfn.XLOOKUP(D1387,Insumos!B:B,Insumos!C:$C)</f>
        <v/>
      </c>
      <c r="F1387" s="14" t="n">
        <v>1</v>
      </c>
      <c r="G1387" s="92">
        <f t="array" ref="G1387">IF(B1387="insumo",_xlfn.XLOOKUP($D1387,Insumos!$B$1:$B$996,Insumos!$D$1:$D$996),"")</f>
        <v/>
      </c>
      <c r="H1387" s="92" t="n">
        <v>70</v>
      </c>
      <c r="I1387" s="2162" t="n">
        <v>0</v>
      </c>
      <c r="J1387" s="2162" t="n">
        <v>0</v>
      </c>
      <c r="K1387" s="2162" t="n"/>
    </row>
    <row r="1388" outlineLevel="3" ht="15.75" customHeight="1">
      <c r="A1388" s="10" t="n">
        <v>49</v>
      </c>
      <c r="B1388" s="10" t="inlineStr">
        <is>
          <t>Insumo</t>
        </is>
      </c>
      <c r="C1388" s="10" t="inlineStr">
        <is>
          <t>Fechamento de Shaft em Chapas De Gesso Para Drywall, Uso Interno, Montante 48mm, Com Duas Face Resistente a Umidade(RU/48/RU)</t>
        </is>
      </c>
      <c r="D1388" s="10" t="inlineStr">
        <is>
          <t>PLACA / CHAPA DE GESSO ACARTONADO, RESISTENTE A UMIDADE (RU), COR VERDE, E = 12,5 MM, 1200 X 2400 MM (L X C)</t>
        </is>
      </c>
      <c r="E1388" s="11">
        <f t="array" ref="E1388">_xlfn.XLOOKUP(D1388,Insumos!B:B,Insumos!C:$C)</f>
        <v/>
      </c>
      <c r="F1388" s="14" t="n">
        <v>2.106</v>
      </c>
      <c r="G1388" s="92">
        <f t="array" ref="G1388">IF(B1388="insumo",_xlfn.XLOOKUP($D1388,Insumos!$B$1:$B$996,Insumos!$D$1:$D$996),"")</f>
        <v/>
      </c>
      <c r="H1388" s="92" t="n">
        <v>57.0726</v>
      </c>
      <c r="I1388" s="2162" t="n">
        <v>0</v>
      </c>
      <c r="J1388" s="2162" t="n">
        <v>0</v>
      </c>
      <c r="K1388" s="2162" t="n"/>
    </row>
    <row r="1389" outlineLevel="3" ht="15.75" customHeight="1">
      <c r="A1389" s="10" t="n">
        <v>95</v>
      </c>
      <c r="B1389" s="10" t="inlineStr">
        <is>
          <t>Insumo</t>
        </is>
      </c>
      <c r="C1389" s="10" t="inlineStr">
        <is>
          <t>Fechamento de Shaft em Chapas De Gesso Para Drywall, Uso Interno, Montante 48mm, Com Duas Face Resistente a Umidade(RU/48/RU)</t>
        </is>
      </c>
      <c r="D1389" s="10" t="inlineStr">
        <is>
          <t>PINO DE ACO COM ARRUELA CONICA, DIAMETRO ARRUELA = *23* MM E COMP HASTE = *27* MM (ACAO INDIRETA)</t>
        </is>
      </c>
      <c r="E1389" s="11">
        <f t="array" ref="E1389">_xlfn.XLOOKUP(D1389,Insumos!B:B,Insumos!C:$C)</f>
        <v/>
      </c>
      <c r="F1389" s="14" t="n">
        <v>5.92</v>
      </c>
      <c r="G1389" s="92">
        <f t="array" ref="G1389">IF(B1389="insumo",_xlfn.XLOOKUP($D1389,Insumos!$B$1:$B$996,Insumos!$D$1:$D$996),"")</f>
        <v/>
      </c>
      <c r="H1389" s="92" t="n">
        <v>2.98368</v>
      </c>
      <c r="I1389" s="2162" t="n">
        <v>0</v>
      </c>
      <c r="J1389" s="2162" t="n">
        <v>0</v>
      </c>
      <c r="K1389" s="2162" t="n"/>
    </row>
    <row r="1390" outlineLevel="3" ht="15.75" customHeight="1">
      <c r="A1390" s="10" t="n">
        <v>26</v>
      </c>
      <c r="B1390" s="10" t="inlineStr">
        <is>
          <t>Insumo</t>
        </is>
      </c>
      <c r="C1390" s="10" t="inlineStr">
        <is>
          <t>Fechamento de Shaft em Chapas De Gesso Para Drywall, Uso Interno, Montante 48mm, Com Duas Face Resistente a Umidade(RU/48/RU)</t>
        </is>
      </c>
      <c r="D1390" s="10" t="inlineStr">
        <is>
          <t>PERFIL GUIA, FORMATO U, EM ACO ZINCADO, PARA ESTRUTURA PAREDE DRYWALL, E = 0,5 MM, 48 X 3000 MM (L X C)</t>
        </is>
      </c>
      <c r="E1390" s="11">
        <f t="array" ref="E1390">_xlfn.XLOOKUP(D1390,Insumos!B:B,Insumos!C:$C)</f>
        <v/>
      </c>
      <c r="F1390" s="14" t="n">
        <v>1.8234</v>
      </c>
      <c r="G1390" s="92">
        <f t="array" ref="G1390">IF(B1390="insumo",_xlfn.XLOOKUP($D1390,Insumos!$B$1:$B$996,Insumos!$D$1:$D$996),"")</f>
        <v/>
      </c>
      <c r="H1390" s="92" t="n">
        <v>12.818502</v>
      </c>
      <c r="I1390" s="2162" t="n">
        <v>0</v>
      </c>
      <c r="J1390" s="2162" t="n">
        <v>0</v>
      </c>
      <c r="K1390" s="2162" t="n"/>
    </row>
    <row r="1391" outlineLevel="3" ht="15.75" customHeight="1">
      <c r="A1391" s="10" t="n">
        <v>26</v>
      </c>
      <c r="B1391" s="10" t="inlineStr">
        <is>
          <t>Insumo</t>
        </is>
      </c>
      <c r="C1391" s="10" t="inlineStr">
        <is>
          <t>Fechamento de Shaft em Chapas De Gesso Para Drywall, Uso Interno, Montante 48mm, Com Duas Face Resistente a Umidade(RU/48/RU)</t>
        </is>
      </c>
      <c r="D1391" s="10" t="inlineStr">
        <is>
          <t>PERFIL MONTANTE, FORMATO C, EM ACO ZINCADO, PARA ESTRUTURA PAREDE DRYWALL, E = 0,5 MM, 48 X 3000 MM (L X C)</t>
        </is>
      </c>
      <c r="E1391" s="11">
        <f t="array" ref="E1391">_xlfn.XLOOKUP(D1391,Insumos!B:B,Insumos!C:$C)</f>
        <v/>
      </c>
      <c r="F1391" s="14" t="n">
        <v>5.8278</v>
      </c>
      <c r="G1391" s="92">
        <f t="array" ref="G1391">IF(B1391="insumo",_xlfn.XLOOKUP($D1391,Insumos!$B$1:$B$996,Insumos!$D$1:$D$996),"")</f>
        <v/>
      </c>
      <c r="H1391" s="92" t="n">
        <v>46.505844</v>
      </c>
      <c r="I1391" s="2162" t="n">
        <v>0</v>
      </c>
      <c r="J1391" s="2162" t="n">
        <v>0</v>
      </c>
      <c r="K1391" s="2162" t="n"/>
    </row>
    <row r="1392" outlineLevel="3" ht="15.75" customHeight="1">
      <c r="A1392" s="10" t="n">
        <v>95</v>
      </c>
      <c r="B1392" s="10" t="inlineStr">
        <is>
          <t>Insumo</t>
        </is>
      </c>
      <c r="C1392" s="10" t="inlineStr">
        <is>
          <t>Fechamento de Shaft em Chapas De Gesso Para Drywall, Uso Interno, Montante 48mm, Com Duas Face Resistente a Umidade(RU/48/RU)</t>
        </is>
      </c>
      <c r="D1392" s="10" t="inlineStr">
        <is>
          <t>MASSA DE REJUNTE EM PO PARA DRYWALL, A BASE DE GESSO, SECAGEM RAPIDA, PARA TRATAMENTO DE JUNTAS DE CHAPA DE GESSO (NECESSITA ADICAO DE AGUA)</t>
        </is>
      </c>
      <c r="E1392" s="11">
        <f t="array" ref="E1392">_xlfn.XLOOKUP(D1392,Insumos!B:B,Insumos!C:$C)</f>
        <v/>
      </c>
      <c r="F1392" s="14" t="n">
        <v>1.0978</v>
      </c>
      <c r="G1392" s="92">
        <f t="array" ref="G1392">IF(B1392="insumo",_xlfn.XLOOKUP($D1392,Insumos!$B$1:$B$996,Insumos!$D$1:$D$996),"")</f>
        <v/>
      </c>
      <c r="H1392" s="92" t="n">
        <v>3.765454</v>
      </c>
      <c r="I1392" s="2162" t="n">
        <v>0</v>
      </c>
      <c r="J1392" s="2162" t="n">
        <v>0</v>
      </c>
      <c r="K1392" s="2162" t="n"/>
    </row>
    <row r="1393" outlineLevel="3" ht="15.75" customHeight="1">
      <c r="A1393" s="10" t="n">
        <v>94</v>
      </c>
      <c r="B1393" s="10" t="inlineStr">
        <is>
          <t>Insumo</t>
        </is>
      </c>
      <c r="C1393" s="10" t="inlineStr">
        <is>
          <t>Fechamento de Shaft em Chapas De Gesso Para Drywall, Uso Interno, Montante 48mm, Com Duas Face Resistente a Umidade(RU/48/RU)</t>
        </is>
      </c>
      <c r="D1393" s="10" t="inlineStr">
        <is>
          <t>FITA DE PAPEL MICROPERFURADO, 50 X 150 MM, PARA TRATAMENTO DE JUNTAS DE CHAPA DE GESSO PARA DRYWALL</t>
        </is>
      </c>
      <c r="E1393" s="11">
        <f t="array" ref="E1393">_xlfn.XLOOKUP(D1393,Insumos!B:B,Insumos!C:$C)</f>
        <v/>
      </c>
      <c r="F1393" s="14" t="n">
        <v>2.5027</v>
      </c>
      <c r="G1393" s="92">
        <f t="array" ref="G1393">IF(B1393="insumo",_xlfn.XLOOKUP($D1393,Insumos!$B$1:$B$996,Insumos!$D$1:$D$996),"")</f>
        <v/>
      </c>
      <c r="H1393" s="92" t="n">
        <v>0.775837</v>
      </c>
      <c r="I1393" s="2162" t="n">
        <v>0</v>
      </c>
      <c r="J1393" s="2162" t="n">
        <v>0</v>
      </c>
      <c r="K1393" s="2162" t="n"/>
    </row>
    <row r="1394" outlineLevel="3" ht="15.75" customHeight="1">
      <c r="A1394" s="10" t="n">
        <v>94</v>
      </c>
      <c r="B1394" s="10" t="inlineStr">
        <is>
          <t>Insumo</t>
        </is>
      </c>
      <c r="C1394" s="10" t="inlineStr">
        <is>
          <t>Fechamento de Shaft em Chapas De Gesso Para Drywall, Uso Interno, Montante 48mm, Com Duas Face Resistente a Umidade(RU/48/RU)</t>
        </is>
      </c>
      <c r="D1394" s="10" t="inlineStr">
        <is>
          <t>FITA DE PAPEL REFORCADA COM LAMINA DE METAL PARA REFORCO DE CANTOS DE CHAPA DE GESSO PARA DRYWALL</t>
        </is>
      </c>
      <c r="E1394" s="11">
        <f t="array" ref="E1394">_xlfn.XLOOKUP(D1394,Insumos!B:B,Insumos!C:$C)</f>
        <v/>
      </c>
      <c r="F1394" s="14" t="n">
        <v>1.5851</v>
      </c>
      <c r="G1394" s="92">
        <f t="array" ref="G1394">IF(B1394="insumo",_xlfn.XLOOKUP($D1394,Insumos!$B$1:$B$996,Insumos!$D$1:$D$996),"")</f>
        <v/>
      </c>
      <c r="H1394" s="92" t="n">
        <v>4.343174</v>
      </c>
      <c r="I1394" s="2162" t="n">
        <v>0</v>
      </c>
      <c r="J1394" s="2162" t="n">
        <v>0</v>
      </c>
      <c r="K1394" s="2162" t="n"/>
    </row>
    <row r="1395" outlineLevel="3" ht="15.75" customHeight="1">
      <c r="A1395" s="10" t="n">
        <v>97</v>
      </c>
      <c r="B1395" s="10" t="inlineStr">
        <is>
          <t>Insumo</t>
        </is>
      </c>
      <c r="C1395" s="10" t="inlineStr">
        <is>
          <t>Fechamento de Shaft em Chapas De Gesso Para Drywall, Uso Interno, Montante 48mm, Com Duas Face Resistente a Umidade(RU/48/RU)</t>
        </is>
      </c>
      <c r="D1395" s="10" t="inlineStr">
        <is>
          <t>PARAFUSO DRY WALL, EM ACO FOSFATIZADO, CABECA TROMBETA E PONTA AGULHA (TA), COMPRIMENTO 25 MM</t>
        </is>
      </c>
      <c r="E1395" s="11">
        <f t="array" ref="E1395">_xlfn.XLOOKUP(D1395,Insumos!B:B,Insumos!C:$C)</f>
        <v/>
      </c>
      <c r="F1395" s="14" t="n">
        <v>20.1868</v>
      </c>
      <c r="G1395" s="92">
        <f t="array" ref="G1395">IF(B1395="insumo",_xlfn.XLOOKUP($D1395,Insumos!$B$1:$B$996,Insumos!$D$1:$D$996),"")</f>
        <v/>
      </c>
      <c r="H1395" s="92" t="n">
        <v>1.816812</v>
      </c>
      <c r="I1395" s="2162" t="n">
        <v>0</v>
      </c>
      <c r="J1395" s="2162" t="n">
        <v>0</v>
      </c>
      <c r="K1395" s="2162" t="n"/>
    </row>
    <row r="1396" outlineLevel="3" ht="15.75" customHeight="1">
      <c r="A1396" s="10" t="n">
        <v>95</v>
      </c>
      <c r="B1396" s="10" t="inlineStr">
        <is>
          <t>Insumo</t>
        </is>
      </c>
      <c r="C1396" s="10" t="inlineStr">
        <is>
          <t>Fechamento de Shaft em Chapas De Gesso Para Drywall, Uso Interno, Montante 48mm, Com Duas Face Resistente a Umidade(RU/48/RU)</t>
        </is>
      </c>
      <c r="D1396" s="10" t="inlineStr">
        <is>
          <t>PARAFUSO DRY WALL, EM ACO ZINCADO, CABECA LENTILHA E PONTA BROCA (LB), LARGURA 4,2 MM, COMPRIMENTO 13 MM</t>
        </is>
      </c>
      <c r="E1396" s="11">
        <f t="array" ref="E1396">_xlfn.XLOOKUP(D1396,Insumos!B:B,Insumos!C:$C)</f>
        <v/>
      </c>
      <c r="F1396" s="14" t="n">
        <v>0.5441</v>
      </c>
      <c r="G1396" s="92">
        <f t="array" ref="G1396">IF(B1396="insumo",_xlfn.XLOOKUP($D1396,Insumos!$B$1:$B$996,Insumos!$D$1:$D$996),"")</f>
        <v/>
      </c>
      <c r="H1396" s="92" t="n">
        <v>0.10882</v>
      </c>
      <c r="I1396" s="2162" t="n">
        <v>0</v>
      </c>
      <c r="J1396" s="2162" t="n">
        <v>0</v>
      </c>
      <c r="K1396" s="2162" t="n"/>
    </row>
    <row r="1397" outlineLevel="2" ht="15.75" customHeight="1">
      <c r="A1397" s="1067" t="n">
        <v>1</v>
      </c>
      <c r="B1397" s="1067" t="inlineStr">
        <is>
          <t>Serviço</t>
        </is>
      </c>
      <c r="C1397" s="1067" t="inlineStr">
        <is>
          <t>RU 48 mm - 1 PLACA - 6,05cm</t>
        </is>
      </c>
      <c r="D1397" s="1067" t="inlineStr">
        <is>
          <t>RU 48 mm - 1 PLACA - 6,05cm</t>
        </is>
      </c>
      <c r="E1397" s="1068" t="inlineStr">
        <is>
          <t>M2</t>
        </is>
      </c>
      <c r="F1397" s="1067" t="n"/>
      <c r="G1397" s="1069">
        <f t="array" ref="G1397">IF(B1397="insumo",_xlfn.XLOOKUP($D1397,Insumos!$B$1:$B$996,Insumos!$D$1:$D$996),"")</f>
        <v/>
      </c>
      <c r="H1397" s="1069" t="n">
        <v>167.7400845</v>
      </c>
      <c r="I1397" s="2161" t="n">
        <v>0</v>
      </c>
      <c r="J1397" s="2161" t="n">
        <v>0</v>
      </c>
      <c r="K1397" s="2161" t="n"/>
    </row>
    <row r="1398" outlineLevel="3" ht="15.75" customHeight="1">
      <c r="A1398" s="10" t="n">
        <v>86</v>
      </c>
      <c r="B1398" s="10" t="inlineStr">
        <is>
          <t>Insumo</t>
        </is>
      </c>
      <c r="C1398" s="10" t="inlineStr">
        <is>
          <t>RU 48 mm - 1 PLACA - 6,05cm</t>
        </is>
      </c>
      <c r="D1398" s="10" t="inlineStr">
        <is>
          <t>SERVICO - CONFECCAO SHAFT GESSO</t>
        </is>
      </c>
      <c r="E1398" s="11">
        <f t="array" ref="E1398">_xlfn.XLOOKUP(D1398,Insumos!B:B,Insumos!C:$C)</f>
        <v/>
      </c>
      <c r="F1398" s="14" t="n">
        <v>1</v>
      </c>
      <c r="G1398" s="92">
        <f t="array" ref="G1398">IF(B1398="insumo",_xlfn.XLOOKUP($D1398,Insumos!$B$1:$B$996,Insumos!$D$1:$D$996),"")</f>
        <v/>
      </c>
      <c r="H1398" s="92" t="n">
        <v>70</v>
      </c>
      <c r="I1398" s="2162" t="n">
        <v>0</v>
      </c>
      <c r="J1398" s="2162" t="n">
        <v>0</v>
      </c>
      <c r="K1398" s="2162" t="n"/>
    </row>
    <row r="1399" outlineLevel="3" ht="15.75" customHeight="1">
      <c r="A1399" s="10" t="n">
        <v>49</v>
      </c>
      <c r="B1399" s="10" t="inlineStr">
        <is>
          <t>Insumo</t>
        </is>
      </c>
      <c r="C1399" s="10" t="inlineStr">
        <is>
          <t>RU 48 mm - 1 PLACA - 6,05cm</t>
        </is>
      </c>
      <c r="D1399" s="10" t="inlineStr">
        <is>
          <t>PLACA / CHAPA DE GESSO ACARTONADO, RESISTENTE A UMIDADE (RU), COR VERDE, E = 12,5 MM, 1200 X 2400 MM (L X C)</t>
        </is>
      </c>
      <c r="E1399" s="11">
        <f t="array" ref="E1399">_xlfn.XLOOKUP(D1399,Insumos!B:B,Insumos!C:$C)</f>
        <v/>
      </c>
      <c r="F1399" s="14" t="n">
        <v>1.106</v>
      </c>
      <c r="G1399" s="92">
        <f t="array" ref="G1399">IF(B1399="insumo",_xlfn.XLOOKUP($D1399,Insumos!$B$1:$B$996,Insumos!$D$1:$D$996),"")</f>
        <v/>
      </c>
      <c r="H1399" s="92" t="n">
        <v>29.9726</v>
      </c>
      <c r="I1399" s="2162" t="n">
        <v>0</v>
      </c>
      <c r="J1399" s="2162" t="n">
        <v>0</v>
      </c>
      <c r="K1399" s="2162" t="n"/>
    </row>
    <row r="1400" outlineLevel="3" ht="15.75" customHeight="1">
      <c r="A1400" s="10" t="n">
        <v>95</v>
      </c>
      <c r="B1400" s="10" t="inlineStr">
        <is>
          <t>Insumo</t>
        </is>
      </c>
      <c r="C1400" s="10" t="inlineStr">
        <is>
          <t>RU 48 mm - 1 PLACA - 6,05cm</t>
        </is>
      </c>
      <c r="D1400" s="10" t="inlineStr">
        <is>
          <t>PINO DE ACO COM ARRUELA CONICA, DIAMETRO ARRUELA = *23* MM E COMP HASTE = *27* MM (ACAO INDIRETA)</t>
        </is>
      </c>
      <c r="E1400" s="11">
        <f t="array" ref="E1400">_xlfn.XLOOKUP(D1400,Insumos!B:B,Insumos!C:$C)</f>
        <v/>
      </c>
      <c r="F1400" s="14" t="n">
        <v>5.92</v>
      </c>
      <c r="G1400" s="92">
        <f t="array" ref="G1400">IF(B1400="insumo",_xlfn.XLOOKUP($D1400,Insumos!$B$1:$B$996,Insumos!$D$1:$D$996),"")</f>
        <v/>
      </c>
      <c r="H1400" s="92" t="n">
        <v>2.98368</v>
      </c>
      <c r="I1400" s="2162" t="n">
        <v>0</v>
      </c>
      <c r="J1400" s="2162" t="n">
        <v>0</v>
      </c>
      <c r="K1400" s="2162" t="n"/>
    </row>
    <row r="1401" outlineLevel="3" ht="15.75" customHeight="1">
      <c r="A1401" s="10" t="n">
        <v>26</v>
      </c>
      <c r="B1401" s="10" t="inlineStr">
        <is>
          <t>Insumo</t>
        </is>
      </c>
      <c r="C1401" s="10" t="inlineStr">
        <is>
          <t>RU 48 mm - 1 PLACA - 6,05cm</t>
        </is>
      </c>
      <c r="D1401" s="10" t="inlineStr">
        <is>
          <t>PERFIL GUIA, FORMATO U, EM ACO ZINCADO, PARA ESTRUTURA PAREDE DRYWALL, E = 0,5 MM, 48 X 3000 MM (L X C)</t>
        </is>
      </c>
      <c r="E1401" s="11">
        <f t="array" ref="E1401">_xlfn.XLOOKUP(D1401,Insumos!B:B,Insumos!C:$C)</f>
        <v/>
      </c>
      <c r="F1401" s="14" t="n">
        <v>1.8234</v>
      </c>
      <c r="G1401" s="92">
        <f t="array" ref="G1401">IF(B1401="insumo",_xlfn.XLOOKUP($D1401,Insumos!$B$1:$B$996,Insumos!$D$1:$D$996),"")</f>
        <v/>
      </c>
      <c r="H1401" s="92" t="n">
        <v>12.818502</v>
      </c>
      <c r="I1401" s="2162" t="n">
        <v>0</v>
      </c>
      <c r="J1401" s="2162" t="n">
        <v>0</v>
      </c>
      <c r="K1401" s="2162" t="n"/>
    </row>
    <row r="1402" outlineLevel="3" ht="15.75" customHeight="1">
      <c r="A1402" s="10" t="n">
        <v>26</v>
      </c>
      <c r="B1402" s="10" t="inlineStr">
        <is>
          <t>Insumo</t>
        </is>
      </c>
      <c r="C1402" s="10" t="inlineStr">
        <is>
          <t>RU 48 mm - 1 PLACA - 6,05cm</t>
        </is>
      </c>
      <c r="D1402" s="10" t="inlineStr">
        <is>
          <t>PERFIL MONTANTE, FORMATO C, EM ACO ZINCADO, PARA ESTRUTURA PAREDE DRYWALL, E = 0,5 MM, 48 X 3000 MM (L X C)</t>
        </is>
      </c>
      <c r="E1402" s="11">
        <f t="array" ref="E1402">_xlfn.XLOOKUP(D1402,Insumos!B:B,Insumos!C:$C)</f>
        <v/>
      </c>
      <c r="F1402" s="14" t="n">
        <v>5.8278</v>
      </c>
      <c r="G1402" s="92">
        <f t="array" ref="G1402">IF(B1402="insumo",_xlfn.XLOOKUP($D1402,Insumos!$B$1:$B$996,Insumos!$D$1:$D$996),"")</f>
        <v/>
      </c>
      <c r="H1402" s="92" t="n">
        <v>46.505844</v>
      </c>
      <c r="I1402" s="2162" t="n">
        <v>0</v>
      </c>
      <c r="J1402" s="2162" t="n">
        <v>0</v>
      </c>
      <c r="K1402" s="2162" t="n"/>
    </row>
    <row r="1403" outlineLevel="3" ht="15.75" customHeight="1">
      <c r="A1403" s="10" t="n">
        <v>95</v>
      </c>
      <c r="B1403" s="10" t="inlineStr">
        <is>
          <t>Insumo</t>
        </is>
      </c>
      <c r="C1403" s="10" t="inlineStr">
        <is>
          <t>RU 48 mm - 1 PLACA - 6,05cm</t>
        </is>
      </c>
      <c r="D1403" s="10" t="inlineStr">
        <is>
          <t>MASSA DE REJUNTE EM PO PARA DRYWALL, A BASE DE GESSO, SECAGEM RAPIDA, PARA TRATAMENTO DE JUNTAS DE CHAPA DE GESSO (NECESSITA ADICAO DE AGUA)</t>
        </is>
      </c>
      <c r="E1403" s="11">
        <f t="array" ref="E1403">_xlfn.XLOOKUP(D1403,Insumos!B:B,Insumos!C:$C)</f>
        <v/>
      </c>
      <c r="F1403" s="14">
        <f>1.0978/2</f>
        <v/>
      </c>
      <c r="G1403" s="92">
        <f t="array" ref="G1403">IF(B1403="insumo",_xlfn.XLOOKUP($D1403,Insumos!$B$1:$B$996,Insumos!$D$1:$D$996),"")</f>
        <v/>
      </c>
      <c r="H1403" s="92" t="n">
        <v>1.882727</v>
      </c>
      <c r="I1403" s="2162" t="n">
        <v>0</v>
      </c>
      <c r="J1403" s="2162" t="n">
        <v>0</v>
      </c>
      <c r="K1403" s="2162" t="n"/>
    </row>
    <row r="1404" outlineLevel="3" ht="15.75" customHeight="1">
      <c r="A1404" s="10" t="n">
        <v>94</v>
      </c>
      <c r="B1404" s="10" t="inlineStr">
        <is>
          <t>Insumo</t>
        </is>
      </c>
      <c r="C1404" s="10" t="inlineStr">
        <is>
          <t>RU 48 mm - 1 PLACA - 6,05cm</t>
        </is>
      </c>
      <c r="D1404" s="10" t="inlineStr">
        <is>
          <t>FITA DE PAPEL MICROPERFURADO, 50 X 150 MM, PARA TRATAMENTO DE JUNTAS DE CHAPA DE GESSO PARA DRYWALL</t>
        </is>
      </c>
      <c r="E1404" s="11">
        <f t="array" ref="E1404">_xlfn.XLOOKUP(D1404,Insumos!B:B,Insumos!C:$C)</f>
        <v/>
      </c>
      <c r="F1404" s="14">
        <f>2.5027/2</f>
        <v/>
      </c>
      <c r="G1404" s="92">
        <f t="array" ref="G1404">IF(B1404="insumo",_xlfn.XLOOKUP($D1404,Insumos!$B$1:$B$996,Insumos!$D$1:$D$996),"")</f>
        <v/>
      </c>
      <c r="H1404" s="92" t="n">
        <v>0.3879185</v>
      </c>
      <c r="I1404" s="2162" t="n">
        <v>0</v>
      </c>
      <c r="J1404" s="2162" t="n">
        <v>0</v>
      </c>
      <c r="K1404" s="2162" t="n"/>
    </row>
    <row r="1405" outlineLevel="3" ht="15.75" customHeight="1">
      <c r="A1405" s="10" t="n">
        <v>94</v>
      </c>
      <c r="B1405" s="10" t="inlineStr">
        <is>
          <t>Insumo</t>
        </is>
      </c>
      <c r="C1405" s="10" t="inlineStr">
        <is>
          <t>RU 48 mm - 1 PLACA - 6,05cm</t>
        </is>
      </c>
      <c r="D1405" s="10" t="inlineStr">
        <is>
          <t>FITA DE PAPEL REFORCADA COM LAMINA DE METAL PARA REFORCO DE CANTOS DE CHAPA DE GESSO PARA DRYWALL</t>
        </is>
      </c>
      <c r="E1405" s="11">
        <f t="array" ref="E1405">_xlfn.XLOOKUP(D1405,Insumos!B:B,Insumos!C:$C)</f>
        <v/>
      </c>
      <c r="F1405" s="14">
        <f>1.5851/2</f>
        <v/>
      </c>
      <c r="G1405" s="92">
        <f t="array" ref="G1405">IF(B1405="insumo",_xlfn.XLOOKUP($D1405,Insumos!$B$1:$B$996,Insumos!$D$1:$D$996),"")</f>
        <v/>
      </c>
      <c r="H1405" s="92" t="n">
        <v>2.171587</v>
      </c>
      <c r="I1405" s="2162" t="n">
        <v>0</v>
      </c>
      <c r="J1405" s="2162" t="n">
        <v>0</v>
      </c>
      <c r="K1405" s="2162" t="n"/>
    </row>
    <row r="1406" outlineLevel="3" ht="15.75" customHeight="1">
      <c r="A1406" s="10" t="n">
        <v>97</v>
      </c>
      <c r="B1406" s="10" t="inlineStr">
        <is>
          <t>Insumo</t>
        </is>
      </c>
      <c r="C1406" s="10" t="inlineStr">
        <is>
          <t>RU 48 mm - 1 PLACA - 6,05cm</t>
        </is>
      </c>
      <c r="D1406" s="10" t="inlineStr">
        <is>
          <t>PARAFUSO DRY WALL, EM ACO FOSFATIZADO, CABECA TROMBETA E PONTA AGULHA (TA), COMPRIMENTO 25 MM</t>
        </is>
      </c>
      <c r="E1406" s="11">
        <f t="array" ref="E1406">_xlfn.XLOOKUP(D1406,Insumos!B:B,Insumos!C:$C)</f>
        <v/>
      </c>
      <c r="F1406" s="14">
        <f>20.1868/2</f>
        <v/>
      </c>
      <c r="G1406" s="92">
        <f t="array" ref="G1406">IF(B1406="insumo",_xlfn.XLOOKUP($D1406,Insumos!$B$1:$B$996,Insumos!$D$1:$D$996),"")</f>
        <v/>
      </c>
      <c r="H1406" s="92" t="n">
        <v>0.908406</v>
      </c>
      <c r="I1406" s="2162" t="n">
        <v>0</v>
      </c>
      <c r="J1406" s="2162" t="n">
        <v>0</v>
      </c>
      <c r="K1406" s="2162" t="n"/>
    </row>
    <row r="1407" outlineLevel="3" ht="15.75" customHeight="1">
      <c r="A1407" s="10" t="n">
        <v>95</v>
      </c>
      <c r="B1407" s="10" t="inlineStr">
        <is>
          <t>Insumo</t>
        </is>
      </c>
      <c r="C1407" s="10" t="inlineStr">
        <is>
          <t>RU 48 mm - 1 PLACA - 6,05cm</t>
        </is>
      </c>
      <c r="D1407" s="10" t="inlineStr">
        <is>
          <t>PARAFUSO DRY WALL, EM ACO ZINCADO, CABECA LENTILHA E PONTA BROCA (LB), LARGURA 4,2 MM, COMPRIMENTO 13 MM</t>
        </is>
      </c>
      <c r="E1407" s="11">
        <f t="array" ref="E1407">_xlfn.XLOOKUP(D1407,Insumos!B:B,Insumos!C:$C)</f>
        <v/>
      </c>
      <c r="F1407" s="14" t="n">
        <v>0.5441</v>
      </c>
      <c r="G1407" s="92">
        <f t="array" ref="G1407">IF(B1407="insumo",_xlfn.XLOOKUP($D1407,Insumos!$B$1:$B$996,Insumos!$D$1:$D$996),"")</f>
        <v/>
      </c>
      <c r="H1407" s="92" t="n">
        <v>0.10882</v>
      </c>
      <c r="I1407" s="2162" t="n">
        <v>0</v>
      </c>
      <c r="J1407" s="2162" t="n">
        <v>0</v>
      </c>
      <c r="K1407" s="2162" t="n"/>
    </row>
    <row r="1408" outlineLevel="2" ht="15.75" customHeight="1">
      <c r="A1408" s="1067" t="n">
        <v>1</v>
      </c>
      <c r="B1408" s="1067" t="inlineStr">
        <is>
          <t>Serviço</t>
        </is>
      </c>
      <c r="C1408" s="1067" t="inlineStr">
        <is>
          <t>ST 48 mm - 1 PLACA - 6,05cm</t>
        </is>
      </c>
      <c r="D1408" s="1067" t="inlineStr">
        <is>
          <t>ST 48 mm - 1 PLACA - 6,05cm</t>
        </is>
      </c>
      <c r="E1408" s="1068" t="inlineStr">
        <is>
          <t>M2</t>
        </is>
      </c>
      <c r="F1408" s="1067" t="n"/>
      <c r="G1408" s="1069">
        <f t="array" ref="G1408">IF(B1408="insumo",_xlfn.XLOOKUP($D1408,Insumos!$B$1:$B$996,Insumos!$D$1:$D$996),"")</f>
        <v/>
      </c>
      <c r="H1408" s="1069" t="n">
        <v>160.0644445</v>
      </c>
      <c r="I1408" s="2161" t="n">
        <v>0</v>
      </c>
      <c r="J1408" s="2161" t="n">
        <v>0</v>
      </c>
      <c r="K1408" s="2161" t="n"/>
    </row>
    <row r="1409" outlineLevel="3" ht="15.75" customHeight="1">
      <c r="A1409" s="10" t="n">
        <v>86</v>
      </c>
      <c r="B1409" s="10" t="inlineStr">
        <is>
          <t>Insumo</t>
        </is>
      </c>
      <c r="C1409" s="10" t="inlineStr">
        <is>
          <t>ST 48 mm - 1 PLACA - 6,05cm</t>
        </is>
      </c>
      <c r="D1409" s="10" t="inlineStr">
        <is>
          <t>SERVICO - CONFECCAO SHAFT GESSO</t>
        </is>
      </c>
      <c r="E1409" s="11">
        <f t="array" ref="E1409">_xlfn.XLOOKUP(D1409,Insumos!B:B,Insumos!C:$C)</f>
        <v/>
      </c>
      <c r="F1409" s="14" t="n">
        <v>1</v>
      </c>
      <c r="G1409" s="92">
        <f t="array" ref="G1409">IF(B1409="insumo",_xlfn.XLOOKUP($D1409,Insumos!$B$1:$B$996,Insumos!$D$1:$D$996),"")</f>
        <v/>
      </c>
      <c r="H1409" s="92" t="n">
        <v>70</v>
      </c>
      <c r="I1409" s="2162" t="n">
        <v>0</v>
      </c>
      <c r="J1409" s="2162" t="n">
        <v>0</v>
      </c>
      <c r="K1409" s="2162" t="n"/>
    </row>
    <row r="1410" outlineLevel="3" ht="15.75" customHeight="1">
      <c r="A1410" s="10" t="n">
        <v>47</v>
      </c>
      <c r="B1410" s="10" t="inlineStr">
        <is>
          <t>Insumo</t>
        </is>
      </c>
      <c r="C1410" s="10" t="inlineStr">
        <is>
          <t>ST 48 mm - 1 PLACA - 6,05cm</t>
        </is>
      </c>
      <c r="D1410" s="10" t="inlineStr">
        <is>
          <t>PLACA / CHAPA DE GESSO ACARTONADO, STANDARD (ST), COR BRANCA, E = 12,5 MM, 1200 X 2400 MM (L X C)</t>
        </is>
      </c>
      <c r="E1410" s="11">
        <f t="array" ref="E1410">_xlfn.XLOOKUP(D1410,Insumos!B:B,Insumos!C:$C)</f>
        <v/>
      </c>
      <c r="F1410" s="14" t="n">
        <v>1.106</v>
      </c>
      <c r="G1410" s="92">
        <f t="array" ref="G1410">IF(B1410="insumo",_xlfn.XLOOKUP($D1410,Insumos!$B$1:$B$996,Insumos!$D$1:$D$996),"")</f>
        <v/>
      </c>
      <c r="H1410" s="92" t="n">
        <v>22.29696</v>
      </c>
      <c r="I1410" s="2162" t="n">
        <v>0</v>
      </c>
      <c r="J1410" s="2162" t="n">
        <v>0</v>
      </c>
      <c r="K1410" s="2162" t="n"/>
    </row>
    <row r="1411" outlineLevel="3" ht="15.75" customHeight="1">
      <c r="A1411" s="10" t="n">
        <v>95</v>
      </c>
      <c r="B1411" s="10" t="inlineStr">
        <is>
          <t>Insumo</t>
        </is>
      </c>
      <c r="C1411" s="10" t="inlineStr">
        <is>
          <t>ST 48 mm - 1 PLACA - 6,05cm</t>
        </is>
      </c>
      <c r="D1411" s="10" t="inlineStr">
        <is>
          <t>PINO DE ACO COM ARRUELA CONICA, DIAMETRO ARRUELA = *23* MM E COMP HASTE = *27* MM (ACAO INDIRETA)</t>
        </is>
      </c>
      <c r="E1411" s="11">
        <f t="array" ref="E1411">_xlfn.XLOOKUP(D1411,Insumos!B:B,Insumos!C:$C)</f>
        <v/>
      </c>
      <c r="F1411" s="14" t="n">
        <v>5.92</v>
      </c>
      <c r="G1411" s="92">
        <f t="array" ref="G1411">IF(B1411="insumo",_xlfn.XLOOKUP($D1411,Insumos!$B$1:$B$996,Insumos!$D$1:$D$996),"")</f>
        <v/>
      </c>
      <c r="H1411" s="92" t="n">
        <v>2.98368</v>
      </c>
      <c r="I1411" s="2162" t="n">
        <v>0</v>
      </c>
      <c r="J1411" s="2162" t="n">
        <v>0</v>
      </c>
      <c r="K1411" s="2162" t="n"/>
    </row>
    <row r="1412" outlineLevel="3" ht="15.75" customHeight="1">
      <c r="A1412" s="10" t="n">
        <v>26</v>
      </c>
      <c r="B1412" s="10" t="inlineStr">
        <is>
          <t>Insumo</t>
        </is>
      </c>
      <c r="C1412" s="10" t="inlineStr">
        <is>
          <t>ST 48 mm - 1 PLACA - 6,05cm</t>
        </is>
      </c>
      <c r="D1412" s="10" t="inlineStr">
        <is>
          <t>PERFIL GUIA, FORMATO U, EM ACO ZINCADO, PARA ESTRUTURA PAREDE DRYWALL, E = 0,5 MM, 48 X 3000 MM (L X C)</t>
        </is>
      </c>
      <c r="E1412" s="11">
        <f t="array" ref="E1412">_xlfn.XLOOKUP(D1412,Insumos!B:B,Insumos!C:$C)</f>
        <v/>
      </c>
      <c r="F1412" s="14" t="n">
        <v>1.8234</v>
      </c>
      <c r="G1412" s="92">
        <f t="array" ref="G1412">IF(B1412="insumo",_xlfn.XLOOKUP($D1412,Insumos!$B$1:$B$996,Insumos!$D$1:$D$996),"")</f>
        <v/>
      </c>
      <c r="H1412" s="92" t="n">
        <v>12.818502</v>
      </c>
      <c r="I1412" s="2162" t="n">
        <v>0</v>
      </c>
      <c r="J1412" s="2162" t="n">
        <v>0</v>
      </c>
      <c r="K1412" s="2162" t="n"/>
    </row>
    <row r="1413" outlineLevel="3" ht="15.75" customHeight="1">
      <c r="A1413" s="10" t="n">
        <v>26</v>
      </c>
      <c r="B1413" s="10" t="inlineStr">
        <is>
          <t>Insumo</t>
        </is>
      </c>
      <c r="C1413" s="10" t="inlineStr">
        <is>
          <t>ST 48 mm - 1 PLACA - 6,05cm</t>
        </is>
      </c>
      <c r="D1413" s="10" t="inlineStr">
        <is>
          <t>PERFIL MONTANTE, FORMATO C, EM ACO ZINCADO, PARA ESTRUTURA PAREDE DRYWALL, E = 0,5 MM, 48 X 3000 MM (L X C)</t>
        </is>
      </c>
      <c r="E1413" s="11">
        <f t="array" ref="E1413">_xlfn.XLOOKUP(D1413,Insumos!B:B,Insumos!C:$C)</f>
        <v/>
      </c>
      <c r="F1413" s="14" t="n">
        <v>5.8278</v>
      </c>
      <c r="G1413" s="92">
        <f t="array" ref="G1413">IF(B1413="insumo",_xlfn.XLOOKUP($D1413,Insumos!$B$1:$B$996,Insumos!$D$1:$D$996),"")</f>
        <v/>
      </c>
      <c r="H1413" s="92" t="n">
        <v>46.505844</v>
      </c>
      <c r="I1413" s="2162" t="n">
        <v>0</v>
      </c>
      <c r="J1413" s="2162" t="n">
        <v>0</v>
      </c>
      <c r="K1413" s="2162" t="n"/>
    </row>
    <row r="1414" outlineLevel="3" ht="15.75" customHeight="1">
      <c r="A1414" s="10" t="n">
        <v>95</v>
      </c>
      <c r="B1414" s="10" t="inlineStr">
        <is>
          <t>Insumo</t>
        </is>
      </c>
      <c r="C1414" s="10" t="inlineStr">
        <is>
          <t>ST 48 mm - 1 PLACA - 6,05cm</t>
        </is>
      </c>
      <c r="D1414" s="10" t="inlineStr">
        <is>
          <t>MASSA DE REJUNTE EM PO PARA DRYWALL, A BASE DE GESSO, SECAGEM RAPIDA, PARA TRATAMENTO DE JUNTAS DE CHAPA DE GESSO (NECESSITA ADICAO DE AGUA)</t>
        </is>
      </c>
      <c r="E1414" s="11">
        <f t="array" ref="E1414">_xlfn.XLOOKUP(D1414,Insumos!B:B,Insumos!C:$C)</f>
        <v/>
      </c>
      <c r="F1414" s="14">
        <f>1.0978/2</f>
        <v/>
      </c>
      <c r="G1414" s="92">
        <f t="array" ref="G1414">IF(B1414="insumo",_xlfn.XLOOKUP($D1414,Insumos!$B$1:$B$996,Insumos!$D$1:$D$996),"")</f>
        <v/>
      </c>
      <c r="H1414" s="92" t="n">
        <v>1.882727</v>
      </c>
      <c r="I1414" s="2162" t="n">
        <v>0</v>
      </c>
      <c r="J1414" s="2162" t="n">
        <v>0</v>
      </c>
      <c r="K1414" s="2162" t="n"/>
    </row>
    <row r="1415" outlineLevel="3" ht="15.75" customHeight="1">
      <c r="A1415" s="10" t="n">
        <v>94</v>
      </c>
      <c r="B1415" s="10" t="inlineStr">
        <is>
          <t>Insumo</t>
        </is>
      </c>
      <c r="C1415" s="10" t="inlineStr">
        <is>
          <t>ST 48 mm - 1 PLACA - 6,05cm</t>
        </is>
      </c>
      <c r="D1415" s="10" t="inlineStr">
        <is>
          <t>FITA DE PAPEL MICROPERFURADO, 50 X 150 MM, PARA TRATAMENTO DE JUNTAS DE CHAPA DE GESSO PARA DRYWALL</t>
        </is>
      </c>
      <c r="E1415" s="11">
        <f t="array" ref="E1415">_xlfn.XLOOKUP(D1415,Insumos!B:B,Insumos!C:$C)</f>
        <v/>
      </c>
      <c r="F1415" s="14">
        <f>2.5027/2</f>
        <v/>
      </c>
      <c r="G1415" s="92">
        <f t="array" ref="G1415">IF(B1415="insumo",_xlfn.XLOOKUP($D1415,Insumos!$B$1:$B$996,Insumos!$D$1:$D$996),"")</f>
        <v/>
      </c>
      <c r="H1415" s="92" t="n">
        <v>0.3879185</v>
      </c>
      <c r="I1415" s="2162" t="n">
        <v>0</v>
      </c>
      <c r="J1415" s="2162" t="n">
        <v>0</v>
      </c>
      <c r="K1415" s="2162" t="n"/>
    </row>
    <row r="1416" outlineLevel="3" ht="15.75" customHeight="1">
      <c r="A1416" s="10" t="n">
        <v>94</v>
      </c>
      <c r="B1416" s="10" t="inlineStr">
        <is>
          <t>Insumo</t>
        </is>
      </c>
      <c r="C1416" s="10" t="inlineStr">
        <is>
          <t>ST 48 mm - 1 PLACA - 6,05cm</t>
        </is>
      </c>
      <c r="D1416" s="10" t="inlineStr">
        <is>
          <t>FITA DE PAPEL REFORCADA COM LAMINA DE METAL PARA REFORCO DE CANTOS DE CHAPA DE GESSO PARA DRYWALL</t>
        </is>
      </c>
      <c r="E1416" s="11">
        <f t="array" ref="E1416">_xlfn.XLOOKUP(D1416,Insumos!B:B,Insumos!C:$C)</f>
        <v/>
      </c>
      <c r="F1416" s="14">
        <f>1.5851/2</f>
        <v/>
      </c>
      <c r="G1416" s="92">
        <f t="array" ref="G1416">IF(B1416="insumo",_xlfn.XLOOKUP($D1416,Insumos!$B$1:$B$996,Insumos!$D$1:$D$996),"")</f>
        <v/>
      </c>
      <c r="H1416" s="92" t="n">
        <v>2.171587</v>
      </c>
      <c r="I1416" s="2162" t="n">
        <v>0</v>
      </c>
      <c r="J1416" s="2162" t="n">
        <v>0</v>
      </c>
      <c r="K1416" s="2162" t="n"/>
    </row>
    <row r="1417" outlineLevel="3" ht="15.75" customHeight="1">
      <c r="A1417" s="10" t="n">
        <v>97</v>
      </c>
      <c r="B1417" s="10" t="inlineStr">
        <is>
          <t>Insumo</t>
        </is>
      </c>
      <c r="C1417" s="10" t="inlineStr">
        <is>
          <t>ST 48 mm - 1 PLACA - 6,05cm</t>
        </is>
      </c>
      <c r="D1417" s="10" t="inlineStr">
        <is>
          <t>PARAFUSO DRY WALL, EM ACO FOSFATIZADO, CABECA TROMBETA E PONTA AGULHA (TA), COMPRIMENTO 25 MM</t>
        </is>
      </c>
      <c r="E1417" s="11">
        <f t="array" ref="E1417">_xlfn.XLOOKUP(D1417,Insumos!B:B,Insumos!C:$C)</f>
        <v/>
      </c>
      <c r="F1417" s="14">
        <f>20.1868/2</f>
        <v/>
      </c>
      <c r="G1417" s="92">
        <f t="array" ref="G1417">IF(B1417="insumo",_xlfn.XLOOKUP($D1417,Insumos!$B$1:$B$996,Insumos!$D$1:$D$996),"")</f>
        <v/>
      </c>
      <c r="H1417" s="92" t="n">
        <v>0.908406</v>
      </c>
      <c r="I1417" s="2162" t="n">
        <v>0</v>
      </c>
      <c r="J1417" s="2162" t="n">
        <v>0</v>
      </c>
      <c r="K1417" s="2162" t="n"/>
    </row>
    <row r="1418" outlineLevel="3" ht="15.75" customHeight="1">
      <c r="A1418" s="10" t="n">
        <v>95</v>
      </c>
      <c r="B1418" s="10" t="inlineStr">
        <is>
          <t>Insumo</t>
        </is>
      </c>
      <c r="C1418" s="10" t="inlineStr">
        <is>
          <t>ST 48 mm - 1 PLACA - 6,05cm</t>
        </is>
      </c>
      <c r="D1418" s="10" t="inlineStr">
        <is>
          <t>PARAFUSO DRY WALL, EM ACO ZINCADO, CABECA LENTILHA E PONTA BROCA (LB), LARGURA 4,2 MM, COMPRIMENTO 13 MM</t>
        </is>
      </c>
      <c r="E1418" s="11">
        <f t="array" ref="E1418">_xlfn.XLOOKUP(D1418,Insumos!B:B,Insumos!C:$C)</f>
        <v/>
      </c>
      <c r="F1418" s="14" t="n">
        <v>0.5441</v>
      </c>
      <c r="G1418" s="92">
        <f t="array" ref="G1418">IF(B1418="insumo",_xlfn.XLOOKUP($D1418,Insumos!$B$1:$B$996,Insumos!$D$1:$D$996),"")</f>
        <v/>
      </c>
      <c r="H1418" s="92" t="n">
        <v>0.10882</v>
      </c>
      <c r="I1418" s="2162" t="n">
        <v>0</v>
      </c>
      <c r="J1418" s="2162" t="n">
        <v>0</v>
      </c>
      <c r="K1418" s="2162" t="n"/>
    </row>
    <row r="1419" outlineLevel="2" ht="15.75" customHeight="1">
      <c r="A1419" s="1067" t="n">
        <v>1</v>
      </c>
      <c r="B1419" s="1067" t="inlineStr">
        <is>
          <t>Serviço</t>
        </is>
      </c>
      <c r="C1419" s="1067" t="inlineStr">
        <is>
          <t>ST 70 mm - 1 PLACA - 8,25cm</t>
        </is>
      </c>
      <c r="D1419" s="1067" t="inlineStr">
        <is>
          <t>ST 70 mm - 1 PLACA - 8,25cm</t>
        </is>
      </c>
      <c r="E1419" s="1068" t="inlineStr">
        <is>
          <t>M2</t>
        </is>
      </c>
      <c r="F1419" s="1067" t="n"/>
      <c r="G1419" s="1069">
        <f t="array" ref="G1419">IF(B1419="insumo",_xlfn.XLOOKUP($D1419,Insumos!$B$1:$B$996,Insumos!$D$1:$D$996),"")</f>
        <v/>
      </c>
      <c r="H1419" s="1069" t="n">
        <v>159.7256165</v>
      </c>
      <c r="I1419" s="2161" t="n">
        <v>0</v>
      </c>
      <c r="J1419" s="2161" t="n">
        <v>0</v>
      </c>
      <c r="K1419" s="2161" t="n"/>
    </row>
    <row r="1420" outlineLevel="3" ht="15.75" customHeight="1">
      <c r="A1420" s="10" t="n">
        <v>86</v>
      </c>
      <c r="B1420" s="10" t="inlineStr">
        <is>
          <t>Insumo</t>
        </is>
      </c>
      <c r="C1420" s="10" t="inlineStr">
        <is>
          <t>ST 70 mm - 1 PLACA - 8,25cm</t>
        </is>
      </c>
      <c r="D1420" s="10" t="inlineStr">
        <is>
          <t>SERVICO - CONFECCAO SHAFT GESSO</t>
        </is>
      </c>
      <c r="E1420" s="11">
        <f t="array" ref="E1420">_xlfn.XLOOKUP(D1420,Insumos!B:B,Insumos!C:$C)</f>
        <v/>
      </c>
      <c r="F1420" s="14" t="n">
        <v>1</v>
      </c>
      <c r="G1420" s="92">
        <f t="array" ref="G1420">IF(B1420="insumo",_xlfn.XLOOKUP($D1420,Insumos!$B$1:$B$996,Insumos!$D$1:$D$996),"")</f>
        <v/>
      </c>
      <c r="H1420" s="92" t="n">
        <v>70</v>
      </c>
      <c r="I1420" s="2162" t="n">
        <v>0</v>
      </c>
      <c r="J1420" s="2162" t="n">
        <v>0</v>
      </c>
      <c r="K1420" s="2162" t="n"/>
    </row>
    <row r="1421" outlineLevel="3" ht="15.75" customHeight="1">
      <c r="A1421" s="10" t="n">
        <v>47</v>
      </c>
      <c r="B1421" s="10" t="inlineStr">
        <is>
          <t>Insumo</t>
        </is>
      </c>
      <c r="C1421" s="10" t="inlineStr">
        <is>
          <t>ST 70 mm - 1 PLACA - 8,25cm</t>
        </is>
      </c>
      <c r="D1421" s="10" t="inlineStr">
        <is>
          <t>PLACA / CHAPA DE GESSO ACARTONADO, STANDARD (ST), COR BRANCA, E = 12,5 MM, 1200 X 2400 MM (L X C)</t>
        </is>
      </c>
      <c r="E1421" s="11">
        <f t="array" ref="E1421">_xlfn.XLOOKUP(D1421,Insumos!B:B,Insumos!C:$C)</f>
        <v/>
      </c>
      <c r="F1421" s="14" t="n">
        <v>1.053</v>
      </c>
      <c r="G1421" s="92">
        <f t="array" ref="G1421">IF(B1421="insumo",_xlfn.XLOOKUP($D1421,Insumos!$B$1:$B$996,Insumos!$D$1:$D$996),"")</f>
        <v/>
      </c>
      <c r="H1421" s="92" t="n">
        <v>21.22848</v>
      </c>
      <c r="I1421" s="2162" t="n">
        <v>0</v>
      </c>
      <c r="J1421" s="2162" t="n">
        <v>0</v>
      </c>
      <c r="K1421" s="2162" t="n"/>
    </row>
    <row r="1422" outlineLevel="3" ht="15.75" customHeight="1">
      <c r="A1422" s="10" t="n">
        <v>95</v>
      </c>
      <c r="B1422" s="10" t="inlineStr">
        <is>
          <t>Insumo</t>
        </is>
      </c>
      <c r="C1422" s="10" t="inlineStr">
        <is>
          <t>ST 70 mm - 1 PLACA - 8,25cm</t>
        </is>
      </c>
      <c r="D1422" s="10" t="inlineStr">
        <is>
          <t>PINO DE ACO COM ARRUELA CONICA, DIAMETRO ARRUELA = *23* MM E COMP HASTE = *27* MM (ACAO INDIRETA)</t>
        </is>
      </c>
      <c r="E1422" s="11">
        <f t="array" ref="E1422">_xlfn.XLOOKUP(D1422,Insumos!B:B,Insumos!C:$C)</f>
        <v/>
      </c>
      <c r="F1422" s="14" t="n">
        <v>5.92</v>
      </c>
      <c r="G1422" s="92">
        <f t="array" ref="G1422">IF(B1422="insumo",_xlfn.XLOOKUP($D1422,Insumos!$B$1:$B$996,Insumos!$D$1:$D$996),"")</f>
        <v/>
      </c>
      <c r="H1422" s="92" t="n">
        <v>2.98368</v>
      </c>
      <c r="I1422" s="2162" t="n">
        <v>0</v>
      </c>
      <c r="J1422" s="2162" t="n">
        <v>0</v>
      </c>
      <c r="K1422" s="2162" t="n"/>
    </row>
    <row r="1423" outlineLevel="3" ht="15.75" customHeight="1">
      <c r="A1423" s="10" t="n">
        <v>43</v>
      </c>
      <c r="B1423" s="10" t="inlineStr">
        <is>
          <t>Insumo</t>
        </is>
      </c>
      <c r="C1423" s="10" t="inlineStr">
        <is>
          <t>ST 70 mm - 1 PLACA - 8,25cm</t>
        </is>
      </c>
      <c r="D1423" s="10" t="inlineStr">
        <is>
          <t>PERFIL GUIA, FORMATO U, EM ACO ZINCADO, PARA ESTRUTURA PAREDE DRYWALL, E = 0,5 MM, 70 X 3000 MM (L X C)</t>
        </is>
      </c>
      <c r="E1423" s="11">
        <f t="array" ref="E1423">_xlfn.XLOOKUP(D1423,Insumos!B:B,Insumos!C:$C)</f>
        <v/>
      </c>
      <c r="F1423" s="14" t="n">
        <v>1.8234</v>
      </c>
      <c r="G1423" s="92">
        <f t="array" ref="G1423">IF(B1423="insumo",_xlfn.XLOOKUP($D1423,Insumos!$B$1:$B$996,Insumos!$D$1:$D$996),"")</f>
        <v/>
      </c>
      <c r="H1423" s="92" t="n">
        <v>13.602564</v>
      </c>
      <c r="I1423" s="2162" t="n">
        <v>0</v>
      </c>
      <c r="J1423" s="2162" t="n">
        <v>0</v>
      </c>
      <c r="K1423" s="2162" t="n"/>
    </row>
    <row r="1424" outlineLevel="3" ht="15.75" customHeight="1">
      <c r="A1424" s="10" t="n">
        <v>43</v>
      </c>
      <c r="B1424" s="10" t="inlineStr">
        <is>
          <t>Insumo</t>
        </is>
      </c>
      <c r="C1424" s="10" t="inlineStr">
        <is>
          <t>ST 70 mm - 1 PLACA - 8,25cm</t>
        </is>
      </c>
      <c r="D1424" s="10" t="inlineStr">
        <is>
          <t>PERFIL MONTANTE, FORMATO C, EM ACO ZINCADO, PARA ESTRUTURA PAREDE DRYWALL, E = 0,5 MM, 70 X 3000 MM (L X C)</t>
        </is>
      </c>
      <c r="E1424" s="11">
        <f t="array" ref="E1424">_xlfn.XLOOKUP(D1424,Insumos!B:B,Insumos!C:$C)</f>
        <v/>
      </c>
      <c r="F1424" s="14" t="n">
        <v>5.8278</v>
      </c>
      <c r="G1424" s="92">
        <f t="array" ref="G1424">IF(B1424="insumo",_xlfn.XLOOKUP($D1424,Insumos!$B$1:$B$996,Insumos!$D$1:$D$996),"")</f>
        <v/>
      </c>
      <c r="H1424" s="92" t="n">
        <v>46.505844</v>
      </c>
      <c r="I1424" s="2162" t="n">
        <v>0</v>
      </c>
      <c r="J1424" s="2162" t="n">
        <v>0</v>
      </c>
      <c r="K1424" s="2162" t="n"/>
    </row>
    <row r="1425" outlineLevel="3" ht="15.75" customHeight="1">
      <c r="A1425" s="10" t="n">
        <v>95</v>
      </c>
      <c r="B1425" s="10" t="inlineStr">
        <is>
          <t>Insumo</t>
        </is>
      </c>
      <c r="C1425" s="10" t="inlineStr">
        <is>
          <t>ST 70 mm - 1 PLACA - 8,25cm</t>
        </is>
      </c>
      <c r="D1425" s="10" t="inlineStr">
        <is>
          <t>MASSA DE REJUNTE EM PO PARA DRYWALL, A BASE DE GESSO, SECAGEM RAPIDA, PARA TRATAMENTO DE JUNTAS DE CHAPA DE GESSO (NECESSITA ADICAO DE AGUA)</t>
        </is>
      </c>
      <c r="E1425" s="11">
        <f t="array" ref="E1425">_xlfn.XLOOKUP(D1425,Insumos!B:B,Insumos!C:$C)</f>
        <v/>
      </c>
      <c r="F1425" s="14" t="n">
        <v>0.5489000000000001</v>
      </c>
      <c r="G1425" s="92">
        <f t="array" ref="G1425">IF(B1425="insumo",_xlfn.XLOOKUP($D1425,Insumos!$B$1:$B$996,Insumos!$D$1:$D$996),"")</f>
        <v/>
      </c>
      <c r="H1425" s="92" t="n">
        <v>1.882727</v>
      </c>
      <c r="I1425" s="2162" t="n">
        <v>0</v>
      </c>
      <c r="J1425" s="2162" t="n">
        <v>0</v>
      </c>
      <c r="K1425" s="2162" t="n"/>
    </row>
    <row r="1426" outlineLevel="3" ht="15.75" customHeight="1">
      <c r="A1426" s="10" t="n">
        <v>94</v>
      </c>
      <c r="B1426" s="10" t="inlineStr">
        <is>
          <t>Insumo</t>
        </is>
      </c>
      <c r="C1426" s="10" t="inlineStr">
        <is>
          <t>ST 70 mm - 1 PLACA - 8,25cm</t>
        </is>
      </c>
      <c r="D1426" s="10" t="inlineStr">
        <is>
          <t>FITA DE PAPEL MICROPERFURADO, 50 X 150 MM, PARA TRATAMENTO DE JUNTAS DE CHAPA DE GESSO PARA DRYWALL</t>
        </is>
      </c>
      <c r="E1426" s="11">
        <f t="array" ref="E1426">_xlfn.XLOOKUP(D1426,Insumos!B:B,Insumos!C:$C)</f>
        <v/>
      </c>
      <c r="F1426" s="14" t="n">
        <v>1.25135</v>
      </c>
      <c r="G1426" s="92">
        <f t="array" ref="G1426">IF(B1426="insumo",_xlfn.XLOOKUP($D1426,Insumos!$B$1:$B$996,Insumos!$D$1:$D$996),"")</f>
        <v/>
      </c>
      <c r="H1426" s="92" t="n">
        <v>0.3879185</v>
      </c>
      <c r="I1426" s="2162" t="n">
        <v>0</v>
      </c>
      <c r="J1426" s="2162" t="n">
        <v>0</v>
      </c>
      <c r="K1426" s="2162" t="n"/>
    </row>
    <row r="1427" outlineLevel="3" ht="15.75" customHeight="1">
      <c r="A1427" s="10" t="n">
        <v>94</v>
      </c>
      <c r="B1427" s="10" t="inlineStr">
        <is>
          <t>Insumo</t>
        </is>
      </c>
      <c r="C1427" s="10" t="inlineStr">
        <is>
          <t>ST 70 mm - 1 PLACA - 8,25cm</t>
        </is>
      </c>
      <c r="D1427" s="10" t="inlineStr">
        <is>
          <t>FITA DE PAPEL REFORCADA COM LAMINA DE METAL PARA REFORCO DE CANTOS DE CHAPA DE GESSO PARA DRYWALL</t>
        </is>
      </c>
      <c r="E1427" s="11">
        <f t="array" ref="E1427">_xlfn.XLOOKUP(D1427,Insumos!B:B,Insumos!C:$C)</f>
        <v/>
      </c>
      <c r="F1427" s="14" t="n">
        <v>0.79255</v>
      </c>
      <c r="G1427" s="92">
        <f t="array" ref="G1427">IF(B1427="insumo",_xlfn.XLOOKUP($D1427,Insumos!$B$1:$B$996,Insumos!$D$1:$D$996),"")</f>
        <v/>
      </c>
      <c r="H1427" s="92" t="n">
        <v>2.171587</v>
      </c>
      <c r="I1427" s="2162" t="n">
        <v>0</v>
      </c>
      <c r="J1427" s="2162" t="n">
        <v>0</v>
      </c>
      <c r="K1427" s="2162" t="n"/>
    </row>
    <row r="1428" outlineLevel="3" ht="15.75" customHeight="1">
      <c r="A1428" s="10" t="n">
        <v>97</v>
      </c>
      <c r="B1428" s="10" t="inlineStr">
        <is>
          <t>Insumo</t>
        </is>
      </c>
      <c r="C1428" s="10" t="inlineStr">
        <is>
          <t>ST 70 mm - 1 PLACA - 8,25cm</t>
        </is>
      </c>
      <c r="D1428" s="10" t="inlineStr">
        <is>
          <t>PARAFUSO DRY WALL, EM ACO FOSFATIZADO, CABECA TROMBETA E PONTA AGULHA (TA), COMPRIMENTO 25 MM</t>
        </is>
      </c>
      <c r="E1428" s="11">
        <f t="array" ref="E1428">_xlfn.XLOOKUP(D1428,Insumos!B:B,Insumos!C:$C)</f>
        <v/>
      </c>
      <c r="F1428" s="14" t="n">
        <v>10.0934</v>
      </c>
      <c r="G1428" s="92">
        <f t="array" ref="G1428">IF(B1428="insumo",_xlfn.XLOOKUP($D1428,Insumos!$B$1:$B$996,Insumos!$D$1:$D$996),"")</f>
        <v/>
      </c>
      <c r="H1428" s="92" t="n">
        <v>0.908406</v>
      </c>
      <c r="I1428" s="2162" t="n">
        <v>0</v>
      </c>
      <c r="J1428" s="2162" t="n">
        <v>0</v>
      </c>
      <c r="K1428" s="2162" t="n"/>
    </row>
    <row r="1429" outlineLevel="3" ht="15.75" customHeight="1">
      <c r="A1429" s="10" t="n">
        <v>95</v>
      </c>
      <c r="B1429" s="10" t="inlineStr">
        <is>
          <t>Insumo</t>
        </is>
      </c>
      <c r="C1429" s="10" t="inlineStr">
        <is>
          <t>ST 70 mm - 1 PLACA - 8,25cm</t>
        </is>
      </c>
      <c r="D1429" s="10" t="inlineStr">
        <is>
          <t>PARAFUSO DRY WALL, EM ACO ZINCADO, CABECA LENTILHA E PONTA BROCA (LB), LARGURA 4,2 MM, COMPRIMENTO 13 MM</t>
        </is>
      </c>
      <c r="E1429" s="11">
        <f t="array" ref="E1429">_xlfn.XLOOKUP(D1429,Insumos!B:B,Insumos!C:$C)</f>
        <v/>
      </c>
      <c r="F1429" s="14" t="n">
        <v>0.27205</v>
      </c>
      <c r="G1429" s="92">
        <f t="array" ref="G1429">IF(B1429="insumo",_xlfn.XLOOKUP($D1429,Insumos!$B$1:$B$996,Insumos!$D$1:$D$996),"")</f>
        <v/>
      </c>
      <c r="H1429" s="92" t="n">
        <v>0.05441</v>
      </c>
      <c r="I1429" s="2162" t="n">
        <v>0</v>
      </c>
      <c r="J1429" s="2162" t="n">
        <v>0</v>
      </c>
      <c r="K1429" s="2162" t="n"/>
    </row>
    <row r="1430" outlineLevel="2" ht="15.75" customHeight="1">
      <c r="A1430" s="1067" t="n">
        <v>1</v>
      </c>
      <c r="B1430" s="1067" t="inlineStr">
        <is>
          <t>Serviço</t>
        </is>
      </c>
      <c r="C1430" s="1067" t="inlineStr">
        <is>
          <t>RU 70 mm - 1 PLACA - 8,25cm</t>
        </is>
      </c>
      <c r="D1430" s="1067" t="inlineStr">
        <is>
          <t>RU 70 mm - 1 PLACA - 8,25cm</t>
        </is>
      </c>
      <c r="E1430" s="1068" t="inlineStr">
        <is>
          <t>M2</t>
        </is>
      </c>
      <c r="F1430" s="1067" t="n"/>
      <c r="G1430" s="1069">
        <f t="array" ref="G1430">IF(B1430="insumo",_xlfn.XLOOKUP($D1430,Insumos!$B$1:$B$996,Insumos!$D$1:$D$996),"")</f>
        <v/>
      </c>
      <c r="H1430" s="1069" t="n">
        <v>167.0334365</v>
      </c>
      <c r="I1430" s="2161" t="n">
        <v>0</v>
      </c>
      <c r="J1430" s="2161" t="n">
        <v>0</v>
      </c>
      <c r="K1430" s="2161" t="n"/>
    </row>
    <row r="1431" outlineLevel="3" ht="15.75" customHeight="1">
      <c r="A1431" s="10" t="n">
        <v>86</v>
      </c>
      <c r="B1431" s="10" t="inlineStr">
        <is>
          <t>Insumo</t>
        </is>
      </c>
      <c r="C1431" s="10" t="inlineStr">
        <is>
          <t>RU 70 mm - 1 PLACA - 8,25cm</t>
        </is>
      </c>
      <c r="D1431" s="10" t="inlineStr">
        <is>
          <t>SERVICO - CONFECCAO SHAFT GESSO</t>
        </is>
      </c>
      <c r="E1431" s="11">
        <f t="array" ref="E1431">_xlfn.XLOOKUP(D1431,Insumos!B:B,Insumos!C:$C)</f>
        <v/>
      </c>
      <c r="F1431" s="14" t="n">
        <v>1</v>
      </c>
      <c r="G1431" s="92">
        <f t="array" ref="G1431">IF(B1431="insumo",_xlfn.XLOOKUP($D1431,Insumos!$B$1:$B$996,Insumos!$D$1:$D$996),"")</f>
        <v/>
      </c>
      <c r="H1431" s="92" t="n">
        <v>70</v>
      </c>
      <c r="I1431" s="2162" t="n">
        <v>0</v>
      </c>
      <c r="J1431" s="2162" t="n">
        <v>0</v>
      </c>
      <c r="K1431" s="2162" t="n"/>
    </row>
    <row r="1432" outlineLevel="3" ht="15.75" customHeight="1">
      <c r="A1432" s="10" t="n">
        <v>49</v>
      </c>
      <c r="B1432" s="10" t="inlineStr">
        <is>
          <t>Insumo</t>
        </is>
      </c>
      <c r="C1432" s="10" t="inlineStr">
        <is>
          <t>RU 70 mm - 1 PLACA - 8,25cm</t>
        </is>
      </c>
      <c r="D1432" s="10" t="inlineStr">
        <is>
          <t>PLACA / CHAPA DE GESSO ACARTONADO, RESISTENTE A UMIDADE (RU), COR VERDE, E = 12,5 MM, 1200 X 2400 MM (L X C)</t>
        </is>
      </c>
      <c r="E1432" s="11">
        <f t="array" ref="E1432">_xlfn.XLOOKUP(D1432,Insumos!B:B,Insumos!C:$C)</f>
        <v/>
      </c>
      <c r="F1432" s="14" t="n">
        <v>1.053</v>
      </c>
      <c r="G1432" s="92">
        <f t="array" ref="G1432">IF(B1432="insumo",_xlfn.XLOOKUP($D1432,Insumos!$B$1:$B$996,Insumos!$D$1:$D$996),"")</f>
        <v/>
      </c>
      <c r="H1432" s="92" t="n">
        <v>28.5363</v>
      </c>
      <c r="I1432" s="2162" t="n">
        <v>0</v>
      </c>
      <c r="J1432" s="2162" t="n">
        <v>0</v>
      </c>
      <c r="K1432" s="2162" t="n"/>
    </row>
    <row r="1433" outlineLevel="3" ht="15.75" customHeight="1">
      <c r="A1433" s="10" t="n">
        <v>95</v>
      </c>
      <c r="B1433" s="10" t="inlineStr">
        <is>
          <t>Insumo</t>
        </is>
      </c>
      <c r="C1433" s="10" t="inlineStr">
        <is>
          <t>RU 70 mm - 1 PLACA - 8,25cm</t>
        </is>
      </c>
      <c r="D1433" s="10" t="inlineStr">
        <is>
          <t>PINO DE ACO COM ARRUELA CONICA, DIAMETRO ARRUELA = *23* MM E COMP HASTE = *27* MM (ACAO INDIRETA)</t>
        </is>
      </c>
      <c r="E1433" s="11">
        <f t="array" ref="E1433">_xlfn.XLOOKUP(D1433,Insumos!B:B,Insumos!C:$C)</f>
        <v/>
      </c>
      <c r="F1433" s="14" t="n">
        <v>5.92</v>
      </c>
      <c r="G1433" s="92">
        <f t="array" ref="G1433">IF(B1433="insumo",_xlfn.XLOOKUP($D1433,Insumos!$B$1:$B$996,Insumos!$D$1:$D$996),"")</f>
        <v/>
      </c>
      <c r="H1433" s="92" t="n">
        <v>2.98368</v>
      </c>
      <c r="I1433" s="2162" t="n">
        <v>0</v>
      </c>
      <c r="J1433" s="2162" t="n">
        <v>0</v>
      </c>
      <c r="K1433" s="2162" t="n"/>
    </row>
    <row r="1434" outlineLevel="3" ht="15.75" customHeight="1">
      <c r="A1434" s="10" t="n">
        <v>43</v>
      </c>
      <c r="B1434" s="10" t="inlineStr">
        <is>
          <t>Insumo</t>
        </is>
      </c>
      <c r="C1434" s="10" t="inlineStr">
        <is>
          <t>RU 70 mm - 1 PLACA - 8,25cm</t>
        </is>
      </c>
      <c r="D1434" s="10" t="inlineStr">
        <is>
          <t>PERFIL GUIA, FORMATO U, EM ACO ZINCADO, PARA ESTRUTURA PAREDE DRYWALL, E = 0,5 MM, 70 X 3000 MM (L X C)</t>
        </is>
      </c>
      <c r="E1434" s="11">
        <f t="array" ref="E1434">_xlfn.XLOOKUP(D1434,Insumos!B:B,Insumos!C:$C)</f>
        <v/>
      </c>
      <c r="F1434" s="14" t="n">
        <v>1.8234</v>
      </c>
      <c r="G1434" s="92">
        <f t="array" ref="G1434">IF(B1434="insumo",_xlfn.XLOOKUP($D1434,Insumos!$B$1:$B$996,Insumos!$D$1:$D$996),"")</f>
        <v/>
      </c>
      <c r="H1434" s="92" t="n">
        <v>13.602564</v>
      </c>
      <c r="I1434" s="2162" t="n">
        <v>0</v>
      </c>
      <c r="J1434" s="2162" t="n">
        <v>0</v>
      </c>
      <c r="K1434" s="2162" t="n"/>
    </row>
    <row r="1435" outlineLevel="3" ht="15.75" customHeight="1">
      <c r="A1435" s="10" t="n">
        <v>43</v>
      </c>
      <c r="B1435" s="10" t="inlineStr">
        <is>
          <t>Insumo</t>
        </is>
      </c>
      <c r="C1435" s="10" t="inlineStr">
        <is>
          <t>RU 70 mm - 1 PLACA - 8,25cm</t>
        </is>
      </c>
      <c r="D1435" s="10" t="inlineStr">
        <is>
          <t>PERFIL MONTANTE, FORMATO C, EM ACO ZINCADO, PARA ESTRUTURA PAREDE DRYWALL, E = 0,5 MM, 70 X 3000 MM (L X C)</t>
        </is>
      </c>
      <c r="E1435" s="11">
        <f t="array" ref="E1435">_xlfn.XLOOKUP(D1435,Insumos!B:B,Insumos!C:$C)</f>
        <v/>
      </c>
      <c r="F1435" s="14" t="n">
        <v>5.8278</v>
      </c>
      <c r="G1435" s="92">
        <f t="array" ref="G1435">IF(B1435="insumo",_xlfn.XLOOKUP($D1435,Insumos!$B$1:$B$996,Insumos!$D$1:$D$996),"")</f>
        <v/>
      </c>
      <c r="H1435" s="92" t="n">
        <v>46.505844</v>
      </c>
      <c r="I1435" s="2162" t="n">
        <v>0</v>
      </c>
      <c r="J1435" s="2162" t="n">
        <v>0</v>
      </c>
      <c r="K1435" s="2162" t="n"/>
    </row>
    <row r="1436" outlineLevel="3" ht="15.75" customHeight="1">
      <c r="A1436" s="10" t="n">
        <v>95</v>
      </c>
      <c r="B1436" s="10" t="inlineStr">
        <is>
          <t>Insumo</t>
        </is>
      </c>
      <c r="C1436" s="10" t="inlineStr">
        <is>
          <t>RU 70 mm - 1 PLACA - 8,25cm</t>
        </is>
      </c>
      <c r="D1436" s="10" t="inlineStr">
        <is>
          <t>MASSA DE REJUNTE EM PO PARA DRYWALL, A BASE DE GESSO, SECAGEM RAPIDA, PARA TRATAMENTO DE JUNTAS DE CHAPA DE GESSO (NECESSITA ADICAO DE AGUA)</t>
        </is>
      </c>
      <c r="E1436" s="11">
        <f t="array" ref="E1436">_xlfn.XLOOKUP(D1436,Insumos!B:B,Insumos!C:$C)</f>
        <v/>
      </c>
      <c r="F1436" s="14" t="n">
        <v>0.5489000000000001</v>
      </c>
      <c r="G1436" s="92">
        <f t="array" ref="G1436">IF(B1436="insumo",_xlfn.XLOOKUP($D1436,Insumos!$B$1:$B$996,Insumos!$D$1:$D$996),"")</f>
        <v/>
      </c>
      <c r="H1436" s="92" t="n">
        <v>1.882727</v>
      </c>
      <c r="I1436" s="2162" t="n">
        <v>0</v>
      </c>
      <c r="J1436" s="2162" t="n">
        <v>0</v>
      </c>
      <c r="K1436" s="2162" t="n"/>
    </row>
    <row r="1437" outlineLevel="3" ht="15.75" customHeight="1">
      <c r="A1437" s="10" t="n">
        <v>94</v>
      </c>
      <c r="B1437" s="10" t="inlineStr">
        <is>
          <t>Insumo</t>
        </is>
      </c>
      <c r="C1437" s="10" t="inlineStr">
        <is>
          <t>RU 70 mm - 1 PLACA - 8,25cm</t>
        </is>
      </c>
      <c r="D1437" s="10" t="inlineStr">
        <is>
          <t>FITA DE PAPEL MICROPERFURADO, 50 X 150 MM, PARA TRATAMENTO DE JUNTAS DE CHAPA DE GESSO PARA DRYWALL</t>
        </is>
      </c>
      <c r="E1437" s="11">
        <f t="array" ref="E1437">_xlfn.XLOOKUP(D1437,Insumos!B:B,Insumos!C:$C)</f>
        <v/>
      </c>
      <c r="F1437" s="14" t="n">
        <v>1.25135</v>
      </c>
      <c r="G1437" s="92">
        <f t="array" ref="G1437">IF(B1437="insumo",_xlfn.XLOOKUP($D1437,Insumos!$B$1:$B$996,Insumos!$D$1:$D$996),"")</f>
        <v/>
      </c>
      <c r="H1437" s="92" t="n">
        <v>0.3879185</v>
      </c>
      <c r="I1437" s="2162" t="n">
        <v>0</v>
      </c>
      <c r="J1437" s="2162" t="n">
        <v>0</v>
      </c>
      <c r="K1437" s="2162" t="n"/>
    </row>
    <row r="1438" outlineLevel="3" ht="15.75" customHeight="1">
      <c r="A1438" s="10" t="n">
        <v>94</v>
      </c>
      <c r="B1438" s="10" t="inlineStr">
        <is>
          <t>Insumo</t>
        </is>
      </c>
      <c r="C1438" s="10" t="inlineStr">
        <is>
          <t>RU 70 mm - 1 PLACA - 8,25cm</t>
        </is>
      </c>
      <c r="D1438" s="10" t="inlineStr">
        <is>
          <t>FITA DE PAPEL REFORCADA COM LAMINA DE METAL PARA REFORCO DE CANTOS DE CHAPA DE GESSO PARA DRYWALL</t>
        </is>
      </c>
      <c r="E1438" s="11">
        <f t="array" ref="E1438">_xlfn.XLOOKUP(D1438,Insumos!B:B,Insumos!C:$C)</f>
        <v/>
      </c>
      <c r="F1438" s="14" t="n">
        <v>0.79255</v>
      </c>
      <c r="G1438" s="92">
        <f t="array" ref="G1438">IF(B1438="insumo",_xlfn.XLOOKUP($D1438,Insumos!$B$1:$B$996,Insumos!$D$1:$D$996),"")</f>
        <v/>
      </c>
      <c r="H1438" s="92" t="n">
        <v>2.171587</v>
      </c>
      <c r="I1438" s="2162" t="n">
        <v>0</v>
      </c>
      <c r="J1438" s="2162" t="n">
        <v>0</v>
      </c>
      <c r="K1438" s="2162" t="n"/>
    </row>
    <row r="1439" outlineLevel="3" ht="15.75" customHeight="1">
      <c r="A1439" s="10" t="n">
        <v>97</v>
      </c>
      <c r="B1439" s="10" t="inlineStr">
        <is>
          <t>Insumo</t>
        </is>
      </c>
      <c r="C1439" s="10" t="inlineStr">
        <is>
          <t>RU 70 mm - 1 PLACA - 8,25cm</t>
        </is>
      </c>
      <c r="D1439" s="10" t="inlineStr">
        <is>
          <t>PARAFUSO DRY WALL, EM ACO FOSFATIZADO, CABECA TROMBETA E PONTA AGULHA (TA), COMPRIMENTO 25 MM</t>
        </is>
      </c>
      <c r="E1439" s="11">
        <f t="array" ref="E1439">_xlfn.XLOOKUP(D1439,Insumos!B:B,Insumos!C:$C)</f>
        <v/>
      </c>
      <c r="F1439" s="14" t="n">
        <v>10.0934</v>
      </c>
      <c r="G1439" s="92">
        <f t="array" ref="G1439">IF(B1439="insumo",_xlfn.XLOOKUP($D1439,Insumos!$B$1:$B$996,Insumos!$D$1:$D$996),"")</f>
        <v/>
      </c>
      <c r="H1439" s="92" t="n">
        <v>0.908406</v>
      </c>
      <c r="I1439" s="2162" t="n">
        <v>0</v>
      </c>
      <c r="J1439" s="2162" t="n">
        <v>0</v>
      </c>
      <c r="K1439" s="2162" t="n"/>
    </row>
    <row r="1440" outlineLevel="3" ht="15.75" customHeight="1">
      <c r="A1440" s="10" t="n">
        <v>95</v>
      </c>
      <c r="B1440" s="10" t="inlineStr">
        <is>
          <t>Insumo</t>
        </is>
      </c>
      <c r="C1440" s="10" t="inlineStr">
        <is>
          <t>RU 70 mm - 1 PLACA - 8,25cm</t>
        </is>
      </c>
      <c r="D1440" s="10" t="inlineStr">
        <is>
          <t>PARAFUSO DRY WALL, EM ACO ZINCADO, CABECA LENTILHA E PONTA BROCA (LB), LARGURA 4,2 MM, COMPRIMENTO 13 MM</t>
        </is>
      </c>
      <c r="E1440" s="11">
        <f t="array" ref="E1440">_xlfn.XLOOKUP(D1440,Insumos!B:B,Insumos!C:$C)</f>
        <v/>
      </c>
      <c r="F1440" s="14" t="n">
        <v>0.27205</v>
      </c>
      <c r="G1440" s="92">
        <f t="array" ref="G1440">IF(B1440="insumo",_xlfn.XLOOKUP($D1440,Insumos!$B$1:$B$996,Insumos!$D$1:$D$996),"")</f>
        <v/>
      </c>
      <c r="H1440" s="92" t="n">
        <v>0.05441</v>
      </c>
      <c r="I1440" s="2162" t="n">
        <v>0</v>
      </c>
      <c r="J1440" s="2162" t="n">
        <v>0</v>
      </c>
      <c r="K1440" s="2162" t="n"/>
    </row>
    <row r="1441" outlineLevel="2" ht="15.75" customHeight="1">
      <c r="A1441" s="1067" t="n">
        <v>1</v>
      </c>
      <c r="B1441" s="1067" t="inlineStr">
        <is>
          <t>Serviço</t>
        </is>
      </c>
      <c r="C1441" s="1067" t="inlineStr">
        <is>
          <t>ST 70 mm - 2 PLACAS - 9,50cm</t>
        </is>
      </c>
      <c r="D1441" s="1067" t="inlineStr">
        <is>
          <t>ST 70 mm - 2 PLACAS - 9,50cm</t>
        </is>
      </c>
      <c r="E1441" s="1068" t="inlineStr">
        <is>
          <t>M2</t>
        </is>
      </c>
      <c r="F1441" s="1067" t="n"/>
      <c r="G1441" s="1069">
        <f t="array" ref="G1441">IF(B1441="insumo",_xlfn.XLOOKUP($D1441,Insumos!$B$1:$B$996,Insumos!$D$1:$D$996),"")</f>
        <v/>
      </c>
      <c r="H1441" s="1069" t="n">
        <v>180.9540965</v>
      </c>
      <c r="I1441" s="2161" t="n">
        <v>0</v>
      </c>
      <c r="J1441" s="2161" t="n">
        <v>0</v>
      </c>
      <c r="K1441" s="2161" t="n"/>
    </row>
    <row r="1442" outlineLevel="3" ht="15.75" customHeight="1">
      <c r="A1442" s="10" t="n">
        <v>86</v>
      </c>
      <c r="B1442" s="10" t="inlineStr">
        <is>
          <t>Insumo</t>
        </is>
      </c>
      <c r="C1442" s="10" t="inlineStr">
        <is>
          <t>ST 70 mm - 2 PLACAS - 9,50cm</t>
        </is>
      </c>
      <c r="D1442" s="10" t="inlineStr">
        <is>
          <t>SERVICO - CONFECCAO SHAFT GESSO</t>
        </is>
      </c>
      <c r="E1442" s="11">
        <f t="array" ref="E1442">_xlfn.XLOOKUP(D1442,Insumos!B:B,Insumos!C:$C)</f>
        <v/>
      </c>
      <c r="F1442" s="14" t="n">
        <v>1</v>
      </c>
      <c r="G1442" s="92">
        <f t="array" ref="G1442">IF(B1442="insumo",_xlfn.XLOOKUP($D1442,Insumos!$B$1:$B$996,Insumos!$D$1:$D$996),"")</f>
        <v/>
      </c>
      <c r="H1442" s="92" t="n">
        <v>70</v>
      </c>
      <c r="I1442" s="2162" t="n">
        <v>0</v>
      </c>
      <c r="J1442" s="2162" t="n">
        <v>0</v>
      </c>
      <c r="K1442" s="2162" t="n"/>
    </row>
    <row r="1443" outlineLevel="3" ht="15.75" customHeight="1">
      <c r="A1443" s="10" t="n">
        <v>47</v>
      </c>
      <c r="B1443" s="10" t="inlineStr">
        <is>
          <t>Insumo</t>
        </is>
      </c>
      <c r="C1443" s="10" t="inlineStr">
        <is>
          <t>ST 70 mm - 2 PLACAS - 9,50cm</t>
        </is>
      </c>
      <c r="D1443" s="10" t="inlineStr">
        <is>
          <t>PLACA / CHAPA DE GESSO ACARTONADO, STANDARD (ST), COR BRANCA, E = 12,5 MM, 1200 X 2400 MM (L X C)</t>
        </is>
      </c>
      <c r="E1443" s="11">
        <f t="array" ref="E1443">_xlfn.XLOOKUP(D1443,Insumos!B:B,Insumos!C:$C)</f>
        <v/>
      </c>
      <c r="F1443" s="14">
        <f>1.053*2</f>
        <v/>
      </c>
      <c r="G1443" s="92">
        <f t="array" ref="G1443">IF(B1443="insumo",_xlfn.XLOOKUP($D1443,Insumos!$B$1:$B$996,Insumos!$D$1:$D$996),"")</f>
        <v/>
      </c>
      <c r="H1443" s="92" t="n">
        <v>42.45696</v>
      </c>
      <c r="I1443" s="2162" t="n">
        <v>0</v>
      </c>
      <c r="J1443" s="2162" t="n">
        <v>0</v>
      </c>
      <c r="K1443" s="2162" t="n"/>
    </row>
    <row r="1444" outlineLevel="3" ht="15.75" customHeight="1">
      <c r="A1444" s="10" t="n">
        <v>95</v>
      </c>
      <c r="B1444" s="10" t="inlineStr">
        <is>
          <t>Insumo</t>
        </is>
      </c>
      <c r="C1444" s="10" t="inlineStr">
        <is>
          <t>ST 70 mm - 2 PLACAS - 9,50cm</t>
        </is>
      </c>
      <c r="D1444" s="10" t="inlineStr">
        <is>
          <t>PINO DE ACO COM ARRUELA CONICA, DIAMETRO ARRUELA = *23* MM E COMP HASTE = *27* MM (ACAO INDIRETA)</t>
        </is>
      </c>
      <c r="E1444" s="11">
        <f t="array" ref="E1444">_xlfn.XLOOKUP(D1444,Insumos!B:B,Insumos!C:$C)</f>
        <v/>
      </c>
      <c r="F1444" s="14" t="n">
        <v>5.92</v>
      </c>
      <c r="G1444" s="92">
        <f t="array" ref="G1444">IF(B1444="insumo",_xlfn.XLOOKUP($D1444,Insumos!$B$1:$B$996,Insumos!$D$1:$D$996),"")</f>
        <v/>
      </c>
      <c r="H1444" s="92" t="n">
        <v>2.98368</v>
      </c>
      <c r="I1444" s="2162" t="n">
        <v>0</v>
      </c>
      <c r="J1444" s="2162" t="n">
        <v>0</v>
      </c>
      <c r="K1444" s="2162" t="n"/>
    </row>
    <row r="1445" outlineLevel="3" ht="15.75" customHeight="1">
      <c r="A1445" s="10" t="n">
        <v>43</v>
      </c>
      <c r="B1445" s="10" t="inlineStr">
        <is>
          <t>Insumo</t>
        </is>
      </c>
      <c r="C1445" s="10" t="inlineStr">
        <is>
          <t>ST 70 mm - 2 PLACAS - 9,50cm</t>
        </is>
      </c>
      <c r="D1445" s="10" t="inlineStr">
        <is>
          <t>PERFIL GUIA, FORMATO U, EM ACO ZINCADO, PARA ESTRUTURA PAREDE DRYWALL, E = 0,5 MM, 70 X 3000 MM (L X C)</t>
        </is>
      </c>
      <c r="E1445" s="11">
        <f t="array" ref="E1445">_xlfn.XLOOKUP(D1445,Insumos!B:B,Insumos!C:$C)</f>
        <v/>
      </c>
      <c r="F1445" s="14" t="n">
        <v>1.8234</v>
      </c>
      <c r="G1445" s="92">
        <f t="array" ref="G1445">IF(B1445="insumo",_xlfn.XLOOKUP($D1445,Insumos!$B$1:$B$996,Insumos!$D$1:$D$996),"")</f>
        <v/>
      </c>
      <c r="H1445" s="92" t="n">
        <v>13.602564</v>
      </c>
      <c r="I1445" s="2162" t="n">
        <v>0</v>
      </c>
      <c r="J1445" s="2162" t="n">
        <v>0</v>
      </c>
      <c r="K1445" s="2162" t="n"/>
    </row>
    <row r="1446" outlineLevel="3" ht="15.75" customHeight="1">
      <c r="A1446" s="10" t="n">
        <v>43</v>
      </c>
      <c r="B1446" s="10" t="inlineStr">
        <is>
          <t>Insumo</t>
        </is>
      </c>
      <c r="C1446" s="10" t="inlineStr">
        <is>
          <t>ST 70 mm - 2 PLACAS - 9,50cm</t>
        </is>
      </c>
      <c r="D1446" s="10" t="inlineStr">
        <is>
          <t>PERFIL MONTANTE, FORMATO C, EM ACO ZINCADO, PARA ESTRUTURA PAREDE DRYWALL, E = 0,5 MM, 70 X 3000 MM (L X C)</t>
        </is>
      </c>
      <c r="E1446" s="11">
        <f t="array" ref="E1446">_xlfn.XLOOKUP(D1446,Insumos!B:B,Insumos!C:$C)</f>
        <v/>
      </c>
      <c r="F1446" s="14" t="n">
        <v>5.8278</v>
      </c>
      <c r="G1446" s="92">
        <f t="array" ref="G1446">IF(B1446="insumo",_xlfn.XLOOKUP($D1446,Insumos!$B$1:$B$996,Insumos!$D$1:$D$996),"")</f>
        <v/>
      </c>
      <c r="H1446" s="92" t="n">
        <v>46.505844</v>
      </c>
      <c r="I1446" s="2162" t="n">
        <v>0</v>
      </c>
      <c r="J1446" s="2162" t="n">
        <v>0</v>
      </c>
      <c r="K1446" s="2162" t="n"/>
    </row>
    <row r="1447" outlineLevel="3" ht="15.75" customHeight="1">
      <c r="A1447" s="10" t="n">
        <v>95</v>
      </c>
      <c r="B1447" s="10" t="inlineStr">
        <is>
          <t>Insumo</t>
        </is>
      </c>
      <c r="C1447" s="10" t="inlineStr">
        <is>
          <t>ST 70 mm - 2 PLACAS - 9,50cm</t>
        </is>
      </c>
      <c r="D1447" s="10" t="inlineStr">
        <is>
          <t>MASSA DE REJUNTE EM PO PARA DRYWALL, A BASE DE GESSO, SECAGEM RAPIDA, PARA TRATAMENTO DE JUNTAS DE CHAPA DE GESSO (NECESSITA ADICAO DE AGUA)</t>
        </is>
      </c>
      <c r="E1447" s="11">
        <f t="array" ref="E1447">_xlfn.XLOOKUP(D1447,Insumos!B:B,Insumos!C:$C)</f>
        <v/>
      </c>
      <c r="F1447" s="14" t="n">
        <v>0.5489000000000001</v>
      </c>
      <c r="G1447" s="92">
        <f t="array" ref="G1447">IF(B1447="insumo",_xlfn.XLOOKUP($D1447,Insumos!$B$1:$B$996,Insumos!$D$1:$D$996),"")</f>
        <v/>
      </c>
      <c r="H1447" s="92" t="n">
        <v>1.882727</v>
      </c>
      <c r="I1447" s="2162" t="n">
        <v>0</v>
      </c>
      <c r="J1447" s="2162" t="n">
        <v>0</v>
      </c>
      <c r="K1447" s="2162" t="n"/>
    </row>
    <row r="1448" outlineLevel="3" ht="15.75" customHeight="1">
      <c r="A1448" s="10" t="n">
        <v>94</v>
      </c>
      <c r="B1448" s="10" t="inlineStr">
        <is>
          <t>Insumo</t>
        </is>
      </c>
      <c r="C1448" s="10" t="inlineStr">
        <is>
          <t>ST 70 mm - 2 PLACAS - 9,50cm</t>
        </is>
      </c>
      <c r="D1448" s="10" t="inlineStr">
        <is>
          <t>FITA DE PAPEL MICROPERFURADO, 50 X 150 MM, PARA TRATAMENTO DE JUNTAS DE CHAPA DE GESSO PARA DRYWALL</t>
        </is>
      </c>
      <c r="E1448" s="11">
        <f t="array" ref="E1448">_xlfn.XLOOKUP(D1448,Insumos!B:B,Insumos!C:$C)</f>
        <v/>
      </c>
      <c r="F1448" s="14" t="n">
        <v>1.25135</v>
      </c>
      <c r="G1448" s="92">
        <f t="array" ref="G1448">IF(B1448="insumo",_xlfn.XLOOKUP($D1448,Insumos!$B$1:$B$996,Insumos!$D$1:$D$996),"")</f>
        <v/>
      </c>
      <c r="H1448" s="92" t="n">
        <v>0.3879185</v>
      </c>
      <c r="I1448" s="2162" t="n">
        <v>0</v>
      </c>
      <c r="J1448" s="2162" t="n">
        <v>0</v>
      </c>
      <c r="K1448" s="2162" t="n"/>
    </row>
    <row r="1449" outlineLevel="3" ht="15.75" customHeight="1">
      <c r="A1449" s="10" t="n">
        <v>94</v>
      </c>
      <c r="B1449" s="10" t="inlineStr">
        <is>
          <t>Insumo</t>
        </is>
      </c>
      <c r="C1449" s="10" t="inlineStr">
        <is>
          <t>ST 70 mm - 2 PLACAS - 9,50cm</t>
        </is>
      </c>
      <c r="D1449" s="10" t="inlineStr">
        <is>
          <t>FITA DE PAPEL REFORCADA COM LAMINA DE METAL PARA REFORCO DE CANTOS DE CHAPA DE GESSO PARA DRYWALL</t>
        </is>
      </c>
      <c r="E1449" s="11">
        <f t="array" ref="E1449">_xlfn.XLOOKUP(D1449,Insumos!B:B,Insumos!C:$C)</f>
        <v/>
      </c>
      <c r="F1449" s="14" t="n">
        <v>0.79255</v>
      </c>
      <c r="G1449" s="92">
        <f t="array" ref="G1449">IF(B1449="insumo",_xlfn.XLOOKUP($D1449,Insumos!$B$1:$B$996,Insumos!$D$1:$D$996),"")</f>
        <v/>
      </c>
      <c r="H1449" s="92" t="n">
        <v>2.171587</v>
      </c>
      <c r="I1449" s="2162" t="n">
        <v>0</v>
      </c>
      <c r="J1449" s="2162" t="n">
        <v>0</v>
      </c>
      <c r="K1449" s="2162" t="n"/>
    </row>
    <row r="1450" outlineLevel="3" ht="15.75" customHeight="1">
      <c r="A1450" s="10" t="n">
        <v>97</v>
      </c>
      <c r="B1450" s="10" t="inlineStr">
        <is>
          <t>Insumo</t>
        </is>
      </c>
      <c r="C1450" s="10" t="inlineStr">
        <is>
          <t>ST 70 mm - 2 PLACAS - 9,50cm</t>
        </is>
      </c>
      <c r="D1450" s="10" t="inlineStr">
        <is>
          <t>PARAFUSO DRY WALL, EM ACO FOSFATIZADO, CABECA TROMBETA E PONTA AGULHA (TA), COMPRIMENTO 25 MM</t>
        </is>
      </c>
      <c r="E1450" s="11">
        <f t="array" ref="E1450">_xlfn.XLOOKUP(D1450,Insumos!B:B,Insumos!C:$C)</f>
        <v/>
      </c>
      <c r="F1450" s="14" t="n">
        <v>10.0934</v>
      </c>
      <c r="G1450" s="92">
        <f t="array" ref="G1450">IF(B1450="insumo",_xlfn.XLOOKUP($D1450,Insumos!$B$1:$B$996,Insumos!$D$1:$D$996),"")</f>
        <v/>
      </c>
      <c r="H1450" s="92" t="n">
        <v>0.908406</v>
      </c>
      <c r="I1450" s="2162" t="n">
        <v>0</v>
      </c>
      <c r="J1450" s="2162" t="n">
        <v>0</v>
      </c>
      <c r="K1450" s="2162" t="n"/>
    </row>
    <row r="1451" outlineLevel="3" ht="15.75" customHeight="1">
      <c r="A1451" s="10" t="n">
        <v>95</v>
      </c>
      <c r="B1451" s="10" t="inlineStr">
        <is>
          <t>Insumo</t>
        </is>
      </c>
      <c r="C1451" s="10" t="inlineStr">
        <is>
          <t>ST 70 mm - 2 PLACAS - 9,50cm</t>
        </is>
      </c>
      <c r="D1451" s="10" t="inlineStr">
        <is>
          <t>PARAFUSO DRY WALL, EM ACO ZINCADO, CABECA LENTILHA E PONTA BROCA (LB), LARGURA 4,2 MM, COMPRIMENTO 13 MM</t>
        </is>
      </c>
      <c r="E1451" s="11">
        <f t="array" ref="E1451">_xlfn.XLOOKUP(D1451,Insumos!B:B,Insumos!C:$C)</f>
        <v/>
      </c>
      <c r="F1451" s="14" t="n">
        <v>0.27205</v>
      </c>
      <c r="G1451" s="92">
        <f t="array" ref="G1451">IF(B1451="insumo",_xlfn.XLOOKUP($D1451,Insumos!$B$1:$B$996,Insumos!$D$1:$D$996),"")</f>
        <v/>
      </c>
      <c r="H1451" s="92" t="n">
        <v>0.05441</v>
      </c>
      <c r="I1451" s="2162" t="n">
        <v>0</v>
      </c>
      <c r="J1451" s="2162" t="n">
        <v>0</v>
      </c>
      <c r="K1451" s="2162" t="n"/>
    </row>
    <row r="1452" outlineLevel="2" ht="15.75" customHeight="1">
      <c r="A1452" s="1067" t="n">
        <v>1</v>
      </c>
      <c r="B1452" s="1067" t="inlineStr">
        <is>
          <t>Serviço</t>
        </is>
      </c>
      <c r="C1452" s="1067" t="inlineStr">
        <is>
          <t>RU 70 mm - 2 PLACAS - 9,50cm</t>
        </is>
      </c>
      <c r="D1452" s="1067" t="inlineStr">
        <is>
          <t>RU 70 mm - 2 PLACAS - 9,50cm</t>
        </is>
      </c>
      <c r="E1452" s="1068" t="inlineStr">
        <is>
          <t>M2</t>
        </is>
      </c>
      <c r="F1452" s="1067" t="n"/>
      <c r="G1452" s="1069">
        <f t="array" ref="G1452">IF(B1452="insumo",_xlfn.XLOOKUP($D1452,Insumos!$B$1:$B$996,Insumos!$D$1:$D$996),"")</f>
        <v/>
      </c>
      <c r="H1452" s="1069" t="n">
        <v>195.5697365</v>
      </c>
      <c r="I1452" s="2161" t="n">
        <v>0</v>
      </c>
      <c r="J1452" s="2161" t="n">
        <v>0</v>
      </c>
      <c r="K1452" s="2161" t="n"/>
    </row>
    <row r="1453" outlineLevel="3" ht="15.75" customHeight="1">
      <c r="A1453" s="10" t="n">
        <v>86</v>
      </c>
      <c r="B1453" s="10" t="inlineStr">
        <is>
          <t>Insumo</t>
        </is>
      </c>
      <c r="C1453" s="10" t="inlineStr">
        <is>
          <t>RU 70 mm - 2 PLACAS - 9,50cm</t>
        </is>
      </c>
      <c r="D1453" s="10" t="inlineStr">
        <is>
          <t>SERVICO - CONFECCAO SHAFT GESSO</t>
        </is>
      </c>
      <c r="E1453" s="11">
        <f t="array" ref="E1453">_xlfn.XLOOKUP(D1453,Insumos!B:B,Insumos!C:$C)</f>
        <v/>
      </c>
      <c r="F1453" s="14" t="n">
        <v>1</v>
      </c>
      <c r="G1453" s="92">
        <f t="array" ref="G1453">IF(B1453="insumo",_xlfn.XLOOKUP($D1453,Insumos!$B$1:$B$996,Insumos!$D$1:$D$996),"")</f>
        <v/>
      </c>
      <c r="H1453" s="92" t="n">
        <v>70</v>
      </c>
      <c r="I1453" s="2162" t="n">
        <v>0</v>
      </c>
      <c r="J1453" s="2162" t="n">
        <v>0</v>
      </c>
      <c r="K1453" s="2162" t="n"/>
    </row>
    <row r="1454" outlineLevel="3" ht="15.75" customHeight="1">
      <c r="A1454" s="10" t="n">
        <v>49</v>
      </c>
      <c r="B1454" s="10" t="inlineStr">
        <is>
          <t>Insumo</t>
        </is>
      </c>
      <c r="C1454" s="10" t="inlineStr">
        <is>
          <t>RU 70 mm - 2 PLACAS - 9,50cm</t>
        </is>
      </c>
      <c r="D1454" s="10" t="inlineStr">
        <is>
          <t>PLACA / CHAPA DE GESSO ACARTONADO, RESISTENTE A UMIDADE (RU), COR VERDE, E = 12,5 MM, 1200 X 2400 MM (L X C)</t>
        </is>
      </c>
      <c r="E1454" s="11">
        <f t="array" ref="E1454">_xlfn.XLOOKUP(D1454,Insumos!B:B,Insumos!C:$C)</f>
        <v/>
      </c>
      <c r="F1454" s="14">
        <f>1.053*2</f>
        <v/>
      </c>
      <c r="G1454" s="92">
        <f t="array" ref="G1454">IF(B1454="insumo",_xlfn.XLOOKUP($D1454,Insumos!$B$1:$B$996,Insumos!$D$1:$D$996),"")</f>
        <v/>
      </c>
      <c r="H1454" s="92" t="n">
        <v>57.0726</v>
      </c>
      <c r="I1454" s="2162" t="n">
        <v>0</v>
      </c>
      <c r="J1454" s="2162" t="n">
        <v>0</v>
      </c>
      <c r="K1454" s="2162" t="n"/>
    </row>
    <row r="1455" outlineLevel="3" ht="15.75" customHeight="1">
      <c r="A1455" s="10" t="n">
        <v>95</v>
      </c>
      <c r="B1455" s="10" t="inlineStr">
        <is>
          <t>Insumo</t>
        </is>
      </c>
      <c r="C1455" s="10" t="inlineStr">
        <is>
          <t>RU 70 mm - 2 PLACAS - 9,50cm</t>
        </is>
      </c>
      <c r="D1455" s="10" t="inlineStr">
        <is>
          <t>PINO DE ACO COM ARRUELA CONICA, DIAMETRO ARRUELA = *23* MM E COMP HASTE = *27* MM (ACAO INDIRETA)</t>
        </is>
      </c>
      <c r="E1455" s="11">
        <f t="array" ref="E1455">_xlfn.XLOOKUP(D1455,Insumos!B:B,Insumos!C:$C)</f>
        <v/>
      </c>
      <c r="F1455" s="14" t="n">
        <v>5.92</v>
      </c>
      <c r="G1455" s="92">
        <f t="array" ref="G1455">IF(B1455="insumo",_xlfn.XLOOKUP($D1455,Insumos!$B$1:$B$996,Insumos!$D$1:$D$996),"")</f>
        <v/>
      </c>
      <c r="H1455" s="92" t="n">
        <v>2.98368</v>
      </c>
      <c r="I1455" s="2162" t="n">
        <v>0</v>
      </c>
      <c r="J1455" s="2162" t="n">
        <v>0</v>
      </c>
      <c r="K1455" s="2162" t="n"/>
    </row>
    <row r="1456" outlineLevel="3" ht="15.75" customHeight="1">
      <c r="A1456" s="10" t="n">
        <v>43</v>
      </c>
      <c r="B1456" s="10" t="inlineStr">
        <is>
          <t>Insumo</t>
        </is>
      </c>
      <c r="C1456" s="10" t="inlineStr">
        <is>
          <t>RU 70 mm - 2 PLACAS - 9,50cm</t>
        </is>
      </c>
      <c r="D1456" s="10" t="inlineStr">
        <is>
          <t>PERFIL GUIA, FORMATO U, EM ACO ZINCADO, PARA ESTRUTURA PAREDE DRYWALL, E = 0,5 MM, 70 X 3000 MM (L X C)</t>
        </is>
      </c>
      <c r="E1456" s="11">
        <f t="array" ref="E1456">_xlfn.XLOOKUP(D1456,Insumos!B:B,Insumos!C:$C)</f>
        <v/>
      </c>
      <c r="F1456" s="14" t="n">
        <v>1.8234</v>
      </c>
      <c r="G1456" s="92">
        <f t="array" ref="G1456">IF(B1456="insumo",_xlfn.XLOOKUP($D1456,Insumos!$B$1:$B$996,Insumos!$D$1:$D$996),"")</f>
        <v/>
      </c>
      <c r="H1456" s="92" t="n">
        <v>13.602564</v>
      </c>
      <c r="I1456" s="2162" t="n">
        <v>0</v>
      </c>
      <c r="J1456" s="2162" t="n">
        <v>0</v>
      </c>
      <c r="K1456" s="2162" t="n"/>
    </row>
    <row r="1457" outlineLevel="3" ht="15.75" customHeight="1">
      <c r="A1457" s="10" t="n">
        <v>43</v>
      </c>
      <c r="B1457" s="10" t="inlineStr">
        <is>
          <t>Insumo</t>
        </is>
      </c>
      <c r="C1457" s="10" t="inlineStr">
        <is>
          <t>RU 70 mm - 2 PLACAS - 9,50cm</t>
        </is>
      </c>
      <c r="D1457" s="10" t="inlineStr">
        <is>
          <t>PERFIL MONTANTE, FORMATO C, EM ACO ZINCADO, PARA ESTRUTURA PAREDE DRYWALL, E = 0,5 MM, 70 X 3000 MM (L X C)</t>
        </is>
      </c>
      <c r="E1457" s="11">
        <f t="array" ref="E1457">_xlfn.XLOOKUP(D1457,Insumos!B:B,Insumos!C:$C)</f>
        <v/>
      </c>
      <c r="F1457" s="14" t="n">
        <v>5.8278</v>
      </c>
      <c r="G1457" s="92">
        <f t="array" ref="G1457">IF(B1457="insumo",_xlfn.XLOOKUP($D1457,Insumos!$B$1:$B$996,Insumos!$D$1:$D$996),"")</f>
        <v/>
      </c>
      <c r="H1457" s="92" t="n">
        <v>46.505844</v>
      </c>
      <c r="I1457" s="2162" t="n">
        <v>0</v>
      </c>
      <c r="J1457" s="2162" t="n">
        <v>0</v>
      </c>
      <c r="K1457" s="2162" t="n"/>
    </row>
    <row r="1458" outlineLevel="3" ht="15.75" customHeight="1">
      <c r="A1458" s="10" t="n">
        <v>95</v>
      </c>
      <c r="B1458" s="10" t="inlineStr">
        <is>
          <t>Insumo</t>
        </is>
      </c>
      <c r="C1458" s="10" t="inlineStr">
        <is>
          <t>RU 70 mm - 2 PLACAS - 9,50cm</t>
        </is>
      </c>
      <c r="D1458" s="10" t="inlineStr">
        <is>
          <t>MASSA DE REJUNTE EM PO PARA DRYWALL, A BASE DE GESSO, SECAGEM RAPIDA, PARA TRATAMENTO DE JUNTAS DE CHAPA DE GESSO (NECESSITA ADICAO DE AGUA)</t>
        </is>
      </c>
      <c r="E1458" s="11">
        <f t="array" ref="E1458">_xlfn.XLOOKUP(D1458,Insumos!B:B,Insumos!C:$C)</f>
        <v/>
      </c>
      <c r="F1458" s="14" t="n">
        <v>0.5489000000000001</v>
      </c>
      <c r="G1458" s="92">
        <f t="array" ref="G1458">IF(B1458="insumo",_xlfn.XLOOKUP($D1458,Insumos!$B$1:$B$996,Insumos!$D$1:$D$996),"")</f>
        <v/>
      </c>
      <c r="H1458" s="92" t="n">
        <v>1.882727</v>
      </c>
      <c r="I1458" s="2162" t="n">
        <v>0</v>
      </c>
      <c r="J1458" s="2162" t="n">
        <v>0</v>
      </c>
      <c r="K1458" s="2162" t="n"/>
    </row>
    <row r="1459" outlineLevel="3" ht="15.75" customHeight="1">
      <c r="A1459" s="10" t="n">
        <v>94</v>
      </c>
      <c r="B1459" s="10" t="inlineStr">
        <is>
          <t>Insumo</t>
        </is>
      </c>
      <c r="C1459" s="10" t="inlineStr">
        <is>
          <t>RU 70 mm - 2 PLACAS - 9,50cm</t>
        </is>
      </c>
      <c r="D1459" s="10" t="inlineStr">
        <is>
          <t>FITA DE PAPEL MICROPERFURADO, 50 X 150 MM, PARA TRATAMENTO DE JUNTAS DE CHAPA DE GESSO PARA DRYWALL</t>
        </is>
      </c>
      <c r="E1459" s="11">
        <f t="array" ref="E1459">_xlfn.XLOOKUP(D1459,Insumos!B:B,Insumos!C:$C)</f>
        <v/>
      </c>
      <c r="F1459" s="14" t="n">
        <v>1.25135</v>
      </c>
      <c r="G1459" s="92">
        <f t="array" ref="G1459">IF(B1459="insumo",_xlfn.XLOOKUP($D1459,Insumos!$B$1:$B$996,Insumos!$D$1:$D$996),"")</f>
        <v/>
      </c>
      <c r="H1459" s="92" t="n">
        <v>0.3879185</v>
      </c>
      <c r="I1459" s="2162" t="n">
        <v>0</v>
      </c>
      <c r="J1459" s="2162" t="n">
        <v>0</v>
      </c>
      <c r="K1459" s="2162" t="n"/>
    </row>
    <row r="1460" outlineLevel="3" ht="15.75" customHeight="1">
      <c r="A1460" s="10" t="n">
        <v>94</v>
      </c>
      <c r="B1460" s="10" t="inlineStr">
        <is>
          <t>Insumo</t>
        </is>
      </c>
      <c r="C1460" s="10" t="inlineStr">
        <is>
          <t>RU 70 mm - 2 PLACAS - 9,50cm</t>
        </is>
      </c>
      <c r="D1460" s="10" t="inlineStr">
        <is>
          <t>FITA DE PAPEL REFORCADA COM LAMINA DE METAL PARA REFORCO DE CANTOS DE CHAPA DE GESSO PARA DRYWALL</t>
        </is>
      </c>
      <c r="E1460" s="11">
        <f t="array" ref="E1460">_xlfn.XLOOKUP(D1460,Insumos!B:B,Insumos!C:$C)</f>
        <v/>
      </c>
      <c r="F1460" s="14" t="n">
        <v>0.79255</v>
      </c>
      <c r="G1460" s="92">
        <f t="array" ref="G1460">IF(B1460="insumo",_xlfn.XLOOKUP($D1460,Insumos!$B$1:$B$996,Insumos!$D$1:$D$996),"")</f>
        <v/>
      </c>
      <c r="H1460" s="92" t="n">
        <v>2.171587</v>
      </c>
      <c r="I1460" s="2162" t="n">
        <v>0</v>
      </c>
      <c r="J1460" s="2162" t="n">
        <v>0</v>
      </c>
      <c r="K1460" s="2162" t="n"/>
    </row>
    <row r="1461" outlineLevel="3" ht="15.75" customHeight="1">
      <c r="A1461" s="10" t="n">
        <v>97</v>
      </c>
      <c r="B1461" s="10" t="inlineStr">
        <is>
          <t>Insumo</t>
        </is>
      </c>
      <c r="C1461" s="10" t="inlineStr">
        <is>
          <t>RU 70 mm - 2 PLACAS - 9,50cm</t>
        </is>
      </c>
      <c r="D1461" s="10" t="inlineStr">
        <is>
          <t>PARAFUSO DRY WALL, EM ACO FOSFATIZADO, CABECA TROMBETA E PONTA AGULHA (TA), COMPRIMENTO 25 MM</t>
        </is>
      </c>
      <c r="E1461" s="11">
        <f t="array" ref="E1461">_xlfn.XLOOKUP(D1461,Insumos!B:B,Insumos!C:$C)</f>
        <v/>
      </c>
      <c r="F1461" s="14" t="n">
        <v>10.0934</v>
      </c>
      <c r="G1461" s="92">
        <f t="array" ref="G1461">IF(B1461="insumo",_xlfn.XLOOKUP($D1461,Insumos!$B$1:$B$996,Insumos!$D$1:$D$996),"")</f>
        <v/>
      </c>
      <c r="H1461" s="92" t="n">
        <v>0.908406</v>
      </c>
      <c r="I1461" s="2162" t="n">
        <v>0</v>
      </c>
      <c r="J1461" s="2162" t="n">
        <v>0</v>
      </c>
      <c r="K1461" s="2162" t="n"/>
    </row>
    <row r="1462" outlineLevel="3" ht="15.75" customHeight="1">
      <c r="A1462" s="10" t="n">
        <v>95</v>
      </c>
      <c r="B1462" s="10" t="inlineStr">
        <is>
          <t>Insumo</t>
        </is>
      </c>
      <c r="C1462" s="10" t="inlineStr">
        <is>
          <t>RU 70 mm - 2 PLACAS - 9,50cm</t>
        </is>
      </c>
      <c r="D1462" s="10" t="inlineStr">
        <is>
          <t>PARAFUSO DRY WALL, EM ACO ZINCADO, CABECA LENTILHA E PONTA BROCA (LB), LARGURA 4,2 MM, COMPRIMENTO 13 MM</t>
        </is>
      </c>
      <c r="E1462" s="11">
        <f t="array" ref="E1462">_xlfn.XLOOKUP(D1462,Insumos!B:B,Insumos!C:$C)</f>
        <v/>
      </c>
      <c r="F1462" s="14" t="n">
        <v>0.27205</v>
      </c>
      <c r="G1462" s="92">
        <f t="array" ref="G1462">IF(B1462="insumo",_xlfn.XLOOKUP($D1462,Insumos!$B$1:$B$996,Insumos!$D$1:$D$996),"")</f>
        <v/>
      </c>
      <c r="H1462" s="92" t="n">
        <v>0.05441</v>
      </c>
      <c r="I1462" s="2162" t="n">
        <v>0</v>
      </c>
      <c r="J1462" s="2162" t="n">
        <v>0</v>
      </c>
      <c r="K1462" s="2162" t="n"/>
    </row>
    <row r="1463" outlineLevel="2" ht="15.75" customHeight="1">
      <c r="A1463" s="1067" t="n">
        <v>1</v>
      </c>
      <c r="B1463" s="1067" t="inlineStr">
        <is>
          <t>Serviço</t>
        </is>
      </c>
      <c r="C1463" s="1067" t="inlineStr">
        <is>
          <t>ST 70 mm - 4 PLACAS - 12,00cm</t>
        </is>
      </c>
      <c r="D1463" s="1067" t="inlineStr">
        <is>
          <t>ST 70 mm - 4 PLACAS - 12,00cm</t>
        </is>
      </c>
      <c r="E1463" s="1068" t="inlineStr">
        <is>
          <t>M2</t>
        </is>
      </c>
      <c r="F1463" s="1067" t="n"/>
      <c r="G1463" s="1069">
        <f t="array" ref="G1463">IF(B1463="insumo",_xlfn.XLOOKUP($D1463,Insumos!$B$1:$B$996,Insumos!$D$1:$D$996),"")</f>
        <v/>
      </c>
      <c r="H1463" s="1069" t="n">
        <v>223.4110565</v>
      </c>
      <c r="I1463" s="2161" t="n">
        <v>0</v>
      </c>
      <c r="J1463" s="2161" t="n">
        <v>0</v>
      </c>
      <c r="K1463" s="2161" t="n"/>
    </row>
    <row r="1464" outlineLevel="3" ht="15.75" customHeight="1">
      <c r="A1464" s="10" t="n">
        <v>86</v>
      </c>
      <c r="B1464" s="10" t="inlineStr">
        <is>
          <t>Insumo</t>
        </is>
      </c>
      <c r="C1464" s="10" t="inlineStr">
        <is>
          <t>ST 70 mm - 4 PLACAS - 12,00cm</t>
        </is>
      </c>
      <c r="D1464" s="10" t="inlineStr">
        <is>
          <t>SERVICO - CONFECCAO SHAFT GESSO</t>
        </is>
      </c>
      <c r="E1464" s="11">
        <f t="array" ref="E1464">_xlfn.XLOOKUP(D1464,Insumos!B:B,Insumos!C:$C)</f>
        <v/>
      </c>
      <c r="F1464" s="14" t="n">
        <v>1</v>
      </c>
      <c r="G1464" s="92">
        <f t="array" ref="G1464">IF(B1464="insumo",_xlfn.XLOOKUP($D1464,Insumos!$B$1:$B$996,Insumos!$D$1:$D$996),"")</f>
        <v/>
      </c>
      <c r="H1464" s="92" t="n">
        <v>70</v>
      </c>
      <c r="I1464" s="2162" t="n">
        <v>0</v>
      </c>
      <c r="J1464" s="2162" t="n">
        <v>0</v>
      </c>
      <c r="K1464" s="2162" t="n"/>
    </row>
    <row r="1465" outlineLevel="3" ht="15.75" customHeight="1">
      <c r="A1465" s="10" t="n">
        <v>47</v>
      </c>
      <c r="B1465" s="10" t="inlineStr">
        <is>
          <t>Insumo</t>
        </is>
      </c>
      <c r="C1465" s="10" t="inlineStr">
        <is>
          <t>ST 70 mm - 4 PLACAS - 12,00cm</t>
        </is>
      </c>
      <c r="D1465" s="10" t="inlineStr">
        <is>
          <t>PLACA / CHAPA DE GESSO ACARTONADO, STANDARD (ST), COR BRANCA, E = 12,5 MM, 1200 X 2400 MM (L X C)</t>
        </is>
      </c>
      <c r="E1465" s="11">
        <f t="array" ref="E1465">_xlfn.XLOOKUP(D1465,Insumos!B:B,Insumos!C:$C)</f>
        <v/>
      </c>
      <c r="F1465" s="14">
        <f>1.053*4</f>
        <v/>
      </c>
      <c r="G1465" s="92">
        <f t="array" ref="G1465">IF(B1465="insumo",_xlfn.XLOOKUP($D1465,Insumos!$B$1:$B$996,Insumos!$D$1:$D$996),"")</f>
        <v/>
      </c>
      <c r="H1465" s="92" t="n">
        <v>84.91392</v>
      </c>
      <c r="I1465" s="2162" t="n">
        <v>0</v>
      </c>
      <c r="J1465" s="2162" t="n">
        <v>0</v>
      </c>
      <c r="K1465" s="2162" t="n"/>
    </row>
    <row r="1466" outlineLevel="3" ht="15.75" customHeight="1">
      <c r="A1466" s="10" t="n">
        <v>95</v>
      </c>
      <c r="B1466" s="10" t="inlineStr">
        <is>
          <t>Insumo</t>
        </is>
      </c>
      <c r="C1466" s="10" t="inlineStr">
        <is>
          <t>ST 70 mm - 4 PLACAS - 12,00cm</t>
        </is>
      </c>
      <c r="D1466" s="10" t="inlineStr">
        <is>
          <t>PINO DE ACO COM ARRUELA CONICA, DIAMETRO ARRUELA = *23* MM E COMP HASTE = *27* MM (ACAO INDIRETA)</t>
        </is>
      </c>
      <c r="E1466" s="11">
        <f t="array" ref="E1466">_xlfn.XLOOKUP(D1466,Insumos!B:B,Insumos!C:$C)</f>
        <v/>
      </c>
      <c r="F1466" s="14" t="n">
        <v>5.92</v>
      </c>
      <c r="G1466" s="92">
        <f t="array" ref="G1466">IF(B1466="insumo",_xlfn.XLOOKUP($D1466,Insumos!$B$1:$B$996,Insumos!$D$1:$D$996),"")</f>
        <v/>
      </c>
      <c r="H1466" s="92" t="n">
        <v>2.98368</v>
      </c>
      <c r="I1466" s="2162" t="n">
        <v>0</v>
      </c>
      <c r="J1466" s="2162" t="n">
        <v>0</v>
      </c>
      <c r="K1466" s="2162" t="n"/>
    </row>
    <row r="1467" outlineLevel="3" ht="15.75" customHeight="1">
      <c r="A1467" s="10" t="n">
        <v>43</v>
      </c>
      <c r="B1467" s="10" t="inlineStr">
        <is>
          <t>Insumo</t>
        </is>
      </c>
      <c r="C1467" s="10" t="inlineStr">
        <is>
          <t>ST 70 mm - 4 PLACAS - 12,00cm</t>
        </is>
      </c>
      <c r="D1467" s="10" t="inlineStr">
        <is>
          <t>PERFIL GUIA, FORMATO U, EM ACO ZINCADO, PARA ESTRUTURA PAREDE DRYWALL, E = 0,5 MM, 70 X 3000 MM (L X C)</t>
        </is>
      </c>
      <c r="E1467" s="11">
        <f t="array" ref="E1467">_xlfn.XLOOKUP(D1467,Insumos!B:B,Insumos!C:$C)</f>
        <v/>
      </c>
      <c r="F1467" s="14" t="n">
        <v>1.8234</v>
      </c>
      <c r="G1467" s="92">
        <f t="array" ref="G1467">IF(B1467="insumo",_xlfn.XLOOKUP($D1467,Insumos!$B$1:$B$996,Insumos!$D$1:$D$996),"")</f>
        <v/>
      </c>
      <c r="H1467" s="92" t="n">
        <v>13.602564</v>
      </c>
      <c r="I1467" s="2162" t="n">
        <v>0</v>
      </c>
      <c r="J1467" s="2162" t="n">
        <v>0</v>
      </c>
      <c r="K1467" s="2162" t="n"/>
    </row>
    <row r="1468" outlineLevel="3" ht="15.75" customHeight="1">
      <c r="A1468" s="10" t="n">
        <v>43</v>
      </c>
      <c r="B1468" s="10" t="inlineStr">
        <is>
          <t>Insumo</t>
        </is>
      </c>
      <c r="C1468" s="10" t="inlineStr">
        <is>
          <t>ST 70 mm - 4 PLACAS - 12,00cm</t>
        </is>
      </c>
      <c r="D1468" s="10" t="inlineStr">
        <is>
          <t>PERFIL MONTANTE, FORMATO C, EM ACO ZINCADO, PARA ESTRUTURA PAREDE DRYWALL, E = 0,5 MM, 70 X 3000 MM (L X C)</t>
        </is>
      </c>
      <c r="E1468" s="11">
        <f t="array" ref="E1468">_xlfn.XLOOKUP(D1468,Insumos!B:B,Insumos!C:$C)</f>
        <v/>
      </c>
      <c r="F1468" s="14" t="n">
        <v>5.8278</v>
      </c>
      <c r="G1468" s="92">
        <f t="array" ref="G1468">IF(B1468="insumo",_xlfn.XLOOKUP($D1468,Insumos!$B$1:$B$996,Insumos!$D$1:$D$996),"")</f>
        <v/>
      </c>
      <c r="H1468" s="92" t="n">
        <v>46.505844</v>
      </c>
      <c r="I1468" s="2162" t="n">
        <v>0</v>
      </c>
      <c r="J1468" s="2162" t="n">
        <v>0</v>
      </c>
      <c r="K1468" s="2162" t="n"/>
    </row>
    <row r="1469" outlineLevel="3" ht="15.75" customHeight="1">
      <c r="A1469" s="10" t="n">
        <v>95</v>
      </c>
      <c r="B1469" s="10" t="inlineStr">
        <is>
          <t>Insumo</t>
        </is>
      </c>
      <c r="C1469" s="10" t="inlineStr">
        <is>
          <t>ST 70 mm - 4 PLACAS - 12,00cm</t>
        </is>
      </c>
      <c r="D1469" s="10" t="inlineStr">
        <is>
          <t>MASSA DE REJUNTE EM PO PARA DRYWALL, A BASE DE GESSO, SECAGEM RAPIDA, PARA TRATAMENTO DE JUNTAS DE CHAPA DE GESSO (NECESSITA ADICAO DE AGUA)</t>
        </is>
      </c>
      <c r="E1469" s="11">
        <f t="array" ref="E1469">_xlfn.XLOOKUP(D1469,Insumos!B:B,Insumos!C:$C)</f>
        <v/>
      </c>
      <c r="F1469" s="14" t="n">
        <v>0.5489000000000001</v>
      </c>
      <c r="G1469" s="92">
        <f t="array" ref="G1469">IF(B1469="insumo",_xlfn.XLOOKUP($D1469,Insumos!$B$1:$B$996,Insumos!$D$1:$D$996),"")</f>
        <v/>
      </c>
      <c r="H1469" s="92" t="n">
        <v>1.882727</v>
      </c>
      <c r="I1469" s="2162" t="n">
        <v>0</v>
      </c>
      <c r="J1469" s="2162" t="n">
        <v>0</v>
      </c>
      <c r="K1469" s="2162" t="n"/>
    </row>
    <row r="1470" outlineLevel="3" ht="15.75" customHeight="1">
      <c r="A1470" s="10" t="n">
        <v>94</v>
      </c>
      <c r="B1470" s="10" t="inlineStr">
        <is>
          <t>Insumo</t>
        </is>
      </c>
      <c r="C1470" s="10" t="inlineStr">
        <is>
          <t>ST 70 mm - 4 PLACAS - 12,00cm</t>
        </is>
      </c>
      <c r="D1470" s="10" t="inlineStr">
        <is>
          <t>FITA DE PAPEL MICROPERFURADO, 50 X 150 MM, PARA TRATAMENTO DE JUNTAS DE CHAPA DE GESSO PARA DRYWALL</t>
        </is>
      </c>
      <c r="E1470" s="11">
        <f t="array" ref="E1470">_xlfn.XLOOKUP(D1470,Insumos!B:B,Insumos!C:$C)</f>
        <v/>
      </c>
      <c r="F1470" s="14" t="n">
        <v>1.25135</v>
      </c>
      <c r="G1470" s="92">
        <f t="array" ref="G1470">IF(B1470="insumo",_xlfn.XLOOKUP($D1470,Insumos!$B$1:$B$996,Insumos!$D$1:$D$996),"")</f>
        <v/>
      </c>
      <c r="H1470" s="92" t="n">
        <v>0.3879185</v>
      </c>
      <c r="I1470" s="2162" t="n">
        <v>0</v>
      </c>
      <c r="J1470" s="2162" t="n">
        <v>0</v>
      </c>
      <c r="K1470" s="2162" t="n"/>
    </row>
    <row r="1471" outlineLevel="3" ht="15.75" customHeight="1">
      <c r="A1471" s="10" t="n">
        <v>94</v>
      </c>
      <c r="B1471" s="10" t="inlineStr">
        <is>
          <t>Insumo</t>
        </is>
      </c>
      <c r="C1471" s="10" t="inlineStr">
        <is>
          <t>ST 70 mm - 4 PLACAS - 12,00cm</t>
        </is>
      </c>
      <c r="D1471" s="10" t="inlineStr">
        <is>
          <t>FITA DE PAPEL REFORCADA COM LAMINA DE METAL PARA REFORCO DE CANTOS DE CHAPA DE GESSO PARA DRYWALL</t>
        </is>
      </c>
      <c r="E1471" s="11">
        <f t="array" ref="E1471">_xlfn.XLOOKUP(D1471,Insumos!B:B,Insumos!C:$C)</f>
        <v/>
      </c>
      <c r="F1471" s="14" t="n">
        <v>0.79255</v>
      </c>
      <c r="G1471" s="92">
        <f t="array" ref="G1471">IF(B1471="insumo",_xlfn.XLOOKUP($D1471,Insumos!$B$1:$B$996,Insumos!$D$1:$D$996),"")</f>
        <v/>
      </c>
      <c r="H1471" s="92" t="n">
        <v>2.171587</v>
      </c>
      <c r="I1471" s="2162" t="n">
        <v>0</v>
      </c>
      <c r="J1471" s="2162" t="n">
        <v>0</v>
      </c>
      <c r="K1471" s="2162" t="n"/>
    </row>
    <row r="1472" outlineLevel="3" ht="15.75" customHeight="1">
      <c r="A1472" s="10" t="n">
        <v>97</v>
      </c>
      <c r="B1472" s="10" t="inlineStr">
        <is>
          <t>Insumo</t>
        </is>
      </c>
      <c r="C1472" s="10" t="inlineStr">
        <is>
          <t>ST 70 mm - 4 PLACAS - 12,00cm</t>
        </is>
      </c>
      <c r="D1472" s="10" t="inlineStr">
        <is>
          <t>PARAFUSO DRY WALL, EM ACO FOSFATIZADO, CABECA TROMBETA E PONTA AGULHA (TA), COMPRIMENTO 25 MM</t>
        </is>
      </c>
      <c r="E1472" s="11">
        <f t="array" ref="E1472">_xlfn.XLOOKUP(D1472,Insumos!B:B,Insumos!C:$C)</f>
        <v/>
      </c>
      <c r="F1472" s="14" t="n">
        <v>10.0934</v>
      </c>
      <c r="G1472" s="92">
        <f t="array" ref="G1472">IF(B1472="insumo",_xlfn.XLOOKUP($D1472,Insumos!$B$1:$B$996,Insumos!$D$1:$D$996),"")</f>
        <v/>
      </c>
      <c r="H1472" s="92" t="n">
        <v>0.908406</v>
      </c>
      <c r="I1472" s="2162" t="n">
        <v>0</v>
      </c>
      <c r="J1472" s="2162" t="n">
        <v>0</v>
      </c>
      <c r="K1472" s="2162" t="n"/>
    </row>
    <row r="1473" outlineLevel="3" ht="15.75" customHeight="1">
      <c r="A1473" s="10" t="n">
        <v>95</v>
      </c>
      <c r="B1473" s="10" t="inlineStr">
        <is>
          <t>Insumo</t>
        </is>
      </c>
      <c r="C1473" s="10" t="inlineStr">
        <is>
          <t>ST 70 mm - 4 PLACAS - 12,00cm</t>
        </is>
      </c>
      <c r="D1473" s="10" t="inlineStr">
        <is>
          <t>PARAFUSO DRY WALL, EM ACO ZINCADO, CABECA LENTILHA E PONTA BROCA (LB), LARGURA 4,2 MM, COMPRIMENTO 13 MM</t>
        </is>
      </c>
      <c r="E1473" s="11">
        <f t="array" ref="E1473">_xlfn.XLOOKUP(D1473,Insumos!B:B,Insumos!C:$C)</f>
        <v/>
      </c>
      <c r="F1473" s="14" t="n">
        <v>0.27205</v>
      </c>
      <c r="G1473" s="92">
        <f t="array" ref="G1473">IF(B1473="insumo",_xlfn.XLOOKUP($D1473,Insumos!$B$1:$B$996,Insumos!$D$1:$D$996),"")</f>
        <v/>
      </c>
      <c r="H1473" s="92" t="n">
        <v>0.05441</v>
      </c>
      <c r="I1473" s="2162" t="n">
        <v>0</v>
      </c>
      <c r="J1473" s="2162" t="n">
        <v>0</v>
      </c>
      <c r="K1473" s="2162" t="n"/>
    </row>
    <row r="1474" outlineLevel="2" ht="15.75" customHeight="1">
      <c r="A1474" s="1067" t="n">
        <v>1</v>
      </c>
      <c r="B1474" s="1067" t="inlineStr">
        <is>
          <t>Serviço</t>
        </is>
      </c>
      <c r="C1474" s="1067" t="inlineStr">
        <is>
          <t>TP732-E 150 mm - 3 PLACAS (Cim10 entre) - 15,00cm</t>
        </is>
      </c>
      <c r="D1474" s="1067" t="inlineStr">
        <is>
          <t>TP732-E 150 mm - 3 PLACAS (Cim10 entre) - 15,00cm</t>
        </is>
      </c>
      <c r="E1474" s="1068" t="inlineStr">
        <is>
          <t>M2</t>
        </is>
      </c>
      <c r="F1474" s="1067" t="n"/>
      <c r="G1474" s="1069">
        <f t="array" ref="G1474">IF(B1474="insumo",_xlfn.XLOOKUP($D1474,Insumos!$B$1:$B$996,Insumos!$D$1:$D$996),"")</f>
        <v/>
      </c>
      <c r="H1474" s="1069" t="n">
        <v>274.341583666667</v>
      </c>
      <c r="I1474" s="2161" t="n">
        <v>0</v>
      </c>
      <c r="J1474" s="2161" t="n">
        <v>0</v>
      </c>
      <c r="K1474" s="2161" t="n"/>
    </row>
    <row r="1475" outlineLevel="3" ht="15.75" customHeight="1">
      <c r="A1475" s="10" t="n">
        <v>86</v>
      </c>
      <c r="B1475" s="10" t="inlineStr">
        <is>
          <t>Insumo</t>
        </is>
      </c>
      <c r="C1475" s="10" t="inlineStr">
        <is>
          <t>TP732-E 150 mm - 3 PLACAS (Cim10 entre) - 15,00cm</t>
        </is>
      </c>
      <c r="D1475" s="10" t="inlineStr">
        <is>
          <t>SERVICO - CONFECCAO SHAFT GESSO</t>
        </is>
      </c>
      <c r="E1475" s="11">
        <f t="array" ref="E1475">_xlfn.XLOOKUP(D1475,Insumos!B:B,Insumos!C:$C)</f>
        <v/>
      </c>
      <c r="F1475" s="14" t="n">
        <v>1</v>
      </c>
      <c r="G1475" s="92">
        <f t="array" ref="G1475">IF(B1475="insumo",_xlfn.XLOOKUP($D1475,Insumos!$B$1:$B$996,Insumos!$D$1:$D$996),"")</f>
        <v/>
      </c>
      <c r="H1475" s="92" t="n">
        <v>70</v>
      </c>
      <c r="I1475" s="2162" t="n">
        <v>0</v>
      </c>
      <c r="J1475" s="2162" t="n">
        <v>0</v>
      </c>
      <c r="K1475" s="2162" t="n"/>
    </row>
    <row r="1476" outlineLevel="3" ht="15.75" customHeight="1">
      <c r="A1476" s="10" t="n">
        <v>47</v>
      </c>
      <c r="B1476" s="10" t="inlineStr">
        <is>
          <t>Insumo</t>
        </is>
      </c>
      <c r="C1476" s="10" t="inlineStr">
        <is>
          <t>TP732-E 150 mm - 3 PLACAS (Cim10 entre) - 15,00cm</t>
        </is>
      </c>
      <c r="D1476" s="10" t="inlineStr">
        <is>
          <t>PLACA / CHAPA DE GESSO ACARTONADO, STANDARD (ST), COR BRANCA, E = 12,5 MM, 1200 X 2400 MM (L X C)</t>
        </is>
      </c>
      <c r="E1476" s="11">
        <f t="array" ref="E1476">_xlfn.XLOOKUP(D1476,Insumos!B:B,Insumos!C:$C)</f>
        <v/>
      </c>
      <c r="F1476" s="14">
        <f>1.053*2</f>
        <v/>
      </c>
      <c r="G1476" s="92">
        <f t="array" ref="G1476">IF(B1476="insumo",_xlfn.XLOOKUP($D1476,Insumos!$B$1:$B$996,Insumos!$D$1:$D$996),"")</f>
        <v/>
      </c>
      <c r="H1476" s="92" t="n">
        <v>42.45696</v>
      </c>
      <c r="I1476" s="2162" t="n">
        <v>0</v>
      </c>
      <c r="J1476" s="2162" t="n">
        <v>0</v>
      </c>
      <c r="K1476" s="2162" t="n"/>
    </row>
    <row r="1477" outlineLevel="3" ht="15.75" customHeight="1">
      <c r="A1477" s="10" t="n">
        <v>11</v>
      </c>
      <c r="B1477" s="10" t="inlineStr">
        <is>
          <t>Insumo</t>
        </is>
      </c>
      <c r="C1477" s="10" t="inlineStr">
        <is>
          <t>TP732-E 150 mm - 3 PLACAS (Cim10 entre) - 15,00cm</t>
        </is>
      </c>
      <c r="D1477" s="10" t="inlineStr">
        <is>
          <t>PLACA CIMENTÍCIA(CT) PARA STEEL FRAME BRASILIT-ETERNIT 8MM X 1,20M X 2,40M</t>
        </is>
      </c>
      <c r="E1477" s="11">
        <f t="array" ref="E1477">_xlfn.XLOOKUP(D1477,Insumos!B:B,Insumos!C:$C)</f>
        <v/>
      </c>
      <c r="F1477" s="14" t="n">
        <v>1.106</v>
      </c>
      <c r="G1477" s="92">
        <f t="array" ref="G1477">IF(B1477="insumo",_xlfn.XLOOKUP($D1477,Insumos!$B$1:$B$996,Insumos!$D$1:$D$996),"")</f>
        <v/>
      </c>
      <c r="H1477" s="92" t="n">
        <v>33.2790791666667</v>
      </c>
      <c r="I1477" s="2162" t="n">
        <v>0</v>
      </c>
      <c r="J1477" s="2162" t="n">
        <v>0</v>
      </c>
      <c r="K1477" s="2162" t="n"/>
    </row>
    <row r="1478" outlineLevel="3" ht="15.75" customHeight="1">
      <c r="A1478" s="10" t="n">
        <v>95</v>
      </c>
      <c r="B1478" s="10" t="inlineStr">
        <is>
          <t>Insumo</t>
        </is>
      </c>
      <c r="C1478" s="10" t="inlineStr">
        <is>
          <t>TP732-E 150 mm - 3 PLACAS (Cim10 entre) - 15,00cm</t>
        </is>
      </c>
      <c r="D1478" s="10" t="inlineStr">
        <is>
          <t>PINO DE ACO COM ARRUELA CONICA, DIAMETRO ARRUELA = *23* MM E COMP HASTE = *27* MM (ACAO INDIRETA)</t>
        </is>
      </c>
      <c r="E1478" s="11">
        <f t="array" ref="E1478">_xlfn.XLOOKUP(D1478,Insumos!B:B,Insumos!C:$C)</f>
        <v/>
      </c>
      <c r="F1478" s="14" t="n">
        <v>5.92</v>
      </c>
      <c r="G1478" s="92">
        <f t="array" ref="G1478">IF(B1478="insumo",_xlfn.XLOOKUP($D1478,Insumos!$B$1:$B$996,Insumos!$D$1:$D$996),"")</f>
        <v/>
      </c>
      <c r="H1478" s="92" t="n">
        <v>2.98368</v>
      </c>
      <c r="I1478" s="2162" t="n">
        <v>0</v>
      </c>
      <c r="J1478" s="2162" t="n">
        <v>0</v>
      </c>
      <c r="K1478" s="2162" t="n"/>
    </row>
    <row r="1479" outlineLevel="3" ht="15.75" customHeight="1">
      <c r="A1479" s="10" t="n">
        <v>43</v>
      </c>
      <c r="B1479" s="10" t="inlineStr">
        <is>
          <t>Insumo</t>
        </is>
      </c>
      <c r="C1479" s="10" t="inlineStr">
        <is>
          <t>TP732-E 150 mm - 3 PLACAS (Cim10 entre) - 15,00cm</t>
        </is>
      </c>
      <c r="D1479" s="10" t="inlineStr">
        <is>
          <t>PERFIL GUIA, FORMATO U, EM ACO ZINCADO, PARA ESTRUTURA PAREDE DRYWALL, E = 0,5 MM, 70 X 3000 MM (L X C)</t>
        </is>
      </c>
      <c r="E1479" s="11">
        <f t="array" ref="E1479">_xlfn.XLOOKUP(D1479,Insumos!B:B,Insumos!C:$C)</f>
        <v/>
      </c>
      <c r="F1479" s="14">
        <f>1.8234*2</f>
        <v/>
      </c>
      <c r="G1479" s="92">
        <f t="array" ref="G1479">IF(B1479="insumo",_xlfn.XLOOKUP($D1479,Insumos!$B$1:$B$996,Insumos!$D$1:$D$996),"")</f>
        <v/>
      </c>
      <c r="H1479" s="92" t="n">
        <v>27.205128</v>
      </c>
      <c r="I1479" s="2162" t="n">
        <v>0</v>
      </c>
      <c r="J1479" s="2162" t="n">
        <v>0</v>
      </c>
      <c r="K1479" s="2162" t="n"/>
    </row>
    <row r="1480" outlineLevel="3" ht="15.75" customHeight="1">
      <c r="A1480" s="10" t="n">
        <v>43</v>
      </c>
      <c r="B1480" s="10" t="inlineStr">
        <is>
          <t>Insumo</t>
        </is>
      </c>
      <c r="C1480" s="10" t="inlineStr">
        <is>
          <t>TP732-E 150 mm - 3 PLACAS (Cim10 entre) - 15,00cm</t>
        </is>
      </c>
      <c r="D1480" s="10" t="inlineStr">
        <is>
          <t>PERFIL MONTANTE, FORMATO C, EM ACO ZINCADO, PARA ESTRUTURA PAREDE DRYWALL, E = 0,5 MM, 70 X 3000 MM (L X C)</t>
        </is>
      </c>
      <c r="E1480" s="11">
        <f t="array" ref="E1480">_xlfn.XLOOKUP(D1480,Insumos!B:B,Insumos!C:$C)</f>
        <v/>
      </c>
      <c r="F1480" s="14">
        <f>5.8278*2</f>
        <v/>
      </c>
      <c r="G1480" s="92">
        <f t="array" ref="G1480">IF(B1480="insumo",_xlfn.XLOOKUP($D1480,Insumos!$B$1:$B$996,Insumos!$D$1:$D$996),"")</f>
        <v/>
      </c>
      <c r="H1480" s="92" t="n">
        <v>93.01168800000001</v>
      </c>
      <c r="I1480" s="2162" t="n">
        <v>0</v>
      </c>
      <c r="J1480" s="2162" t="n">
        <v>0</v>
      </c>
      <c r="K1480" s="2162" t="n"/>
    </row>
    <row r="1481" outlineLevel="3" ht="15.75" customHeight="1">
      <c r="A1481" s="10" t="n">
        <v>95</v>
      </c>
      <c r="B1481" s="10" t="inlineStr">
        <is>
          <t>Insumo</t>
        </is>
      </c>
      <c r="C1481" s="10" t="inlineStr">
        <is>
          <t>TP732-E 150 mm - 3 PLACAS (Cim10 entre) - 15,00cm</t>
        </is>
      </c>
      <c r="D1481" s="10" t="inlineStr">
        <is>
          <t>MASSA DE REJUNTE EM PO PARA DRYWALL, A BASE DE GESSO, SECAGEM RAPIDA, PARA TRATAMENTO DE JUNTAS DE CHAPA DE GESSO (NECESSITA ADICAO DE AGUA)</t>
        </is>
      </c>
      <c r="E1481" s="11">
        <f t="array" ref="E1481">_xlfn.XLOOKUP(D1481,Insumos!B:B,Insumos!C:$C)</f>
        <v/>
      </c>
      <c r="F1481" s="14" t="n">
        <v>0.5489000000000001</v>
      </c>
      <c r="G1481" s="92">
        <f t="array" ref="G1481">IF(B1481="insumo",_xlfn.XLOOKUP($D1481,Insumos!$B$1:$B$996,Insumos!$D$1:$D$996),"")</f>
        <v/>
      </c>
      <c r="H1481" s="92" t="n">
        <v>1.882727</v>
      </c>
      <c r="I1481" s="2162" t="n">
        <v>0</v>
      </c>
      <c r="J1481" s="2162" t="n">
        <v>0</v>
      </c>
      <c r="K1481" s="2162" t="n"/>
    </row>
    <row r="1482" outlineLevel="3" ht="15.75" customHeight="1">
      <c r="A1482" s="10" t="n">
        <v>94</v>
      </c>
      <c r="B1482" s="10" t="inlineStr">
        <is>
          <t>Insumo</t>
        </is>
      </c>
      <c r="C1482" s="10" t="inlineStr">
        <is>
          <t>TP732-E 150 mm - 3 PLACAS (Cim10 entre) - 15,00cm</t>
        </is>
      </c>
      <c r="D1482" s="10" t="inlineStr">
        <is>
          <t>FITA DE PAPEL MICROPERFURADO, 50 X 150 MM, PARA TRATAMENTO DE JUNTAS DE CHAPA DE GESSO PARA DRYWALL</t>
        </is>
      </c>
      <c r="E1482" s="11">
        <f t="array" ref="E1482">_xlfn.XLOOKUP(D1482,Insumos!B:B,Insumos!C:$C)</f>
        <v/>
      </c>
      <c r="F1482" s="14" t="n">
        <v>1.25135</v>
      </c>
      <c r="G1482" s="92">
        <f t="array" ref="G1482">IF(B1482="insumo",_xlfn.XLOOKUP($D1482,Insumos!$B$1:$B$996,Insumos!$D$1:$D$996),"")</f>
        <v/>
      </c>
      <c r="H1482" s="92" t="n">
        <v>0.3879185</v>
      </c>
      <c r="I1482" s="2162" t="n">
        <v>0</v>
      </c>
      <c r="J1482" s="2162" t="n">
        <v>0</v>
      </c>
      <c r="K1482" s="2162" t="n"/>
    </row>
    <row r="1483" outlineLevel="3" ht="15.75" customHeight="1">
      <c r="A1483" s="10" t="n">
        <v>94</v>
      </c>
      <c r="B1483" s="10" t="inlineStr">
        <is>
          <t>Insumo</t>
        </is>
      </c>
      <c r="C1483" s="10" t="inlineStr">
        <is>
          <t>TP732-E 150 mm - 3 PLACAS (Cim10 entre) - 15,00cm</t>
        </is>
      </c>
      <c r="D1483" s="10" t="inlineStr">
        <is>
          <t>FITA DE PAPEL REFORCADA COM LAMINA DE METAL PARA REFORCO DE CANTOS DE CHAPA DE GESSO PARA DRYWALL</t>
        </is>
      </c>
      <c r="E1483" s="11">
        <f t="array" ref="E1483">_xlfn.XLOOKUP(D1483,Insumos!B:B,Insumos!C:$C)</f>
        <v/>
      </c>
      <c r="F1483" s="14" t="n">
        <v>0.79255</v>
      </c>
      <c r="G1483" s="92">
        <f t="array" ref="G1483">IF(B1483="insumo",_xlfn.XLOOKUP($D1483,Insumos!$B$1:$B$996,Insumos!$D$1:$D$996),"")</f>
        <v/>
      </c>
      <c r="H1483" s="92" t="n">
        <v>2.171587</v>
      </c>
      <c r="I1483" s="2162" t="n">
        <v>0</v>
      </c>
      <c r="J1483" s="2162" t="n">
        <v>0</v>
      </c>
      <c r="K1483" s="2162" t="n"/>
    </row>
    <row r="1484" outlineLevel="3" ht="15.75" customHeight="1">
      <c r="A1484" s="10" t="n">
        <v>97</v>
      </c>
      <c r="B1484" s="10" t="inlineStr">
        <is>
          <t>Insumo</t>
        </is>
      </c>
      <c r="C1484" s="10" t="inlineStr">
        <is>
          <t>TP732-E 150 mm - 3 PLACAS (Cim10 entre) - 15,00cm</t>
        </is>
      </c>
      <c r="D1484" s="10" t="inlineStr">
        <is>
          <t>PARAFUSO DRY WALL, EM ACO FOSFATIZADO, CABECA TROMBETA E PONTA AGULHA (TA), COMPRIMENTO 25 MM</t>
        </is>
      </c>
      <c r="E1484" s="11">
        <f t="array" ref="E1484">_xlfn.XLOOKUP(D1484,Insumos!B:B,Insumos!C:$C)</f>
        <v/>
      </c>
      <c r="F1484" s="14" t="n">
        <v>10.0934</v>
      </c>
      <c r="G1484" s="92">
        <f t="array" ref="G1484">IF(B1484="insumo",_xlfn.XLOOKUP($D1484,Insumos!$B$1:$B$996,Insumos!$D$1:$D$996),"")</f>
        <v/>
      </c>
      <c r="H1484" s="92" t="n">
        <v>0.908406</v>
      </c>
      <c r="I1484" s="2162" t="n">
        <v>0</v>
      </c>
      <c r="J1484" s="2162" t="n">
        <v>0</v>
      </c>
      <c r="K1484" s="2162" t="n"/>
    </row>
    <row r="1485" outlineLevel="3" ht="15.75" customHeight="1">
      <c r="A1485" s="10" t="n">
        <v>95</v>
      </c>
      <c r="B1485" s="10" t="inlineStr">
        <is>
          <t>Insumo</t>
        </is>
      </c>
      <c r="C1485" s="10" t="inlineStr">
        <is>
          <t>TP732-E 150 mm - 3 PLACAS (Cim10 entre) - 15,00cm</t>
        </is>
      </c>
      <c r="D1485" s="10" t="inlineStr">
        <is>
          <t>PARAFUSO DRY WALL, EM ACO ZINCADO, CABECA LENTILHA E PONTA BROCA (LB), LARGURA 4,2 MM, COMPRIMENTO 13 MM</t>
        </is>
      </c>
      <c r="E1485" s="11">
        <f t="array" ref="E1485">_xlfn.XLOOKUP(D1485,Insumos!B:B,Insumos!C:$C)</f>
        <v/>
      </c>
      <c r="F1485" s="14" t="n">
        <v>0.27205</v>
      </c>
      <c r="G1485" s="92">
        <f t="array" ref="G1485">IF(B1485="insumo",_xlfn.XLOOKUP($D1485,Insumos!$B$1:$B$996,Insumos!$D$1:$D$996),"")</f>
        <v/>
      </c>
      <c r="H1485" s="92" t="n">
        <v>0.05441</v>
      </c>
      <c r="I1485" s="2162" t="n">
        <v>0</v>
      </c>
      <c r="J1485" s="2162" t="n">
        <v>0</v>
      </c>
      <c r="K1485" s="2162" t="n"/>
    </row>
    <row r="1486" outlineLevel="2" ht="15.75" customHeight="1">
      <c r="A1486" s="1067" t="n">
        <v>1</v>
      </c>
      <c r="B1486" s="1067" t="inlineStr">
        <is>
          <t>Serviço</t>
        </is>
      </c>
      <c r="C1486" s="1067" t="inlineStr">
        <is>
          <t>TP734-E  162,5 mm - 2 PLACAS (Hu + Cim10) - 16,25cm</t>
        </is>
      </c>
      <c r="D1486" s="1067" t="inlineStr">
        <is>
          <t>TP734-E  162,5 mm - 2 PLACAS (Hu + Cim10) - 16,25cm</t>
        </is>
      </c>
      <c r="E1486" s="1068" t="inlineStr">
        <is>
          <t>M2</t>
        </is>
      </c>
      <c r="F1486" s="1067" t="n"/>
      <c r="G1486" s="1069">
        <f t="array" ref="G1486">IF(B1486="insumo",_xlfn.XLOOKUP($D1486,Insumos!$B$1:$B$996,Insumos!$D$1:$D$996),"")</f>
        <v/>
      </c>
      <c r="H1486" s="1069" t="n">
        <v>264.172236166667</v>
      </c>
      <c r="I1486" s="2161" t="n">
        <v>0</v>
      </c>
      <c r="J1486" s="2161" t="n">
        <v>0</v>
      </c>
      <c r="K1486" s="2161" t="n"/>
    </row>
    <row r="1487" outlineLevel="3" ht="15.75" customHeight="1">
      <c r="A1487" s="10" t="n">
        <v>86</v>
      </c>
      <c r="B1487" s="10" t="inlineStr">
        <is>
          <t>Insumo</t>
        </is>
      </c>
      <c r="C1487" s="10" t="inlineStr">
        <is>
          <t>TP734-E  162,5 mm - 2 PLACAS (Hu + Cim10) - 16,25cm</t>
        </is>
      </c>
      <c r="D1487" s="10" t="inlineStr">
        <is>
          <t>SERVICO - CONFECCAO SHAFT GESSO</t>
        </is>
      </c>
      <c r="E1487" s="11">
        <f t="array" ref="E1487">_xlfn.XLOOKUP(D1487,Insumos!B:B,Insumos!C:$C)</f>
        <v/>
      </c>
      <c r="F1487" s="14" t="n">
        <v>1</v>
      </c>
      <c r="G1487" s="92">
        <f t="array" ref="G1487">IF(B1487="insumo",_xlfn.XLOOKUP($D1487,Insumos!$B$1:$B$996,Insumos!$D$1:$D$996),"")</f>
        <v/>
      </c>
      <c r="H1487" s="92" t="n">
        <v>70</v>
      </c>
      <c r="I1487" s="2162" t="n">
        <v>0</v>
      </c>
      <c r="J1487" s="2162" t="n">
        <v>0</v>
      </c>
      <c r="K1487" s="2162" t="n"/>
    </row>
    <row r="1488" outlineLevel="3" ht="15.75" customHeight="1">
      <c r="A1488" s="10" t="n">
        <v>3</v>
      </c>
      <c r="B1488" s="10" t="inlineStr">
        <is>
          <t>Insumo</t>
        </is>
      </c>
      <c r="C1488" s="10" t="inlineStr">
        <is>
          <t>TP734-E  162,5 mm - 2 PLACAS (Hu + Cim10) - 16,25cm</t>
        </is>
      </c>
      <c r="D1488" s="10" t="inlineStr">
        <is>
          <t>CHAPA DE GESSO PARA DRYWALL PLACO - KNAUF (RU) VERDE 12,5MM X 1,20M X 1,80M</t>
        </is>
      </c>
      <c r="E1488" s="11">
        <f t="array" ref="E1488">_xlfn.XLOOKUP(D1488,Insumos!B:B,Insumos!C:$C)</f>
        <v/>
      </c>
      <c r="F1488" s="14">
        <f>1.053*1</f>
        <v/>
      </c>
      <c r="G1488" s="92">
        <f t="array" ref="G1488">IF(B1488="insumo",_xlfn.XLOOKUP($D1488,Insumos!$B$1:$B$996,Insumos!$D$1:$D$996),"")</f>
        <v/>
      </c>
      <c r="H1488" s="92" t="n">
        <v>32.2876125</v>
      </c>
      <c r="I1488" s="2162" t="n">
        <v>0</v>
      </c>
      <c r="J1488" s="2162" t="n">
        <v>0</v>
      </c>
      <c r="K1488" s="2162" t="n"/>
    </row>
    <row r="1489" outlineLevel="3" ht="15.75" customHeight="1">
      <c r="A1489" s="10" t="n">
        <v>11</v>
      </c>
      <c r="B1489" s="10" t="inlineStr">
        <is>
          <t>Insumo</t>
        </is>
      </c>
      <c r="C1489" s="10" t="inlineStr">
        <is>
          <t>TP734-E  162,5 mm - 2 PLACAS (Hu + Cim10) - 16,25cm</t>
        </is>
      </c>
      <c r="D1489" s="10" t="inlineStr">
        <is>
          <t>PLACA CIMENTÍCIA(CT) PARA STEEL FRAME BRASILIT-ETERNIT 8MM X 1,20M X 2,40M</t>
        </is>
      </c>
      <c r="E1489" s="11">
        <f t="array" ref="E1489">_xlfn.XLOOKUP(D1489,Insumos!B:B,Insumos!C:$C)</f>
        <v/>
      </c>
      <c r="F1489" s="14" t="n">
        <v>1.106</v>
      </c>
      <c r="G1489" s="92">
        <f t="array" ref="G1489">IF(B1489="insumo",_xlfn.XLOOKUP($D1489,Insumos!$B$1:$B$996,Insumos!$D$1:$D$996),"")</f>
        <v/>
      </c>
      <c r="H1489" s="92" t="n">
        <v>33.2790791666667</v>
      </c>
      <c r="I1489" s="2162" t="n">
        <v>0</v>
      </c>
      <c r="J1489" s="2162" t="n">
        <v>0</v>
      </c>
      <c r="K1489" s="2162" t="n"/>
    </row>
    <row r="1490" outlineLevel="3" ht="15.75" customHeight="1">
      <c r="A1490" s="10" t="n">
        <v>95</v>
      </c>
      <c r="B1490" s="10" t="inlineStr">
        <is>
          <t>Insumo</t>
        </is>
      </c>
      <c r="C1490" s="10" t="inlineStr">
        <is>
          <t>TP734-E  162,5 mm - 2 PLACAS (Hu + Cim10) - 16,25cm</t>
        </is>
      </c>
      <c r="D1490" s="10" t="inlineStr">
        <is>
          <t>PINO DE ACO COM ARRUELA CONICA, DIAMETRO ARRUELA = *23* MM E COMP HASTE = *27* MM (ACAO INDIRETA)</t>
        </is>
      </c>
      <c r="E1490" s="11">
        <f t="array" ref="E1490">_xlfn.XLOOKUP(D1490,Insumos!B:B,Insumos!C:$C)</f>
        <v/>
      </c>
      <c r="F1490" s="14" t="n">
        <v>5.92</v>
      </c>
      <c r="G1490" s="92">
        <f t="array" ref="G1490">IF(B1490="insumo",_xlfn.XLOOKUP($D1490,Insumos!$B$1:$B$996,Insumos!$D$1:$D$996),"")</f>
        <v/>
      </c>
      <c r="H1490" s="92" t="n">
        <v>2.98368</v>
      </c>
      <c r="I1490" s="2162" t="n">
        <v>0</v>
      </c>
      <c r="J1490" s="2162" t="n">
        <v>0</v>
      </c>
      <c r="K1490" s="2162" t="n"/>
    </row>
    <row r="1491" outlineLevel="3" ht="15.75" customHeight="1">
      <c r="A1491" s="10" t="n">
        <v>43</v>
      </c>
      <c r="B1491" s="10" t="inlineStr">
        <is>
          <t>Insumo</t>
        </is>
      </c>
      <c r="C1491" s="10" t="inlineStr">
        <is>
          <t>TP734-E  162,5 mm - 2 PLACAS (Hu + Cim10) - 16,25cm</t>
        </is>
      </c>
      <c r="D1491" s="10" t="inlineStr">
        <is>
          <t>PERFIL GUIA, FORMATO U, EM ACO ZINCADO, PARA ESTRUTURA PAREDE DRYWALL, E = 0,5 MM, 70 X 3000 MM (L X C)</t>
        </is>
      </c>
      <c r="E1491" s="11">
        <f t="array" ref="E1491">_xlfn.XLOOKUP(D1491,Insumos!B:B,Insumos!C:$C)</f>
        <v/>
      </c>
      <c r="F1491" s="14">
        <f>1.8234*2</f>
        <v/>
      </c>
      <c r="G1491" s="92">
        <f t="array" ref="G1491">IF(B1491="insumo",_xlfn.XLOOKUP($D1491,Insumos!$B$1:$B$996,Insumos!$D$1:$D$996),"")</f>
        <v/>
      </c>
      <c r="H1491" s="92" t="n">
        <v>27.205128</v>
      </c>
      <c r="I1491" s="2162" t="n">
        <v>0</v>
      </c>
      <c r="J1491" s="2162" t="n">
        <v>0</v>
      </c>
      <c r="K1491" s="2162" t="n"/>
    </row>
    <row r="1492" outlineLevel="3" ht="15.75" customHeight="1">
      <c r="A1492" s="10" t="n">
        <v>43</v>
      </c>
      <c r="B1492" s="10" t="inlineStr">
        <is>
          <t>Insumo</t>
        </is>
      </c>
      <c r="C1492" s="10" t="inlineStr">
        <is>
          <t>TP734-E  162,5 mm - 2 PLACAS (Hu + Cim10) - 16,25cm</t>
        </is>
      </c>
      <c r="D1492" s="10" t="inlineStr">
        <is>
          <t>PERFIL MONTANTE, FORMATO C, EM ACO ZINCADO, PARA ESTRUTURA PAREDE DRYWALL, E = 0,5 MM, 70 X 3000 MM (L X C)</t>
        </is>
      </c>
      <c r="E1492" s="11">
        <f t="array" ref="E1492">_xlfn.XLOOKUP(D1492,Insumos!B:B,Insumos!C:$C)</f>
        <v/>
      </c>
      <c r="F1492" s="14">
        <f>5.8278*2</f>
        <v/>
      </c>
      <c r="G1492" s="92">
        <f t="array" ref="G1492">IF(B1492="insumo",_xlfn.XLOOKUP($D1492,Insumos!$B$1:$B$996,Insumos!$D$1:$D$996),"")</f>
        <v/>
      </c>
      <c r="H1492" s="92" t="n">
        <v>93.01168800000001</v>
      </c>
      <c r="I1492" s="2162" t="n">
        <v>0</v>
      </c>
      <c r="J1492" s="2162" t="n">
        <v>0</v>
      </c>
      <c r="K1492" s="2162" t="n"/>
    </row>
    <row r="1493" outlineLevel="3" ht="15.75" customHeight="1">
      <c r="A1493" s="10" t="n">
        <v>95</v>
      </c>
      <c r="B1493" s="10" t="inlineStr">
        <is>
          <t>Insumo</t>
        </is>
      </c>
      <c r="C1493" s="10" t="inlineStr">
        <is>
          <t>TP734-E  162,5 mm - 2 PLACAS (Hu + Cim10) - 16,25cm</t>
        </is>
      </c>
      <c r="D1493" s="10" t="inlineStr">
        <is>
          <t>MASSA DE REJUNTE EM PO PARA DRYWALL, A BASE DE GESSO, SECAGEM RAPIDA, PARA TRATAMENTO DE JUNTAS DE CHAPA DE GESSO (NECESSITA ADICAO DE AGUA)</t>
        </is>
      </c>
      <c r="E1493" s="11">
        <f t="array" ref="E1493">_xlfn.XLOOKUP(D1493,Insumos!B:B,Insumos!C:$C)</f>
        <v/>
      </c>
      <c r="F1493" s="14" t="n">
        <v>0.5489000000000001</v>
      </c>
      <c r="G1493" s="92">
        <f t="array" ref="G1493">IF(B1493="insumo",_xlfn.XLOOKUP($D1493,Insumos!$B$1:$B$996,Insumos!$D$1:$D$996),"")</f>
        <v/>
      </c>
      <c r="H1493" s="92" t="n">
        <v>1.882727</v>
      </c>
      <c r="I1493" s="2162" t="n">
        <v>0</v>
      </c>
      <c r="J1493" s="2162" t="n">
        <v>0</v>
      </c>
      <c r="K1493" s="2162" t="n"/>
    </row>
    <row r="1494" outlineLevel="3" ht="15.75" customHeight="1">
      <c r="A1494" s="10" t="n">
        <v>94</v>
      </c>
      <c r="B1494" s="10" t="inlineStr">
        <is>
          <t>Insumo</t>
        </is>
      </c>
      <c r="C1494" s="10" t="inlineStr">
        <is>
          <t>TP734-E  162,5 mm - 2 PLACAS (Hu + Cim10) - 16,25cm</t>
        </is>
      </c>
      <c r="D1494" s="10" t="inlineStr">
        <is>
          <t>FITA DE PAPEL MICROPERFURADO, 50 X 150 MM, PARA TRATAMENTO DE JUNTAS DE CHAPA DE GESSO PARA DRYWALL</t>
        </is>
      </c>
      <c r="E1494" s="11">
        <f t="array" ref="E1494">_xlfn.XLOOKUP(D1494,Insumos!B:B,Insumos!C:$C)</f>
        <v/>
      </c>
      <c r="F1494" s="14" t="n">
        <v>1.25135</v>
      </c>
      <c r="G1494" s="92">
        <f t="array" ref="G1494">IF(B1494="insumo",_xlfn.XLOOKUP($D1494,Insumos!$B$1:$B$996,Insumos!$D$1:$D$996),"")</f>
        <v/>
      </c>
      <c r="H1494" s="92" t="n">
        <v>0.3879185</v>
      </c>
      <c r="I1494" s="2162" t="n">
        <v>0</v>
      </c>
      <c r="J1494" s="2162" t="n">
        <v>0</v>
      </c>
      <c r="K1494" s="2162" t="n"/>
    </row>
    <row r="1495" outlineLevel="3" ht="15.75" customHeight="1">
      <c r="A1495" s="10" t="n">
        <v>94</v>
      </c>
      <c r="B1495" s="10" t="inlineStr">
        <is>
          <t>Insumo</t>
        </is>
      </c>
      <c r="C1495" s="10" t="inlineStr">
        <is>
          <t>TP734-E  162,5 mm - 2 PLACAS (Hu + Cim10) - 16,25cm</t>
        </is>
      </c>
      <c r="D1495" s="10" t="inlineStr">
        <is>
          <t>FITA DE PAPEL REFORCADA COM LAMINA DE METAL PARA REFORCO DE CANTOS DE CHAPA DE GESSO PARA DRYWALL</t>
        </is>
      </c>
      <c r="E1495" s="11">
        <f t="array" ref="E1495">_xlfn.XLOOKUP(D1495,Insumos!B:B,Insumos!C:$C)</f>
        <v/>
      </c>
      <c r="F1495" s="14" t="n">
        <v>0.79255</v>
      </c>
      <c r="G1495" s="92">
        <f t="array" ref="G1495">IF(B1495="insumo",_xlfn.XLOOKUP($D1495,Insumos!$B$1:$B$996,Insumos!$D$1:$D$996),"")</f>
        <v/>
      </c>
      <c r="H1495" s="92" t="n">
        <v>2.171587</v>
      </c>
      <c r="I1495" s="2162" t="n">
        <v>0</v>
      </c>
      <c r="J1495" s="2162" t="n">
        <v>0</v>
      </c>
      <c r="K1495" s="2162" t="n"/>
    </row>
    <row r="1496" outlineLevel="3" ht="15.75" customHeight="1">
      <c r="A1496" s="10" t="n">
        <v>97</v>
      </c>
      <c r="B1496" s="10" t="inlineStr">
        <is>
          <t>Insumo</t>
        </is>
      </c>
      <c r="C1496" s="10" t="inlineStr">
        <is>
          <t>TP734-E  162,5 mm - 2 PLACAS (Hu + Cim10) - 16,25cm</t>
        </is>
      </c>
      <c r="D1496" s="10" t="inlineStr">
        <is>
          <t>PARAFUSO DRY WALL, EM ACO FOSFATIZADO, CABECA TROMBETA E PONTA AGULHA (TA), COMPRIMENTO 25 MM</t>
        </is>
      </c>
      <c r="E1496" s="11">
        <f t="array" ref="E1496">_xlfn.XLOOKUP(D1496,Insumos!B:B,Insumos!C:$C)</f>
        <v/>
      </c>
      <c r="F1496" s="14" t="n">
        <v>10.0934</v>
      </c>
      <c r="G1496" s="92">
        <f t="array" ref="G1496">IF(B1496="insumo",_xlfn.XLOOKUP($D1496,Insumos!$B$1:$B$996,Insumos!$D$1:$D$996),"")</f>
        <v/>
      </c>
      <c r="H1496" s="92" t="n">
        <v>0.908406</v>
      </c>
      <c r="I1496" s="2162" t="n">
        <v>0</v>
      </c>
      <c r="J1496" s="2162" t="n">
        <v>0</v>
      </c>
      <c r="K1496" s="2162" t="n"/>
    </row>
    <row r="1497" outlineLevel="3" ht="15.75" customHeight="1">
      <c r="A1497" s="10" t="n">
        <v>95</v>
      </c>
      <c r="B1497" s="10" t="inlineStr">
        <is>
          <t>Insumo</t>
        </is>
      </c>
      <c r="C1497" s="10" t="inlineStr">
        <is>
          <t>TP734-E  162,5 mm - 2 PLACAS (Hu + Cim10) - 16,25cm</t>
        </is>
      </c>
      <c r="D1497" s="10" t="inlineStr">
        <is>
          <t>PARAFUSO DRY WALL, EM ACO ZINCADO, CABECA LENTILHA E PONTA BROCA (LB), LARGURA 4,2 MM, COMPRIMENTO 13 MM</t>
        </is>
      </c>
      <c r="E1497" s="11">
        <f t="array" ref="E1497">_xlfn.XLOOKUP(D1497,Insumos!B:B,Insumos!C:$C)</f>
        <v/>
      </c>
      <c r="F1497" s="14" t="n">
        <v>0.27205</v>
      </c>
      <c r="G1497" s="92">
        <f t="array" ref="G1497">IF(B1497="insumo",_xlfn.XLOOKUP($D1497,Insumos!$B$1:$B$996,Insumos!$D$1:$D$996),"")</f>
        <v/>
      </c>
      <c r="H1497" s="92" t="n">
        <v>0.05441</v>
      </c>
      <c r="I1497" s="2162" t="n">
        <v>0</v>
      </c>
      <c r="J1497" s="2162" t="n">
        <v>0</v>
      </c>
      <c r="K1497" s="2162" t="n"/>
    </row>
    <row r="1498" outlineLevel="2" ht="14.25" customHeight="1">
      <c r="A1498" s="1067" t="n">
        <v>1</v>
      </c>
      <c r="B1498" s="1067" t="inlineStr">
        <is>
          <t>Serviço</t>
        </is>
      </c>
      <c r="C1498" s="1067" t="inlineStr">
        <is>
          <t>TP673 175 mm - 3 PLACAS (Hd/Hu + Cim10) - 17,50cm</t>
        </is>
      </c>
      <c r="D1498" s="1067" t="inlineStr">
        <is>
          <t>TP673 175 mm - 3 PLACAS (Hd/Hu + Cim10) - 17,50cm</t>
        </is>
      </c>
      <c r="E1498" s="1068" t="inlineStr">
        <is>
          <t>M2</t>
        </is>
      </c>
      <c r="F1498" s="1067" t="n"/>
      <c r="G1498" s="1069">
        <f t="array" ref="G1498">IF(B1498="insumo",_xlfn.XLOOKUP($D1498,Insumos!$B$1:$B$996,Insumos!$D$1:$D$996),"")</f>
        <v/>
      </c>
      <c r="H1498" s="1069" t="n">
        <v>452.492188666667</v>
      </c>
      <c r="I1498" s="2161" t="n">
        <v>0</v>
      </c>
      <c r="J1498" s="2161" t="n">
        <v>0</v>
      </c>
      <c r="K1498" s="2161" t="n"/>
    </row>
    <row r="1499" outlineLevel="3" ht="15.75" customHeight="1">
      <c r="A1499" s="10" t="n">
        <v>86</v>
      </c>
      <c r="B1499" s="10" t="inlineStr">
        <is>
          <t>Insumo</t>
        </is>
      </c>
      <c r="C1499" s="10" t="inlineStr">
        <is>
          <t>TP673 175 mm - 3 PLACAS (Hd/Hu + Cim10) - 17,50cm</t>
        </is>
      </c>
      <c r="D1499" s="10" t="inlineStr">
        <is>
          <t>SERVICO - CONFECCAO SHAFT GESSO</t>
        </is>
      </c>
      <c r="E1499" s="11">
        <f t="array" ref="E1499">_xlfn.XLOOKUP(D1499,Insumos!B:B,Insumos!C:$C)</f>
        <v/>
      </c>
      <c r="F1499" s="14" t="n">
        <v>1</v>
      </c>
      <c r="G1499" s="92">
        <f t="array" ref="G1499">IF(B1499="insumo",_xlfn.XLOOKUP($D1499,Insumos!$B$1:$B$996,Insumos!$D$1:$D$996),"")</f>
        <v/>
      </c>
      <c r="H1499" s="92" t="n">
        <v>70</v>
      </c>
      <c r="I1499" s="2162" t="n">
        <v>0</v>
      </c>
      <c r="J1499" s="2162" t="n">
        <v>0</v>
      </c>
      <c r="K1499" s="2162" t="n"/>
    </row>
    <row r="1500" outlineLevel="3" ht="15.75" customHeight="1">
      <c r="A1500" s="10" t="n">
        <v>3</v>
      </c>
      <c r="B1500" s="10" t="inlineStr">
        <is>
          <t>Insumo</t>
        </is>
      </c>
      <c r="C1500" s="10" t="inlineStr">
        <is>
          <t>TP673 175 mm - 3 PLACAS (Hd/Hu + Cim10) - 17,50cm</t>
        </is>
      </c>
      <c r="D1500" s="10" t="inlineStr">
        <is>
          <t>CHAPA DE GESSO PARA DRYWALL PLACO - KNAUF (RU) VERDE 12,5MM X 1,20M X 1,80M</t>
        </is>
      </c>
      <c r="E1500" s="11">
        <f t="array" ref="E1500">_xlfn.XLOOKUP(D1500,Insumos!B:B,Insumos!C:$C)</f>
        <v/>
      </c>
      <c r="F1500" s="14">
        <f>1.053*1</f>
        <v/>
      </c>
      <c r="G1500" s="92">
        <f t="array" ref="G1500">IF(B1500="insumo",_xlfn.XLOOKUP($D1500,Insumos!$B$1:$B$996,Insumos!$D$1:$D$996),"")</f>
        <v/>
      </c>
      <c r="H1500" s="92" t="n">
        <v>32.2876125</v>
      </c>
      <c r="I1500" s="2162" t="n">
        <v>0</v>
      </c>
      <c r="J1500" s="2162" t="n">
        <v>0</v>
      </c>
      <c r="K1500" s="2162" t="n"/>
    </row>
    <row r="1501" outlineLevel="3" ht="15.75" customHeight="1">
      <c r="A1501" s="10" t="n">
        <v>2</v>
      </c>
      <c r="B1501" s="10" t="inlineStr">
        <is>
          <t>Insumo</t>
        </is>
      </c>
      <c r="C1501" s="10" t="inlineStr">
        <is>
          <t>TP673 175 mm - 3 PLACAS (Hd/Hu + Cim10) - 17,50cm</t>
        </is>
      </c>
      <c r="D1501" s="10" t="inlineStr">
        <is>
          <t>CHAPA DE GESSO PARA DRYWALL PLACO - KNAUF (HD) HARDBOARD 12,5MM X 1,20M X 1,80M</t>
        </is>
      </c>
      <c r="E1501" s="11">
        <f t="array" ref="E1501">_xlfn.XLOOKUP(D1501,Insumos!B:B,Insumos!C:$C)</f>
        <v/>
      </c>
      <c r="F1501" s="14">
        <f>1.053*1</f>
        <v/>
      </c>
      <c r="G1501" s="92">
        <f t="array" ref="G1501">IF(B1501="insumo",_xlfn.XLOOKUP($D1501,Insumos!$B$1:$B$996,Insumos!$D$1:$D$996),"")</f>
        <v/>
      </c>
      <c r="H1501" s="92" t="n">
        <v>66.1786125</v>
      </c>
      <c r="I1501" s="2162" t="n">
        <v>0</v>
      </c>
      <c r="J1501" s="2162" t="n">
        <v>0</v>
      </c>
      <c r="K1501" s="2162" t="n"/>
    </row>
    <row r="1502" outlineLevel="3" ht="15.75" customHeight="1">
      <c r="A1502" s="10" t="n">
        <v>11</v>
      </c>
      <c r="B1502" s="10" t="inlineStr">
        <is>
          <t>Insumo</t>
        </is>
      </c>
      <c r="C1502" s="10" t="inlineStr">
        <is>
          <t>TP673 175 mm - 3 PLACAS (Hd/Hu + Cim10) - 17,50cm</t>
        </is>
      </c>
      <c r="D1502" s="10" t="inlineStr">
        <is>
          <t>PLACA CIMENTÍCIA(CT) PARA STEEL FRAME BRASILIT-ETERNIT 8MM X 1,20M X 2,40M</t>
        </is>
      </c>
      <c r="E1502" s="11">
        <f t="array" ref="E1502">_xlfn.XLOOKUP(D1502,Insumos!B:B,Insumos!C:$C)</f>
        <v/>
      </c>
      <c r="F1502" s="14" t="n">
        <v>1.106</v>
      </c>
      <c r="G1502" s="92">
        <f t="array" ref="G1502">IF(B1502="insumo",_xlfn.XLOOKUP($D1502,Insumos!$B$1:$B$996,Insumos!$D$1:$D$996),"")</f>
        <v/>
      </c>
      <c r="H1502" s="92" t="n">
        <v>33.2790791666667</v>
      </c>
      <c r="I1502" s="2162" t="n">
        <v>0</v>
      </c>
      <c r="J1502" s="2162" t="n">
        <v>0</v>
      </c>
      <c r="K1502" s="2162" t="n"/>
    </row>
    <row r="1503" outlineLevel="3" ht="15.75" customHeight="1">
      <c r="A1503" s="10" t="n">
        <v>95</v>
      </c>
      <c r="B1503" s="10" t="inlineStr">
        <is>
          <t>Insumo</t>
        </is>
      </c>
      <c r="C1503" s="10" t="inlineStr">
        <is>
          <t>TP673 175 mm - 3 PLACAS (Hd/Hu + Cim10) - 17,50cm</t>
        </is>
      </c>
      <c r="D1503" s="10" t="inlineStr">
        <is>
          <t>PINO DE ACO COM ARRUELA CONICA, DIAMETRO ARRUELA = *23* MM E COMP HASTE = *27* MM (ACAO INDIRETA)</t>
        </is>
      </c>
      <c r="E1503" s="11">
        <f t="array" ref="E1503">_xlfn.XLOOKUP(D1503,Insumos!B:B,Insumos!C:$C)</f>
        <v/>
      </c>
      <c r="F1503" s="14" t="n">
        <v>5.92</v>
      </c>
      <c r="G1503" s="92">
        <f t="array" ref="G1503">IF(B1503="insumo",_xlfn.XLOOKUP($D1503,Insumos!$B$1:$B$996,Insumos!$D$1:$D$996),"")</f>
        <v/>
      </c>
      <c r="H1503" s="92" t="n">
        <v>2.98368</v>
      </c>
      <c r="I1503" s="2162" t="n">
        <v>0</v>
      </c>
      <c r="J1503" s="2162" t="n">
        <v>0</v>
      </c>
      <c r="K1503" s="2162" t="n"/>
    </row>
    <row r="1504" outlineLevel="3" ht="15.75" customHeight="1">
      <c r="A1504" s="10" t="n">
        <v>26</v>
      </c>
      <c r="B1504" s="10" t="inlineStr">
        <is>
          <t>Insumo</t>
        </is>
      </c>
      <c r="C1504" s="10" t="inlineStr">
        <is>
          <t>TP673 175 mm - 3 PLACAS (Hd/Hu + Cim10) - 17,50cm</t>
        </is>
      </c>
      <c r="D1504" s="10" t="inlineStr">
        <is>
          <t>PERFIL GUIA, FORMATO U, EM ACO ZINCADO, PARA ESTRUTURA PAREDE DRYWALL, E = 0,5 MM, 90 X 3000 MM (L X C)</t>
        </is>
      </c>
      <c r="E1504" s="11">
        <f t="array" ref="E1504">_xlfn.XLOOKUP(D1504,Insumos!B:B,Insumos!C:$C)</f>
        <v/>
      </c>
      <c r="F1504" s="14">
        <f>1.8234*2</f>
        <v/>
      </c>
      <c r="G1504" s="92">
        <f t="array" ref="G1504">IF(B1504="insumo",_xlfn.XLOOKUP($D1504,Insumos!$B$1:$B$996,Insumos!$D$1:$D$996),"")</f>
        <v/>
      </c>
      <c r="H1504" s="92" t="n">
        <v>31.508352</v>
      </c>
      <c r="I1504" s="2162" t="n">
        <v>0</v>
      </c>
      <c r="J1504" s="2162" t="n">
        <v>0</v>
      </c>
      <c r="K1504" s="2162" t="n"/>
    </row>
    <row r="1505" outlineLevel="3" ht="15.75" customHeight="1">
      <c r="A1505" s="10" t="n">
        <v>26</v>
      </c>
      <c r="B1505" s="10" t="inlineStr">
        <is>
          <t>Insumo</t>
        </is>
      </c>
      <c r="C1505" s="10" t="inlineStr">
        <is>
          <t>TP673 175 mm - 3 PLACAS (Hd/Hu + Cim10) - 17,50cm</t>
        </is>
      </c>
      <c r="D1505" s="10" t="inlineStr">
        <is>
          <t>PERFIL MONTANTE, FORMATO C, EM ACO ZINCADO, PARA ESTRUTURA PAREDE DRYWALL, E = 0,5 MM, 90 X 3000 MM (L X C)</t>
        </is>
      </c>
      <c r="E1505" s="11">
        <f t="array" ref="E1505">_xlfn.XLOOKUP(D1505,Insumos!B:B,Insumos!C:$C)</f>
        <v/>
      </c>
      <c r="F1505" s="14">
        <f>5.8278*2</f>
        <v/>
      </c>
      <c r="G1505" s="92">
        <f t="array" ref="G1505">IF(B1505="insumo",_xlfn.XLOOKUP($D1505,Insumos!$B$1:$B$996,Insumos!$D$1:$D$996),"")</f>
        <v/>
      </c>
      <c r="H1505" s="92" t="n">
        <v>210.849804</v>
      </c>
      <c r="I1505" s="2162" t="n">
        <v>0</v>
      </c>
      <c r="J1505" s="2162" t="n">
        <v>0</v>
      </c>
      <c r="K1505" s="2162" t="n"/>
    </row>
    <row r="1506" outlineLevel="3" ht="15.75" customHeight="1">
      <c r="A1506" s="10" t="n">
        <v>95</v>
      </c>
      <c r="B1506" s="10" t="inlineStr">
        <is>
          <t>Insumo</t>
        </is>
      </c>
      <c r="C1506" s="10" t="inlineStr">
        <is>
          <t>TP673 175 mm - 3 PLACAS (Hd/Hu + Cim10) - 17,50cm</t>
        </is>
      </c>
      <c r="D1506" s="10" t="inlineStr">
        <is>
          <t>MASSA DE REJUNTE EM PO PARA DRYWALL, A BASE DE GESSO, SECAGEM RAPIDA, PARA TRATAMENTO DE JUNTAS DE CHAPA DE GESSO (NECESSITA ADICAO DE AGUA)</t>
        </is>
      </c>
      <c r="E1506" s="11">
        <f t="array" ref="E1506">_xlfn.XLOOKUP(D1506,Insumos!B:B,Insumos!C:$C)</f>
        <v/>
      </c>
      <c r="F1506" s="14" t="n">
        <v>0.5489000000000001</v>
      </c>
      <c r="G1506" s="92">
        <f t="array" ref="G1506">IF(B1506="insumo",_xlfn.XLOOKUP($D1506,Insumos!$B$1:$B$996,Insumos!$D$1:$D$996),"")</f>
        <v/>
      </c>
      <c r="H1506" s="92" t="n">
        <v>1.882727</v>
      </c>
      <c r="I1506" s="2162" t="n">
        <v>0</v>
      </c>
      <c r="J1506" s="2162" t="n">
        <v>0</v>
      </c>
      <c r="K1506" s="2162" t="n"/>
    </row>
    <row r="1507" outlineLevel="3" ht="15.75" customHeight="1">
      <c r="A1507" s="10" t="n">
        <v>94</v>
      </c>
      <c r="B1507" s="10" t="inlineStr">
        <is>
          <t>Insumo</t>
        </is>
      </c>
      <c r="C1507" s="10" t="inlineStr">
        <is>
          <t>TP673 175 mm - 3 PLACAS (Hd/Hu + Cim10) - 17,50cm</t>
        </is>
      </c>
      <c r="D1507" s="10" t="inlineStr">
        <is>
          <t>FITA DE PAPEL MICROPERFURADO, 50 X 150 MM, PARA TRATAMENTO DE JUNTAS DE CHAPA DE GESSO PARA DRYWALL</t>
        </is>
      </c>
      <c r="E1507" s="11">
        <f t="array" ref="E1507">_xlfn.XLOOKUP(D1507,Insumos!B:B,Insumos!C:$C)</f>
        <v/>
      </c>
      <c r="F1507" s="14" t="n">
        <v>1.25135</v>
      </c>
      <c r="G1507" s="92">
        <f t="array" ref="G1507">IF(B1507="insumo",_xlfn.XLOOKUP($D1507,Insumos!$B$1:$B$996,Insumos!$D$1:$D$996),"")</f>
        <v/>
      </c>
      <c r="H1507" s="92" t="n">
        <v>0.3879185</v>
      </c>
      <c r="I1507" s="2162" t="n">
        <v>0</v>
      </c>
      <c r="J1507" s="2162" t="n">
        <v>0</v>
      </c>
      <c r="K1507" s="2162" t="n"/>
    </row>
    <row r="1508" outlineLevel="3" ht="15.75" customHeight="1">
      <c r="A1508" s="10" t="n">
        <v>94</v>
      </c>
      <c r="B1508" s="10" t="inlineStr">
        <is>
          <t>Insumo</t>
        </is>
      </c>
      <c r="C1508" s="10" t="inlineStr">
        <is>
          <t>TP673 175 mm - 3 PLACAS (Hd/Hu + Cim10) - 17,50cm</t>
        </is>
      </c>
      <c r="D1508" s="10" t="inlineStr">
        <is>
          <t>FITA DE PAPEL REFORCADA COM LAMINA DE METAL PARA REFORCO DE CANTOS DE CHAPA DE GESSO PARA DRYWALL</t>
        </is>
      </c>
      <c r="E1508" s="11">
        <f t="array" ref="E1508">_xlfn.XLOOKUP(D1508,Insumos!B:B,Insumos!C:$C)</f>
        <v/>
      </c>
      <c r="F1508" s="14" t="n">
        <v>0.79255</v>
      </c>
      <c r="G1508" s="92">
        <f t="array" ref="G1508">IF(B1508="insumo",_xlfn.XLOOKUP($D1508,Insumos!$B$1:$B$996,Insumos!$D$1:$D$996),"")</f>
        <v/>
      </c>
      <c r="H1508" s="92" t="n">
        <v>2.171587</v>
      </c>
      <c r="I1508" s="2162" t="n">
        <v>0</v>
      </c>
      <c r="J1508" s="2162" t="n">
        <v>0</v>
      </c>
      <c r="K1508" s="2162" t="n"/>
    </row>
    <row r="1509" outlineLevel="3" ht="15.75" customHeight="1">
      <c r="A1509" s="10" t="n">
        <v>97</v>
      </c>
      <c r="B1509" s="10" t="inlineStr">
        <is>
          <t>Insumo</t>
        </is>
      </c>
      <c r="C1509" s="10" t="inlineStr">
        <is>
          <t>TP673 175 mm - 3 PLACAS (Hd/Hu + Cim10) - 17,50cm</t>
        </is>
      </c>
      <c r="D1509" s="10" t="inlineStr">
        <is>
          <t>PARAFUSO DRY WALL, EM ACO FOSFATIZADO, CABECA TROMBETA E PONTA AGULHA (TA), COMPRIMENTO 25 MM</t>
        </is>
      </c>
      <c r="E1509" s="11">
        <f t="array" ref="E1509">_xlfn.XLOOKUP(D1509,Insumos!B:B,Insumos!C:$C)</f>
        <v/>
      </c>
      <c r="F1509" s="14" t="n">
        <v>10.0934</v>
      </c>
      <c r="G1509" s="92">
        <f t="array" ref="G1509">IF(B1509="insumo",_xlfn.XLOOKUP($D1509,Insumos!$B$1:$B$996,Insumos!$D$1:$D$996),"")</f>
        <v/>
      </c>
      <c r="H1509" s="92" t="n">
        <v>0.908406</v>
      </c>
      <c r="I1509" s="2162" t="n">
        <v>0</v>
      </c>
      <c r="J1509" s="2162" t="n">
        <v>0</v>
      </c>
      <c r="K1509" s="2162" t="n"/>
    </row>
    <row r="1510" outlineLevel="3" ht="15.75" customHeight="1">
      <c r="A1510" s="10" t="n">
        <v>95</v>
      </c>
      <c r="B1510" s="10" t="inlineStr">
        <is>
          <t>Insumo</t>
        </is>
      </c>
      <c r="C1510" s="10" t="inlineStr">
        <is>
          <t>TP673 175 mm - 3 PLACAS (Hd/Hu + Cim10) - 17,50cm</t>
        </is>
      </c>
      <c r="D1510" s="10" t="inlineStr">
        <is>
          <t>PARAFUSO DRY WALL, EM ACO ZINCADO, CABECA LENTILHA E PONTA BROCA (LB), LARGURA 4,2 MM, COMPRIMENTO 13 MM</t>
        </is>
      </c>
      <c r="E1510" s="11">
        <f t="array" ref="E1510">_xlfn.XLOOKUP(D1510,Insumos!B:B,Insumos!C:$C)</f>
        <v/>
      </c>
      <c r="F1510" s="14" t="n">
        <v>0.27205</v>
      </c>
      <c r="G1510" s="92">
        <f t="array" ref="G1510">IF(B1510="insumo",_xlfn.XLOOKUP($D1510,Insumos!$B$1:$B$996,Insumos!$D$1:$D$996),"")</f>
        <v/>
      </c>
      <c r="H1510" s="92" t="n">
        <v>0.05441</v>
      </c>
      <c r="I1510" s="2162" t="n">
        <v>0</v>
      </c>
      <c r="J1510" s="2162" t="n">
        <v>0</v>
      </c>
      <c r="K1510" s="2162" t="n"/>
    </row>
    <row r="1511" outlineLevel="2" ht="14.25" customHeight="1">
      <c r="A1511" s="1067" t="n">
        <v>1</v>
      </c>
      <c r="B1511" s="1067" t="inlineStr">
        <is>
          <t>Serviço</t>
        </is>
      </c>
      <c r="C1511" s="1067" t="inlineStr">
        <is>
          <t>TP732-E  175 mm - 3 PLACAS (Hd/Hu + Cim10) - 17,50cm</t>
        </is>
      </c>
      <c r="D1511" s="1067" t="inlineStr">
        <is>
          <t>TP732-E  175 mm - 3 PLACAS (Hd/Hu + Cim10) - 17,50cm</t>
        </is>
      </c>
      <c r="E1511" s="1068" t="inlineStr">
        <is>
          <t>M2</t>
        </is>
      </c>
      <c r="F1511" s="1067" t="n"/>
      <c r="G1511" s="1069">
        <f t="array" ref="G1511">IF(B1511="insumo",_xlfn.XLOOKUP($D1511,Insumos!$B$1:$B$996,Insumos!$D$1:$D$996),"")</f>
        <v/>
      </c>
      <c r="H1511" s="1069" t="n">
        <v>452.492188666667</v>
      </c>
      <c r="I1511" s="2161" t="n">
        <v>0</v>
      </c>
      <c r="J1511" s="2161" t="n">
        <v>0</v>
      </c>
      <c r="K1511" s="2161" t="n"/>
    </row>
    <row r="1512" outlineLevel="3" ht="15.75" customHeight="1">
      <c r="A1512" s="10" t="n">
        <v>86</v>
      </c>
      <c r="B1512" s="10" t="inlineStr">
        <is>
          <t>Insumo</t>
        </is>
      </c>
      <c r="C1512" s="10" t="inlineStr">
        <is>
          <t>TP732-E  175 mm - 3 PLACAS (Hd/Hu + Cim10) - 17,50cm</t>
        </is>
      </c>
      <c r="D1512" s="10" t="inlineStr">
        <is>
          <t>SERVICO - CONFECCAO SHAFT GESSO</t>
        </is>
      </c>
      <c r="E1512" s="11">
        <f t="array" ref="E1512">_xlfn.XLOOKUP(D1512,Insumos!B:B,Insumos!C:$C)</f>
        <v/>
      </c>
      <c r="F1512" s="14" t="n">
        <v>1</v>
      </c>
      <c r="G1512" s="92">
        <f t="array" ref="G1512">IF(B1512="insumo",_xlfn.XLOOKUP($D1512,Insumos!$B$1:$B$996,Insumos!$D$1:$D$996),"")</f>
        <v/>
      </c>
      <c r="H1512" s="92" t="n">
        <v>70</v>
      </c>
      <c r="I1512" s="2162" t="n">
        <v>0</v>
      </c>
      <c r="J1512" s="2162" t="n">
        <v>0</v>
      </c>
      <c r="K1512" s="2162" t="n"/>
    </row>
    <row r="1513" outlineLevel="3" ht="15.75" customHeight="1">
      <c r="A1513" s="10" t="n">
        <v>3</v>
      </c>
      <c r="B1513" s="10" t="inlineStr">
        <is>
          <t>Insumo</t>
        </is>
      </c>
      <c r="C1513" s="10" t="inlineStr">
        <is>
          <t>TP732-E  175 mm - 3 PLACAS (Hd/Hu + Cim10) - 17,50cm</t>
        </is>
      </c>
      <c r="D1513" s="10" t="inlineStr">
        <is>
          <t>CHAPA DE GESSO PARA DRYWALL PLACO - KNAUF (RU) VERDE 12,5MM X 1,20M X 1,80M</t>
        </is>
      </c>
      <c r="E1513" s="11">
        <f t="array" ref="E1513">_xlfn.XLOOKUP(D1513,Insumos!B:B,Insumos!C:$C)</f>
        <v/>
      </c>
      <c r="F1513" s="14">
        <f>1.053*1</f>
        <v/>
      </c>
      <c r="G1513" s="92">
        <f t="array" ref="G1513">IF(B1513="insumo",_xlfn.XLOOKUP($D1513,Insumos!$B$1:$B$996,Insumos!$D$1:$D$996),"")</f>
        <v/>
      </c>
      <c r="H1513" s="92" t="n">
        <v>32.2876125</v>
      </c>
      <c r="I1513" s="2162" t="n">
        <v>0</v>
      </c>
      <c r="J1513" s="2162" t="n">
        <v>0</v>
      </c>
      <c r="K1513" s="2162" t="n"/>
    </row>
    <row r="1514" outlineLevel="3" ht="15.75" customHeight="1">
      <c r="A1514" s="10" t="n">
        <v>2</v>
      </c>
      <c r="B1514" s="10" t="inlineStr">
        <is>
          <t>Insumo</t>
        </is>
      </c>
      <c r="C1514" s="10" t="inlineStr">
        <is>
          <t>TP732-E  175 mm - 3 PLACAS (Hd/Hu + Cim10) - 17,50cm</t>
        </is>
      </c>
      <c r="D1514" s="10" t="inlineStr">
        <is>
          <t>CHAPA DE GESSO PARA DRYWALL PLACO - KNAUF (HD) HARDBOARD 12,5MM X 1,20M X 1,80M</t>
        </is>
      </c>
      <c r="E1514" s="11">
        <f t="array" ref="E1514">_xlfn.XLOOKUP(D1514,Insumos!B:B,Insumos!C:$C)</f>
        <v/>
      </c>
      <c r="F1514" s="14">
        <f>1.053*1</f>
        <v/>
      </c>
      <c r="G1514" s="92">
        <f t="array" ref="G1514">IF(B1514="insumo",_xlfn.XLOOKUP($D1514,Insumos!$B$1:$B$996,Insumos!$D$1:$D$996),"")</f>
        <v/>
      </c>
      <c r="H1514" s="92" t="n">
        <v>66.1786125</v>
      </c>
      <c r="I1514" s="2162" t="n">
        <v>0</v>
      </c>
      <c r="J1514" s="2162" t="n">
        <v>0</v>
      </c>
      <c r="K1514" s="2162" t="n"/>
    </row>
    <row r="1515" outlineLevel="3" ht="15.75" customHeight="1">
      <c r="A1515" s="10" t="n">
        <v>11</v>
      </c>
      <c r="B1515" s="10" t="inlineStr">
        <is>
          <t>Insumo</t>
        </is>
      </c>
      <c r="C1515" s="10" t="inlineStr">
        <is>
          <t>TP732-E  175 mm - 3 PLACAS (Hd/Hu + Cim10) - 17,50cm</t>
        </is>
      </c>
      <c r="D1515" s="10" t="inlineStr">
        <is>
          <t>PLACA CIMENTÍCIA(CT) PARA STEEL FRAME BRASILIT-ETERNIT 8MM X 1,20M X 2,40M</t>
        </is>
      </c>
      <c r="E1515" s="11">
        <f t="array" ref="E1515">_xlfn.XLOOKUP(D1515,Insumos!B:B,Insumos!C:$C)</f>
        <v/>
      </c>
      <c r="F1515" s="14" t="n">
        <v>1.106</v>
      </c>
      <c r="G1515" s="92">
        <f t="array" ref="G1515">IF(B1515="insumo",_xlfn.XLOOKUP($D1515,Insumos!$B$1:$B$996,Insumos!$D$1:$D$996),"")</f>
        <v/>
      </c>
      <c r="H1515" s="92" t="n">
        <v>33.2790791666667</v>
      </c>
      <c r="I1515" s="2162" t="n">
        <v>0</v>
      </c>
      <c r="J1515" s="2162" t="n">
        <v>0</v>
      </c>
      <c r="K1515" s="2162" t="n"/>
    </row>
    <row r="1516" outlineLevel="3" ht="15.75" customHeight="1">
      <c r="A1516" s="10" t="n">
        <v>95</v>
      </c>
      <c r="B1516" s="10" t="inlineStr">
        <is>
          <t>Insumo</t>
        </is>
      </c>
      <c r="C1516" s="10" t="inlineStr">
        <is>
          <t>TP732-E  175 mm - 3 PLACAS (Hd/Hu + Cim10) - 17,50cm</t>
        </is>
      </c>
      <c r="D1516" s="10" t="inlineStr">
        <is>
          <t>PINO DE ACO COM ARRUELA CONICA, DIAMETRO ARRUELA = *23* MM E COMP HASTE = *27* MM (ACAO INDIRETA)</t>
        </is>
      </c>
      <c r="E1516" s="11">
        <f t="array" ref="E1516">_xlfn.XLOOKUP(D1516,Insumos!B:B,Insumos!C:$C)</f>
        <v/>
      </c>
      <c r="F1516" s="14" t="n">
        <v>5.92</v>
      </c>
      <c r="G1516" s="92">
        <f t="array" ref="G1516">IF(B1516="insumo",_xlfn.XLOOKUP($D1516,Insumos!$B$1:$B$996,Insumos!$D$1:$D$996),"")</f>
        <v/>
      </c>
      <c r="H1516" s="92" t="n">
        <v>2.98368</v>
      </c>
      <c r="I1516" s="2162" t="n">
        <v>0</v>
      </c>
      <c r="J1516" s="2162" t="n">
        <v>0</v>
      </c>
      <c r="K1516" s="2162" t="n"/>
    </row>
    <row r="1517" outlineLevel="3" ht="15.75" customHeight="1">
      <c r="A1517" s="10" t="n">
        <v>26</v>
      </c>
      <c r="B1517" s="10" t="inlineStr">
        <is>
          <t>Insumo</t>
        </is>
      </c>
      <c r="C1517" s="10" t="inlineStr">
        <is>
          <t>TP732-E  175 mm - 3 PLACAS (Hd/Hu + Cim10) - 17,50cm</t>
        </is>
      </c>
      <c r="D1517" s="10" t="inlineStr">
        <is>
          <t>PERFIL GUIA, FORMATO U, EM ACO ZINCADO, PARA ESTRUTURA PAREDE DRYWALL, E = 0,5 MM, 90 X 3000 MM (L X C)</t>
        </is>
      </c>
      <c r="E1517" s="11">
        <f t="array" ref="E1517">_xlfn.XLOOKUP(D1517,Insumos!B:B,Insumos!C:$C)</f>
        <v/>
      </c>
      <c r="F1517" s="14">
        <f>1.8234*2</f>
        <v/>
      </c>
      <c r="G1517" s="92">
        <f t="array" ref="G1517">IF(B1517="insumo",_xlfn.XLOOKUP($D1517,Insumos!$B$1:$B$996,Insumos!$D$1:$D$996),"")</f>
        <v/>
      </c>
      <c r="H1517" s="92" t="n">
        <v>31.508352</v>
      </c>
      <c r="I1517" s="2162" t="n">
        <v>0</v>
      </c>
      <c r="J1517" s="2162" t="n">
        <v>0</v>
      </c>
      <c r="K1517" s="2162" t="n"/>
    </row>
    <row r="1518" outlineLevel="3" ht="15.75" customHeight="1">
      <c r="A1518" s="10" t="n">
        <v>26</v>
      </c>
      <c r="B1518" s="10" t="inlineStr">
        <is>
          <t>Insumo</t>
        </is>
      </c>
      <c r="C1518" s="10" t="inlineStr">
        <is>
          <t>TP732-E  175 mm - 3 PLACAS (Hd/Hu + Cim10) - 17,50cm</t>
        </is>
      </c>
      <c r="D1518" s="10" t="inlineStr">
        <is>
          <t>PERFIL MONTANTE, FORMATO C, EM ACO ZINCADO, PARA ESTRUTURA PAREDE DRYWALL, E = 0,5 MM, 90 X 3000 MM (L X C)</t>
        </is>
      </c>
      <c r="E1518" s="11">
        <f t="array" ref="E1518">_xlfn.XLOOKUP(D1518,Insumos!B:B,Insumos!C:$C)</f>
        <v/>
      </c>
      <c r="F1518" s="14">
        <f>5.8278*2</f>
        <v/>
      </c>
      <c r="G1518" s="92">
        <f t="array" ref="G1518">IF(B1518="insumo",_xlfn.XLOOKUP($D1518,Insumos!$B$1:$B$996,Insumos!$D$1:$D$996),"")</f>
        <v/>
      </c>
      <c r="H1518" s="92" t="n">
        <v>210.849804</v>
      </c>
      <c r="I1518" s="2162" t="n">
        <v>0</v>
      </c>
      <c r="J1518" s="2162" t="n">
        <v>0</v>
      </c>
      <c r="K1518" s="2162" t="n"/>
    </row>
    <row r="1519" outlineLevel="3" ht="15.75" customHeight="1">
      <c r="A1519" s="10" t="n">
        <v>95</v>
      </c>
      <c r="B1519" s="10" t="inlineStr">
        <is>
          <t>Insumo</t>
        </is>
      </c>
      <c r="C1519" s="10" t="inlineStr">
        <is>
          <t>TP732-E  175 mm - 3 PLACAS (Hd/Hu + Cim10) - 17,50cm</t>
        </is>
      </c>
      <c r="D1519" s="10" t="inlineStr">
        <is>
          <t>MASSA DE REJUNTE EM PO PARA DRYWALL, A BASE DE GESSO, SECAGEM RAPIDA, PARA TRATAMENTO DE JUNTAS DE CHAPA DE GESSO (NECESSITA ADICAO DE AGUA)</t>
        </is>
      </c>
      <c r="E1519" s="11">
        <f t="array" ref="E1519">_xlfn.XLOOKUP(D1519,Insumos!B:B,Insumos!C:$C)</f>
        <v/>
      </c>
      <c r="F1519" s="14" t="n">
        <v>0.5489000000000001</v>
      </c>
      <c r="G1519" s="92">
        <f t="array" ref="G1519">IF(B1519="insumo",_xlfn.XLOOKUP($D1519,Insumos!$B$1:$B$996,Insumos!$D$1:$D$996),"")</f>
        <v/>
      </c>
      <c r="H1519" s="92" t="n">
        <v>1.882727</v>
      </c>
      <c r="I1519" s="2162" t="n">
        <v>0</v>
      </c>
      <c r="J1519" s="2162" t="n">
        <v>0</v>
      </c>
      <c r="K1519" s="2162" t="n"/>
    </row>
    <row r="1520" outlineLevel="3" ht="15.75" customHeight="1">
      <c r="A1520" s="10" t="n">
        <v>94</v>
      </c>
      <c r="B1520" s="10" t="inlineStr">
        <is>
          <t>Insumo</t>
        </is>
      </c>
      <c r="C1520" s="10" t="inlineStr">
        <is>
          <t>TP732-E  175 mm - 3 PLACAS (Hd/Hu + Cim10) - 17,50cm</t>
        </is>
      </c>
      <c r="D1520" s="10" t="inlineStr">
        <is>
          <t>FITA DE PAPEL MICROPERFURADO, 50 X 150 MM, PARA TRATAMENTO DE JUNTAS DE CHAPA DE GESSO PARA DRYWALL</t>
        </is>
      </c>
      <c r="E1520" s="11">
        <f t="array" ref="E1520">_xlfn.XLOOKUP(D1520,Insumos!B:B,Insumos!C:$C)</f>
        <v/>
      </c>
      <c r="F1520" s="14" t="n">
        <v>1.25135</v>
      </c>
      <c r="G1520" s="92">
        <f t="array" ref="G1520">IF(B1520="insumo",_xlfn.XLOOKUP($D1520,Insumos!$B$1:$B$996,Insumos!$D$1:$D$996),"")</f>
        <v/>
      </c>
      <c r="H1520" s="92" t="n">
        <v>0.3879185</v>
      </c>
      <c r="I1520" s="2162" t="n">
        <v>0</v>
      </c>
      <c r="J1520" s="2162" t="n">
        <v>0</v>
      </c>
      <c r="K1520" s="2162" t="n"/>
    </row>
    <row r="1521" outlineLevel="3" ht="15.75" customHeight="1">
      <c r="A1521" s="10" t="n">
        <v>94</v>
      </c>
      <c r="B1521" s="10" t="inlineStr">
        <is>
          <t>Insumo</t>
        </is>
      </c>
      <c r="C1521" s="10" t="inlineStr">
        <is>
          <t>TP732-E  175 mm - 3 PLACAS (Hd/Hu + Cim10) - 17,50cm</t>
        </is>
      </c>
      <c r="D1521" s="10" t="inlineStr">
        <is>
          <t>FITA DE PAPEL REFORCADA COM LAMINA DE METAL PARA REFORCO DE CANTOS DE CHAPA DE GESSO PARA DRYWALL</t>
        </is>
      </c>
      <c r="E1521" s="11">
        <f t="array" ref="E1521">_xlfn.XLOOKUP(D1521,Insumos!B:B,Insumos!C:$C)</f>
        <v/>
      </c>
      <c r="F1521" s="14" t="n">
        <v>0.79255</v>
      </c>
      <c r="G1521" s="92">
        <f t="array" ref="G1521">IF(B1521="insumo",_xlfn.XLOOKUP($D1521,Insumos!$B$1:$B$996,Insumos!$D$1:$D$996),"")</f>
        <v/>
      </c>
      <c r="H1521" s="92" t="n">
        <v>2.171587</v>
      </c>
      <c r="I1521" s="2162" t="n">
        <v>0</v>
      </c>
      <c r="J1521" s="2162" t="n">
        <v>0</v>
      </c>
      <c r="K1521" s="2162" t="n"/>
    </row>
    <row r="1522" outlineLevel="3" ht="15.75" customHeight="1">
      <c r="A1522" s="10" t="n">
        <v>97</v>
      </c>
      <c r="B1522" s="10" t="inlineStr">
        <is>
          <t>Insumo</t>
        </is>
      </c>
      <c r="C1522" s="10" t="inlineStr">
        <is>
          <t>TP732-E  175 mm - 3 PLACAS (Hd/Hu + Cim10) - 17,50cm</t>
        </is>
      </c>
      <c r="D1522" s="10" t="inlineStr">
        <is>
          <t>PARAFUSO DRY WALL, EM ACO FOSFATIZADO, CABECA TROMBETA E PONTA AGULHA (TA), COMPRIMENTO 25 MM</t>
        </is>
      </c>
      <c r="E1522" s="11">
        <f t="array" ref="E1522">_xlfn.XLOOKUP(D1522,Insumos!B:B,Insumos!C:$C)</f>
        <v/>
      </c>
      <c r="F1522" s="14" t="n">
        <v>10.0934</v>
      </c>
      <c r="G1522" s="92">
        <f t="array" ref="G1522">IF(B1522="insumo",_xlfn.XLOOKUP($D1522,Insumos!$B$1:$B$996,Insumos!$D$1:$D$996),"")</f>
        <v/>
      </c>
      <c r="H1522" s="92" t="n">
        <v>0.908406</v>
      </c>
      <c r="I1522" s="2162" t="n">
        <v>0</v>
      </c>
      <c r="J1522" s="2162" t="n">
        <v>0</v>
      </c>
      <c r="K1522" s="2162" t="n"/>
    </row>
    <row r="1523" outlineLevel="3" ht="15.75" customHeight="1">
      <c r="A1523" s="10" t="n">
        <v>95</v>
      </c>
      <c r="B1523" s="10" t="inlineStr">
        <is>
          <t>Insumo</t>
        </is>
      </c>
      <c r="C1523" s="10" t="inlineStr">
        <is>
          <t>TP732-E  175 mm - 3 PLACAS (Hd/Hu + Cim10) - 17,50cm</t>
        </is>
      </c>
      <c r="D1523" s="10" t="inlineStr">
        <is>
          <t>PARAFUSO DRY WALL, EM ACO ZINCADO, CABECA LENTILHA E PONTA BROCA (LB), LARGURA 4,2 MM, COMPRIMENTO 13 MM</t>
        </is>
      </c>
      <c r="E1523" s="11">
        <f t="array" ref="E1523">_xlfn.XLOOKUP(D1523,Insumos!B:B,Insumos!C:$C)</f>
        <v/>
      </c>
      <c r="F1523" s="14" t="n">
        <v>0.27205</v>
      </c>
      <c r="G1523" s="92">
        <f t="array" ref="G1523">IF(B1523="insumo",_xlfn.XLOOKUP($D1523,Insumos!$B$1:$B$996,Insumos!$D$1:$D$996),"")</f>
        <v/>
      </c>
      <c r="H1523" s="92" t="n">
        <v>0.05441</v>
      </c>
      <c r="I1523" s="2162" t="n">
        <v>0</v>
      </c>
      <c r="J1523" s="2162" t="n">
        <v>0</v>
      </c>
      <c r="K1523" s="2162" t="n"/>
    </row>
    <row r="1524" outlineLevel="2" ht="15.75" customHeight="1">
      <c r="A1524" s="1067" t="n">
        <v>1</v>
      </c>
      <c r="B1524" s="1067" t="inlineStr">
        <is>
          <t>Serviço</t>
        </is>
      </c>
      <c r="C1524" s="1067" t="inlineStr">
        <is>
          <t>TP673 70 mm - 2 PLACAS - 9,50cm</t>
        </is>
      </c>
      <c r="D1524" s="1067" t="inlineStr">
        <is>
          <t>TP673 70 mm - 2 PLACAS - 9,50cm</t>
        </is>
      </c>
      <c r="E1524" s="1068" t="inlineStr">
        <is>
          <t>M2</t>
        </is>
      </c>
      <c r="F1524" s="1067" t="n"/>
      <c r="G1524" s="1069">
        <f t="array" ref="G1524">IF(B1524="insumo",_xlfn.XLOOKUP($D1524,Insumos!$B$1:$B$996,Insumos!$D$1:$D$996),"")</f>
        <v/>
      </c>
      <c r="H1524" s="1069" t="n">
        <v>180.9540965</v>
      </c>
      <c r="I1524" s="2161" t="n">
        <v>0</v>
      </c>
      <c r="J1524" s="2161" t="n">
        <v>0</v>
      </c>
      <c r="K1524" s="2161" t="n"/>
    </row>
    <row r="1525" outlineLevel="3" ht="15.75" customHeight="1">
      <c r="A1525" s="10" t="n">
        <v>86</v>
      </c>
      <c r="B1525" s="10" t="inlineStr">
        <is>
          <t>Insumo</t>
        </is>
      </c>
      <c r="C1525" s="10" t="inlineStr">
        <is>
          <t>TP673 70 mm - 2 PLACAS - 9,50cm</t>
        </is>
      </c>
      <c r="D1525" s="10" t="inlineStr">
        <is>
          <t>SERVICO - CONFECCAO SHAFT GESSO</t>
        </is>
      </c>
      <c r="E1525" s="11">
        <f t="array" ref="E1525">_xlfn.XLOOKUP(D1525,Insumos!B:B,Insumos!C:$C)</f>
        <v/>
      </c>
      <c r="F1525" s="14" t="n">
        <v>1</v>
      </c>
      <c r="G1525" s="92">
        <f t="array" ref="G1525">IF(B1525="insumo",_xlfn.XLOOKUP($D1525,Insumos!$B$1:$B$996,Insumos!$D$1:$D$996),"")</f>
        <v/>
      </c>
      <c r="H1525" s="92" t="n">
        <v>70</v>
      </c>
      <c r="I1525" s="2162" t="n">
        <v>0</v>
      </c>
      <c r="J1525" s="2162" t="n">
        <v>0</v>
      </c>
      <c r="K1525" s="2162" t="n"/>
    </row>
    <row r="1526" outlineLevel="3" ht="15.75" customHeight="1">
      <c r="A1526" s="10" t="n">
        <v>47</v>
      </c>
      <c r="B1526" s="10" t="inlineStr">
        <is>
          <t>Insumo</t>
        </is>
      </c>
      <c r="C1526" s="10" t="inlineStr">
        <is>
          <t>TP673 70 mm - 2 PLACAS - 9,50cm</t>
        </is>
      </c>
      <c r="D1526" s="10" t="inlineStr">
        <is>
          <t>PLACA / CHAPA DE GESSO ACARTONADO, STANDARD (ST), COR BRANCA, E = 12,5 MM, 1200 X 2400 MM (L X C)</t>
        </is>
      </c>
      <c r="E1526" s="11">
        <f t="array" ref="E1526">_xlfn.XLOOKUP(D1526,Insumos!B:B,Insumos!C:$C)</f>
        <v/>
      </c>
      <c r="F1526" s="14">
        <f>1.053*2</f>
        <v/>
      </c>
      <c r="G1526" s="92">
        <f t="array" ref="G1526">IF(B1526="insumo",_xlfn.XLOOKUP($D1526,Insumos!$B$1:$B$996,Insumos!$D$1:$D$996),"")</f>
        <v/>
      </c>
      <c r="H1526" s="92" t="n">
        <v>42.45696</v>
      </c>
      <c r="I1526" s="2162" t="n">
        <v>0</v>
      </c>
      <c r="J1526" s="2162" t="n">
        <v>0</v>
      </c>
      <c r="K1526" s="2162" t="n"/>
    </row>
    <row r="1527" outlineLevel="3" ht="15.75" customHeight="1">
      <c r="A1527" s="10" t="n">
        <v>95</v>
      </c>
      <c r="B1527" s="10" t="inlineStr">
        <is>
          <t>Insumo</t>
        </is>
      </c>
      <c r="C1527" s="10" t="inlineStr">
        <is>
          <t>TP673 70 mm - 2 PLACAS - 9,50cm</t>
        </is>
      </c>
      <c r="D1527" s="10" t="inlineStr">
        <is>
          <t>PINO DE ACO COM ARRUELA CONICA, DIAMETRO ARRUELA = *23* MM E COMP HASTE = *27* MM (ACAO INDIRETA)</t>
        </is>
      </c>
      <c r="E1527" s="11">
        <f t="array" ref="E1527">_xlfn.XLOOKUP(D1527,Insumos!B:B,Insumos!C:$C)</f>
        <v/>
      </c>
      <c r="F1527" s="14" t="n">
        <v>5.92</v>
      </c>
      <c r="G1527" s="92">
        <f t="array" ref="G1527">IF(B1527="insumo",_xlfn.XLOOKUP($D1527,Insumos!$B$1:$B$996,Insumos!$D$1:$D$996),"")</f>
        <v/>
      </c>
      <c r="H1527" s="92" t="n">
        <v>2.98368</v>
      </c>
      <c r="I1527" s="2162" t="n">
        <v>0</v>
      </c>
      <c r="J1527" s="2162" t="n">
        <v>0</v>
      </c>
      <c r="K1527" s="2162" t="n"/>
    </row>
    <row r="1528" outlineLevel="3" ht="15.75" customHeight="1">
      <c r="A1528" s="10" t="n">
        <v>43</v>
      </c>
      <c r="B1528" s="10" t="inlineStr">
        <is>
          <t>Insumo</t>
        </is>
      </c>
      <c r="C1528" s="10" t="inlineStr">
        <is>
          <t>TP673 70 mm - 2 PLACAS - 9,50cm</t>
        </is>
      </c>
      <c r="D1528" s="10" t="inlineStr">
        <is>
          <t>PERFIL GUIA, FORMATO U, EM ACO ZINCADO, PARA ESTRUTURA PAREDE DRYWALL, E = 0,5 MM, 70 X 3000 MM (L X C)</t>
        </is>
      </c>
      <c r="E1528" s="11">
        <f t="array" ref="E1528">_xlfn.XLOOKUP(D1528,Insumos!B:B,Insumos!C:$C)</f>
        <v/>
      </c>
      <c r="F1528" s="14" t="n">
        <v>1.8234</v>
      </c>
      <c r="G1528" s="92">
        <f t="array" ref="G1528">IF(B1528="insumo",_xlfn.XLOOKUP($D1528,Insumos!$B$1:$B$996,Insumos!$D$1:$D$996),"")</f>
        <v/>
      </c>
      <c r="H1528" s="92" t="n">
        <v>13.602564</v>
      </c>
      <c r="I1528" s="2162" t="n">
        <v>0</v>
      </c>
      <c r="J1528" s="2162" t="n">
        <v>0</v>
      </c>
      <c r="K1528" s="2162" t="n"/>
    </row>
    <row r="1529" outlineLevel="3" ht="15.75" customHeight="1">
      <c r="A1529" s="10" t="n">
        <v>43</v>
      </c>
      <c r="B1529" s="10" t="inlineStr">
        <is>
          <t>Insumo</t>
        </is>
      </c>
      <c r="C1529" s="10" t="inlineStr">
        <is>
          <t>TP673 70 mm - 2 PLACAS - 9,50cm</t>
        </is>
      </c>
      <c r="D1529" s="10" t="inlineStr">
        <is>
          <t>PERFIL MONTANTE, FORMATO C, EM ACO ZINCADO, PARA ESTRUTURA PAREDE DRYWALL, E = 0,5 MM, 70 X 3000 MM (L X C)</t>
        </is>
      </c>
      <c r="E1529" s="11">
        <f t="array" ref="E1529">_xlfn.XLOOKUP(D1529,Insumos!B:B,Insumos!C:$C)</f>
        <v/>
      </c>
      <c r="F1529" s="14" t="n">
        <v>5.8278</v>
      </c>
      <c r="G1529" s="92">
        <f t="array" ref="G1529">IF(B1529="insumo",_xlfn.XLOOKUP($D1529,Insumos!$B$1:$B$996,Insumos!$D$1:$D$996),"")</f>
        <v/>
      </c>
      <c r="H1529" s="92" t="n">
        <v>46.505844</v>
      </c>
      <c r="I1529" s="2162" t="n">
        <v>0</v>
      </c>
      <c r="J1529" s="2162" t="n">
        <v>0</v>
      </c>
      <c r="K1529" s="2162" t="n"/>
    </row>
    <row r="1530" outlineLevel="3" ht="15.75" customHeight="1">
      <c r="A1530" s="10" t="n">
        <v>95</v>
      </c>
      <c r="B1530" s="10" t="inlineStr">
        <is>
          <t>Insumo</t>
        </is>
      </c>
      <c r="C1530" s="10" t="inlineStr">
        <is>
          <t>TP673 70 mm - 2 PLACAS - 9,50cm</t>
        </is>
      </c>
      <c r="D1530" s="10" t="inlineStr">
        <is>
          <t>MASSA DE REJUNTE EM PO PARA DRYWALL, A BASE DE GESSO, SECAGEM RAPIDA, PARA TRATAMENTO DE JUNTAS DE CHAPA DE GESSO (NECESSITA ADICAO DE AGUA)</t>
        </is>
      </c>
      <c r="E1530" s="11">
        <f t="array" ref="E1530">_xlfn.XLOOKUP(D1530,Insumos!B:B,Insumos!C:$C)</f>
        <v/>
      </c>
      <c r="F1530" s="14" t="n">
        <v>0.5489000000000001</v>
      </c>
      <c r="G1530" s="92">
        <f t="array" ref="G1530">IF(B1530="insumo",_xlfn.XLOOKUP($D1530,Insumos!$B$1:$B$996,Insumos!$D$1:$D$996),"")</f>
        <v/>
      </c>
      <c r="H1530" s="92" t="n">
        <v>1.882727</v>
      </c>
      <c r="I1530" s="2162" t="n">
        <v>0</v>
      </c>
      <c r="J1530" s="2162" t="n">
        <v>0</v>
      </c>
      <c r="K1530" s="2162" t="n"/>
    </row>
    <row r="1531" outlineLevel="3" ht="15.75" customHeight="1">
      <c r="A1531" s="10" t="n">
        <v>94</v>
      </c>
      <c r="B1531" s="10" t="inlineStr">
        <is>
          <t>Insumo</t>
        </is>
      </c>
      <c r="C1531" s="10" t="inlineStr">
        <is>
          <t>TP673 70 mm - 2 PLACAS - 9,50cm</t>
        </is>
      </c>
      <c r="D1531" s="10" t="inlineStr">
        <is>
          <t>FITA DE PAPEL MICROPERFURADO, 50 X 150 MM, PARA TRATAMENTO DE JUNTAS DE CHAPA DE GESSO PARA DRYWALL</t>
        </is>
      </c>
      <c r="E1531" s="11">
        <f t="array" ref="E1531">_xlfn.XLOOKUP(D1531,Insumos!B:B,Insumos!C:$C)</f>
        <v/>
      </c>
      <c r="F1531" s="14" t="n">
        <v>1.25135</v>
      </c>
      <c r="G1531" s="92">
        <f t="array" ref="G1531">IF(B1531="insumo",_xlfn.XLOOKUP($D1531,Insumos!$B$1:$B$996,Insumos!$D$1:$D$996),"")</f>
        <v/>
      </c>
      <c r="H1531" s="92" t="n">
        <v>0.3879185</v>
      </c>
      <c r="I1531" s="2162" t="n">
        <v>0</v>
      </c>
      <c r="J1531" s="2162" t="n">
        <v>0</v>
      </c>
      <c r="K1531" s="2162" t="n"/>
    </row>
    <row r="1532" outlineLevel="3" ht="15.75" customHeight="1">
      <c r="A1532" s="10" t="n">
        <v>94</v>
      </c>
      <c r="B1532" s="10" t="inlineStr">
        <is>
          <t>Insumo</t>
        </is>
      </c>
      <c r="C1532" s="10" t="inlineStr">
        <is>
          <t>TP673 70 mm - 2 PLACAS - 9,50cm</t>
        </is>
      </c>
      <c r="D1532" s="10" t="inlineStr">
        <is>
          <t>FITA DE PAPEL REFORCADA COM LAMINA DE METAL PARA REFORCO DE CANTOS DE CHAPA DE GESSO PARA DRYWALL</t>
        </is>
      </c>
      <c r="E1532" s="11">
        <f t="array" ref="E1532">_xlfn.XLOOKUP(D1532,Insumos!B:B,Insumos!C:$C)</f>
        <v/>
      </c>
      <c r="F1532" s="14" t="n">
        <v>0.79255</v>
      </c>
      <c r="G1532" s="92">
        <f t="array" ref="G1532">IF(B1532="insumo",_xlfn.XLOOKUP($D1532,Insumos!$B$1:$B$996,Insumos!$D$1:$D$996),"")</f>
        <v/>
      </c>
      <c r="H1532" s="92" t="n">
        <v>2.171587</v>
      </c>
      <c r="I1532" s="2162" t="n">
        <v>0</v>
      </c>
      <c r="J1532" s="2162" t="n">
        <v>0</v>
      </c>
      <c r="K1532" s="2162" t="n"/>
    </row>
    <row r="1533" outlineLevel="3" ht="15.75" customHeight="1">
      <c r="A1533" s="10" t="n">
        <v>97</v>
      </c>
      <c r="B1533" s="10" t="inlineStr">
        <is>
          <t>Insumo</t>
        </is>
      </c>
      <c r="C1533" s="10" t="inlineStr">
        <is>
          <t>TP673 70 mm - 2 PLACAS - 9,50cm</t>
        </is>
      </c>
      <c r="D1533" s="10" t="inlineStr">
        <is>
          <t>PARAFUSO DRY WALL, EM ACO FOSFATIZADO, CABECA TROMBETA E PONTA AGULHA (TA), COMPRIMENTO 25 MM</t>
        </is>
      </c>
      <c r="E1533" s="11">
        <f t="array" ref="E1533">_xlfn.XLOOKUP(D1533,Insumos!B:B,Insumos!C:$C)</f>
        <v/>
      </c>
      <c r="F1533" s="14" t="n">
        <v>10.0934</v>
      </c>
      <c r="G1533" s="92">
        <f t="array" ref="G1533">IF(B1533="insumo",_xlfn.XLOOKUP($D1533,Insumos!$B$1:$B$996,Insumos!$D$1:$D$996),"")</f>
        <v/>
      </c>
      <c r="H1533" s="92" t="n">
        <v>0.908406</v>
      </c>
      <c r="I1533" s="2162" t="n">
        <v>0</v>
      </c>
      <c r="J1533" s="2162" t="n">
        <v>0</v>
      </c>
      <c r="K1533" s="2162" t="n"/>
    </row>
    <row r="1534" outlineLevel="3" ht="15.75" customHeight="1">
      <c r="A1534" s="10" t="n">
        <v>95</v>
      </c>
      <c r="B1534" s="10" t="inlineStr">
        <is>
          <t>Insumo</t>
        </is>
      </c>
      <c r="C1534" s="10" t="inlineStr">
        <is>
          <t>TP673 70 mm - 2 PLACAS - 9,50cm</t>
        </is>
      </c>
      <c r="D1534" s="10" t="inlineStr">
        <is>
          <t>PARAFUSO DRY WALL, EM ACO ZINCADO, CABECA LENTILHA E PONTA BROCA (LB), LARGURA 4,2 MM, COMPRIMENTO 13 MM</t>
        </is>
      </c>
      <c r="E1534" s="11">
        <f t="array" ref="E1534">_xlfn.XLOOKUP(D1534,Insumos!B:B,Insumos!C:$C)</f>
        <v/>
      </c>
      <c r="F1534" s="14" t="n">
        <v>0.27205</v>
      </c>
      <c r="G1534" s="92">
        <f t="array" ref="G1534">IF(B1534="insumo",_xlfn.XLOOKUP($D1534,Insumos!$B$1:$B$996,Insumos!$D$1:$D$996),"")</f>
        <v/>
      </c>
      <c r="H1534" s="92" t="n">
        <v>0.05441</v>
      </c>
      <c r="I1534" s="2162" t="n">
        <v>0</v>
      </c>
      <c r="J1534" s="2162" t="n">
        <v>0</v>
      </c>
      <c r="K1534" s="2162" t="n"/>
    </row>
    <row r="1535" outlineLevel="2" ht="15.75" customHeight="1">
      <c r="A1535" s="1067" t="n">
        <v>1</v>
      </c>
      <c r="B1535" s="1067" t="inlineStr">
        <is>
          <t>Serviço</t>
        </is>
      </c>
      <c r="C1535" s="1067" t="inlineStr">
        <is>
          <t>30_DRY 48 mm - SEM PLACAS - 4,80cm  -</t>
        </is>
      </c>
      <c r="D1535" s="1067" t="inlineStr">
        <is>
          <t>30_DRY 48 mm - SEM PLACAS - 4,80cm  -</t>
        </is>
      </c>
      <c r="E1535" s="1068" t="inlineStr">
        <is>
          <t>M2</t>
        </is>
      </c>
      <c r="F1535" s="1067" t="n"/>
      <c r="G1535" s="1069">
        <f t="array" ref="G1535">IF(B1535="insumo",_xlfn.XLOOKUP($D1535,Insumos!$B$1:$B$996,Insumos!$D$1:$D$996),"")</f>
        <v/>
      </c>
      <c r="H1535" s="1069" t="n">
        <v>132.416846</v>
      </c>
      <c r="I1535" s="2161" t="n">
        <v>0</v>
      </c>
      <c r="J1535" s="2161" t="n">
        <v>0</v>
      </c>
      <c r="K1535" s="2161" t="n"/>
    </row>
    <row r="1536" outlineLevel="3" ht="15.75" customHeight="1">
      <c r="A1536" s="10" t="n">
        <v>86</v>
      </c>
      <c r="B1536" s="10" t="inlineStr">
        <is>
          <t>Insumo</t>
        </is>
      </c>
      <c r="C1536" s="10" t="inlineStr">
        <is>
          <t>30_DRY 48 mm - SEM PLACAS - 4,80cm  -</t>
        </is>
      </c>
      <c r="D1536" s="10" t="inlineStr">
        <is>
          <t>SERVICO - CONFECCAO SHAFT GESSO</t>
        </is>
      </c>
      <c r="E1536" s="11">
        <f t="array" ref="E1536">_xlfn.XLOOKUP(D1536,Insumos!B:B,Insumos!C:$C)</f>
        <v/>
      </c>
      <c r="F1536" s="14" t="n">
        <v>1</v>
      </c>
      <c r="G1536" s="92">
        <f t="array" ref="G1536">IF(B1536="insumo",_xlfn.XLOOKUP($D1536,Insumos!$B$1:$B$996,Insumos!$D$1:$D$996),"")</f>
        <v/>
      </c>
      <c r="H1536" s="92" t="n">
        <v>70</v>
      </c>
      <c r="I1536" s="2162" t="n">
        <v>0</v>
      </c>
      <c r="J1536" s="2162" t="n">
        <v>0</v>
      </c>
      <c r="K1536" s="2162" t="n"/>
    </row>
    <row r="1537" outlineLevel="3" ht="15.75" customHeight="1">
      <c r="A1537" s="10" t="n">
        <v>95</v>
      </c>
      <c r="B1537" s="10" t="inlineStr">
        <is>
          <t>Insumo</t>
        </is>
      </c>
      <c r="C1537" s="10" t="inlineStr">
        <is>
          <t>30_DRY 48 mm - SEM PLACAS - 4,80cm  -</t>
        </is>
      </c>
      <c r="D1537" s="10" t="inlineStr">
        <is>
          <t>PINO DE ACO COM ARRUELA CONICA, DIAMETRO ARRUELA = *23* MM E COMP HASTE = *27* MM (ACAO INDIRETA)</t>
        </is>
      </c>
      <c r="E1537" s="11">
        <f t="array" ref="E1537">_xlfn.XLOOKUP(D1537,Insumos!B:B,Insumos!C:$C)</f>
        <v/>
      </c>
      <c r="F1537" s="14" t="n">
        <v>5.92</v>
      </c>
      <c r="G1537" s="92">
        <f t="array" ref="G1537">IF(B1537="insumo",_xlfn.XLOOKUP($D1537,Insumos!$B$1:$B$996,Insumos!$D$1:$D$996),"")</f>
        <v/>
      </c>
      <c r="H1537" s="92" t="n">
        <v>2.98368</v>
      </c>
      <c r="I1537" s="2162" t="n">
        <v>0</v>
      </c>
      <c r="J1537" s="2162" t="n">
        <v>0</v>
      </c>
      <c r="K1537" s="2162" t="n"/>
    </row>
    <row r="1538" outlineLevel="3" ht="15.75" customHeight="1">
      <c r="A1538" s="10" t="n">
        <v>26</v>
      </c>
      <c r="B1538" s="10" t="inlineStr">
        <is>
          <t>Insumo</t>
        </is>
      </c>
      <c r="C1538" s="10" t="inlineStr">
        <is>
          <t>30_DRY 48 mm - SEM PLACAS - 4,80cm  -</t>
        </is>
      </c>
      <c r="D1538" s="10" t="inlineStr">
        <is>
          <t>PERFIL GUIA, FORMATO U, EM ACO ZINCADO, PARA ESTRUTURA PAREDE DRYWALL, E = 0,5 MM, 48 X 3000 MM (L X C)</t>
        </is>
      </c>
      <c r="E1538" s="11">
        <f t="array" ref="E1538">_xlfn.XLOOKUP(D1538,Insumos!B:B,Insumos!C:$C)</f>
        <v/>
      </c>
      <c r="F1538" s="14" t="n">
        <v>1.8234</v>
      </c>
      <c r="G1538" s="92">
        <f t="array" ref="G1538">IF(B1538="insumo",_xlfn.XLOOKUP($D1538,Insumos!$B$1:$B$996,Insumos!$D$1:$D$996),"")</f>
        <v/>
      </c>
      <c r="H1538" s="92" t="n">
        <v>12.818502</v>
      </c>
      <c r="I1538" s="2162" t="n">
        <v>0</v>
      </c>
      <c r="J1538" s="2162" t="n">
        <v>0</v>
      </c>
      <c r="K1538" s="2162" t="n"/>
    </row>
    <row r="1539" outlineLevel="3" ht="15.75" customHeight="1">
      <c r="A1539" s="10" t="n">
        <v>26</v>
      </c>
      <c r="B1539" s="10" t="inlineStr">
        <is>
          <t>Insumo</t>
        </is>
      </c>
      <c r="C1539" s="10" t="inlineStr">
        <is>
          <t>30_DRY 48 mm - SEM PLACAS - 4,80cm  -</t>
        </is>
      </c>
      <c r="D1539" s="10" t="inlineStr">
        <is>
          <t>PERFIL MONTANTE, FORMATO C, EM ACO ZINCADO, PARA ESTRUTURA PAREDE DRYWALL, E = 0,5 MM, 48 X 3000 MM (L X C)</t>
        </is>
      </c>
      <c r="E1539" s="11">
        <f t="array" ref="E1539">_xlfn.XLOOKUP(D1539,Insumos!B:B,Insumos!C:$C)</f>
        <v/>
      </c>
      <c r="F1539" s="14" t="n">
        <v>5.8278</v>
      </c>
      <c r="G1539" s="92">
        <f t="array" ref="G1539">IF(B1539="insumo",_xlfn.XLOOKUP($D1539,Insumos!$B$1:$B$996,Insumos!$D$1:$D$996),"")</f>
        <v/>
      </c>
      <c r="H1539" s="92" t="n">
        <v>46.505844</v>
      </c>
      <c r="I1539" s="2162" t="n">
        <v>0</v>
      </c>
      <c r="J1539" s="2162" t="n">
        <v>0</v>
      </c>
      <c r="K1539" s="2162" t="n"/>
    </row>
    <row r="1540" outlineLevel="3" ht="15.75" customHeight="1">
      <c r="A1540" s="10" t="n">
        <v>95</v>
      </c>
      <c r="B1540" s="10" t="inlineStr">
        <is>
          <t>Insumo</t>
        </is>
      </c>
      <c r="C1540" s="10" t="inlineStr">
        <is>
          <t>30_DRY 48 mm - SEM PLACAS - 4,80cm  -</t>
        </is>
      </c>
      <c r="D1540" s="10" t="inlineStr">
        <is>
          <t>PARAFUSO DRY WALL, EM ACO ZINCADO, CABECA LENTILHA E PONTA BROCA (LB), LARGURA 4,2 MM, COMPRIMENTO 13 MM</t>
        </is>
      </c>
      <c r="E1540" s="11">
        <f t="array" ref="E1540">_xlfn.XLOOKUP(D1540,Insumos!B:B,Insumos!C:$C)</f>
        <v/>
      </c>
      <c r="F1540" s="14" t="n">
        <v>0.5441</v>
      </c>
      <c r="G1540" s="92">
        <f t="array" ref="G1540">IF(B1540="insumo",_xlfn.XLOOKUP($D1540,Insumos!$B$1:$B$996,Insumos!$D$1:$D$996),"")</f>
        <v/>
      </c>
      <c r="H1540" s="92" t="n">
        <v>0.10882</v>
      </c>
      <c r="I1540" s="2162" t="n">
        <v>0</v>
      </c>
      <c r="J1540" s="2162" t="n">
        <v>0</v>
      </c>
      <c r="K1540" s="2162" t="n"/>
    </row>
    <row r="1541" outlineLevel="2" ht="15.75" customHeight="1">
      <c r="A1541" s="1067" t="n">
        <v>1</v>
      </c>
      <c r="B1541" s="1067" t="inlineStr">
        <is>
          <t>Serviço</t>
        </is>
      </c>
      <c r="C1541" s="1067" t="inlineStr">
        <is>
          <t>34_DRY 48 mm LV - SEM PLACAS - 4,80cm  -</t>
        </is>
      </c>
      <c r="D1541" s="1067" t="inlineStr">
        <is>
          <t>34_DRY 48 mm LV - SEM PLACAS - 4,80cm  -</t>
        </is>
      </c>
      <c r="E1541" s="1068" t="inlineStr">
        <is>
          <t>M2</t>
        </is>
      </c>
      <c r="F1541" s="1067" t="n"/>
      <c r="G1541" s="1069">
        <f t="array" ref="G1541">IF(B1541="insumo",_xlfn.XLOOKUP($D1541,Insumos!$B$1:$B$996,Insumos!$D$1:$D$996),"")</f>
        <v/>
      </c>
      <c r="H1541" s="1069" t="n">
        <v>146.738112666667</v>
      </c>
      <c r="I1541" s="2161" t="n">
        <v>0</v>
      </c>
      <c r="J1541" s="2161" t="n">
        <v>0</v>
      </c>
      <c r="K1541" s="2161" t="n"/>
    </row>
    <row r="1542" outlineLevel="3" ht="15.75" customHeight="1">
      <c r="A1542" s="10" t="n">
        <v>86</v>
      </c>
      <c r="B1542" s="10" t="inlineStr">
        <is>
          <t>Insumo</t>
        </is>
      </c>
      <c r="C1542" s="10" t="inlineStr">
        <is>
          <t>34_DRY 48 mm LV - SEM PLACAS - 4,80cm  -</t>
        </is>
      </c>
      <c r="D1542" s="10" t="inlineStr">
        <is>
          <t>SERVICO - CONFECCAO SHAFT GESSO</t>
        </is>
      </c>
      <c r="E1542" s="11">
        <f t="array" ref="E1542">_xlfn.XLOOKUP(D1542,Insumos!B:B,Insumos!C:$C)</f>
        <v/>
      </c>
      <c r="F1542" s="14" t="n">
        <v>1</v>
      </c>
      <c r="G1542" s="92">
        <f t="array" ref="G1542">IF(B1542="insumo",_xlfn.XLOOKUP($D1542,Insumos!$B$1:$B$996,Insumos!$D$1:$D$996),"")</f>
        <v/>
      </c>
      <c r="H1542" s="92" t="n">
        <v>70</v>
      </c>
      <c r="I1542" s="2162" t="n">
        <v>0</v>
      </c>
      <c r="J1542" s="2162" t="n">
        <v>0</v>
      </c>
      <c r="K1542" s="2162" t="n"/>
    </row>
    <row r="1543" outlineLevel="3" ht="15.75" customHeight="1">
      <c r="A1543" s="10" t="n">
        <v>95</v>
      </c>
      <c r="B1543" s="10" t="inlineStr">
        <is>
          <t>Insumo</t>
        </is>
      </c>
      <c r="C1543" s="10" t="inlineStr">
        <is>
          <t>34_DRY 48 mm LV - SEM PLACAS - 4,80cm  -</t>
        </is>
      </c>
      <c r="D1543" s="10" t="inlineStr">
        <is>
          <t>PINO DE ACO COM ARRUELA CONICA, DIAMETRO ARRUELA = *23* MM E COMP HASTE = *27* MM (ACAO INDIRETA)</t>
        </is>
      </c>
      <c r="E1543" s="11">
        <f t="array" ref="E1543">_xlfn.XLOOKUP(D1543,Insumos!B:B,Insumos!C:$C)</f>
        <v/>
      </c>
      <c r="F1543" s="14" t="n">
        <v>5.92</v>
      </c>
      <c r="G1543" s="92">
        <f t="array" ref="G1543">IF(B1543="insumo",_xlfn.XLOOKUP($D1543,Insumos!$B$1:$B$996,Insumos!$D$1:$D$996),"")</f>
        <v/>
      </c>
      <c r="H1543" s="92" t="n">
        <v>2.98368</v>
      </c>
      <c r="I1543" s="2162" t="n">
        <v>0</v>
      </c>
      <c r="J1543" s="2162" t="n">
        <v>0</v>
      </c>
      <c r="K1543" s="2162" t="n"/>
    </row>
    <row r="1544" outlineLevel="3" ht="15.75" customHeight="1">
      <c r="A1544" s="10" t="n">
        <v>26</v>
      </c>
      <c r="B1544" s="10" t="inlineStr">
        <is>
          <t>Insumo</t>
        </is>
      </c>
      <c r="C1544" s="10" t="inlineStr">
        <is>
          <t>34_DRY 48 mm LV - SEM PLACAS - 4,80cm  -</t>
        </is>
      </c>
      <c r="D1544" s="10" t="inlineStr">
        <is>
          <t>PERFIL GUIA, FORMATO U, EM ACO ZINCADO, PARA ESTRUTURA PAREDE DRYWALL, E = 0,5 MM, 48 X 3000 MM (L X C)</t>
        </is>
      </c>
      <c r="E1544" s="11">
        <f t="array" ref="E1544">_xlfn.XLOOKUP(D1544,Insumos!B:B,Insumos!C:$C)</f>
        <v/>
      </c>
      <c r="F1544" s="14" t="n">
        <v>1.8234</v>
      </c>
      <c r="G1544" s="92">
        <f t="array" ref="G1544">IF(B1544="insumo",_xlfn.XLOOKUP($D1544,Insumos!$B$1:$B$996,Insumos!$D$1:$D$996),"")</f>
        <v/>
      </c>
      <c r="H1544" s="92" t="n">
        <v>12.818502</v>
      </c>
      <c r="I1544" s="2162" t="n">
        <v>0</v>
      </c>
      <c r="J1544" s="2162" t="n">
        <v>0</v>
      </c>
      <c r="K1544" s="2162" t="n"/>
    </row>
    <row r="1545" outlineLevel="3" ht="15.75" customHeight="1">
      <c r="A1545" s="10" t="n">
        <v>26</v>
      </c>
      <c r="B1545" s="10" t="inlineStr">
        <is>
          <t>Insumo</t>
        </is>
      </c>
      <c r="C1545" s="10" t="inlineStr">
        <is>
          <t>34_DRY 48 mm LV - SEM PLACAS - 4,80cm  -</t>
        </is>
      </c>
      <c r="D1545" s="10" t="inlineStr">
        <is>
          <t>PERFIL MONTANTE, FORMATO C, EM ACO ZINCADO, PARA ESTRUTURA PAREDE DRYWALL, E = 0,5 MM, 48 X 3000 MM (L X C)</t>
        </is>
      </c>
      <c r="E1545" s="11">
        <f t="array" ref="E1545">_xlfn.XLOOKUP(D1545,Insumos!B:B,Insumos!C:$C)</f>
        <v/>
      </c>
      <c r="F1545" s="14" t="n">
        <v>5.8278</v>
      </c>
      <c r="G1545" s="92">
        <f t="array" ref="G1545">IF(B1545="insumo",_xlfn.XLOOKUP($D1545,Insumos!$B$1:$B$996,Insumos!$D$1:$D$996),"")</f>
        <v/>
      </c>
      <c r="H1545" s="92" t="n">
        <v>46.505844</v>
      </c>
      <c r="I1545" s="2162" t="n">
        <v>0</v>
      </c>
      <c r="J1545" s="2162" t="n">
        <v>0</v>
      </c>
      <c r="K1545" s="2162" t="n"/>
    </row>
    <row r="1546" outlineLevel="3" ht="15.75" customHeight="1">
      <c r="A1546" s="10" t="n">
        <v>95</v>
      </c>
      <c r="B1546" s="10" t="inlineStr">
        <is>
          <t>Insumo</t>
        </is>
      </c>
      <c r="C1546" s="10" t="inlineStr">
        <is>
          <t>34_DRY 48 mm LV - SEM PLACAS - 4,80cm  -</t>
        </is>
      </c>
      <c r="D1546" s="10" t="inlineStr">
        <is>
          <t>PARAFUSO DRY WALL, EM ACO ZINCADO, CABECA LENTILHA E PONTA BROCA (LB), LARGURA 4,2 MM, COMPRIMENTO 13 MM</t>
        </is>
      </c>
      <c r="E1546" s="11">
        <f t="array" ref="E1546">_xlfn.XLOOKUP(D1546,Insumos!B:B,Insumos!C:$C)</f>
        <v/>
      </c>
      <c r="F1546" s="14" t="n">
        <v>0.5441</v>
      </c>
      <c r="G1546" s="92">
        <f t="array" ref="G1546">IF(B1546="insumo",_xlfn.XLOOKUP($D1546,Insumos!$B$1:$B$996,Insumos!$D$1:$D$996),"")</f>
        <v/>
      </c>
      <c r="H1546" s="92" t="n">
        <v>0.10882</v>
      </c>
      <c r="I1546" s="2162" t="n">
        <v>0</v>
      </c>
      <c r="J1546" s="2162" t="n">
        <v>0</v>
      </c>
      <c r="K1546" s="2162" t="n"/>
    </row>
    <row r="1547" outlineLevel="3" ht="15.75" customHeight="1">
      <c r="A1547" s="10" t="n">
        <v>35</v>
      </c>
      <c r="B1547" s="10" t="inlineStr">
        <is>
          <t>Insumo</t>
        </is>
      </c>
      <c r="C1547" s="10" t="inlineStr">
        <is>
          <t>34_DRY 48 mm LV - SEM PLACAS - 4,80cm  -</t>
        </is>
      </c>
      <c r="D1547" s="10" t="inlineStr">
        <is>
          <t>Lã de pet 50 X 1200 X 12500 MM</t>
        </is>
      </c>
      <c r="E1547" s="11">
        <f t="array" ref="E1547">_xlfn.XLOOKUP(D1547,Insumos!B:B,Insumos!C:$C)</f>
        <v/>
      </c>
      <c r="F1547" s="14" t="n">
        <v>1.1</v>
      </c>
      <c r="G1547" s="92">
        <f t="array" ref="G1547">IF(B1547="insumo",_xlfn.XLOOKUP($D1547,Insumos!$B$1:$B$996,Insumos!$D$1:$D$996),"")</f>
        <v/>
      </c>
      <c r="H1547" s="92" t="n">
        <v>14.3212666666667</v>
      </c>
      <c r="I1547" s="2162" t="n">
        <v>0</v>
      </c>
      <c r="J1547" s="2162" t="n">
        <v>0</v>
      </c>
      <c r="K1547" s="2162" t="n"/>
    </row>
    <row r="1548" outlineLevel="2" ht="15.75" customHeight="1">
      <c r="A1548" s="1067" t="n">
        <v>1</v>
      </c>
      <c r="B1548" s="1067" t="inlineStr">
        <is>
          <t>Serviço</t>
        </is>
      </c>
      <c r="C1548" s="1067" t="inlineStr">
        <is>
          <t>30_DRY 48 mm - 1 PLACA - 6,05cm  -  Lado A: PLACA PERFORMANCE RU - Lado B: N/A</t>
        </is>
      </c>
      <c r="D1548" s="1067" t="inlineStr">
        <is>
          <t>30_DRY 48 mm - 1 PLACA - 6,05cm  -  Lado A: PLACA PERFORMANCE RU - Lado B: N/A</t>
        </is>
      </c>
      <c r="E1548" s="1068" t="inlineStr">
        <is>
          <t>M2</t>
        </is>
      </c>
      <c r="F1548" s="1067" t="n"/>
      <c r="G1548" s="1069">
        <f t="array" ref="G1548">IF(B1548="insumo",_xlfn.XLOOKUP($D1548,Insumos!$B$1:$B$996,Insumos!$D$1:$D$996),"")</f>
        <v/>
      </c>
      <c r="H1548" s="1069" t="n">
        <v>167.7400845</v>
      </c>
      <c r="I1548" s="2161" t="n">
        <v>0</v>
      </c>
      <c r="J1548" s="2161" t="n">
        <v>0</v>
      </c>
      <c r="K1548" s="2161" t="n"/>
    </row>
    <row r="1549" outlineLevel="3" ht="15.75" customHeight="1">
      <c r="A1549" s="10" t="n">
        <v>86</v>
      </c>
      <c r="B1549" s="10" t="inlineStr">
        <is>
          <t>Insumo</t>
        </is>
      </c>
      <c r="C1549" s="10" t="inlineStr">
        <is>
          <t>30_DRY 48 mm - 1 PLACA - 6,05cm  -  Lado A: PLACA PERFORMANCE RU - Lado B: N/A</t>
        </is>
      </c>
      <c r="D1549" s="10" t="inlineStr">
        <is>
          <t>SERVICO - CONFECCAO SHAFT GESSO</t>
        </is>
      </c>
      <c r="E1549" s="11">
        <f t="array" ref="E1549">_xlfn.XLOOKUP(D1549,Insumos!B:B,Insumos!C:$C)</f>
        <v/>
      </c>
      <c r="F1549" s="14" t="n">
        <v>1</v>
      </c>
      <c r="G1549" s="92">
        <f t="array" ref="G1549">IF(B1549="insumo",_xlfn.XLOOKUP($D1549,Insumos!$B$1:$B$996,Insumos!$D$1:$D$996),"")</f>
        <v/>
      </c>
      <c r="H1549" s="92" t="n">
        <v>70</v>
      </c>
      <c r="I1549" s="2162" t="n">
        <v>0</v>
      </c>
      <c r="J1549" s="2162" t="n">
        <v>0</v>
      </c>
      <c r="K1549" s="2162" t="n"/>
    </row>
    <row r="1550" outlineLevel="3" ht="15.75" customHeight="1">
      <c r="A1550" s="10" t="n">
        <v>49</v>
      </c>
      <c r="B1550" s="10" t="inlineStr">
        <is>
          <t>Insumo</t>
        </is>
      </c>
      <c r="C1550" s="10" t="inlineStr">
        <is>
          <t>30_DRY 48 mm - 1 PLACA - 6,05cm  -  Lado A: PLACA PERFORMANCE RU - Lado B: N/A</t>
        </is>
      </c>
      <c r="D1550" s="10" t="inlineStr">
        <is>
          <t>PLACA / CHAPA DE GESSO ACARTONADO, RESISTENTE A UMIDADE (RU), COR VERDE, E = 12,5 MM, 1200 X 2400 MM (L X C)</t>
        </is>
      </c>
      <c r="E1550" s="11">
        <f t="array" ref="E1550">_xlfn.XLOOKUP(D1550,Insumos!B:B,Insumos!C:$C)</f>
        <v/>
      </c>
      <c r="F1550" s="14" t="n">
        <v>1.106</v>
      </c>
      <c r="G1550" s="92">
        <f t="array" ref="G1550">IF(B1550="insumo",_xlfn.XLOOKUP($D1550,Insumos!$B$1:$B$996,Insumos!$D$1:$D$996),"")</f>
        <v/>
      </c>
      <c r="H1550" s="92" t="n">
        <v>29.9726</v>
      </c>
      <c r="I1550" s="2162" t="n">
        <v>0</v>
      </c>
      <c r="J1550" s="2162" t="n">
        <v>0</v>
      </c>
      <c r="K1550" s="2162" t="n"/>
    </row>
    <row r="1551" outlineLevel="3" ht="15.75" customHeight="1">
      <c r="A1551" s="10" t="n">
        <v>95</v>
      </c>
      <c r="B1551" s="10" t="inlineStr">
        <is>
          <t>Insumo</t>
        </is>
      </c>
      <c r="C1551" s="10" t="inlineStr">
        <is>
          <t>30_DRY 48 mm - 1 PLACA - 6,05cm  -  Lado A: PLACA PERFORMANCE RU - Lado B: N/A</t>
        </is>
      </c>
      <c r="D1551" s="10" t="inlineStr">
        <is>
          <t>PINO DE ACO COM ARRUELA CONICA, DIAMETRO ARRUELA = *23* MM E COMP HASTE = *27* MM (ACAO INDIRETA)</t>
        </is>
      </c>
      <c r="E1551" s="11">
        <f t="array" ref="E1551">_xlfn.XLOOKUP(D1551,Insumos!B:B,Insumos!C:$C)</f>
        <v/>
      </c>
      <c r="F1551" s="14" t="n">
        <v>5.92</v>
      </c>
      <c r="G1551" s="92">
        <f t="array" ref="G1551">IF(B1551="insumo",_xlfn.XLOOKUP($D1551,Insumos!$B$1:$B$996,Insumos!$D$1:$D$996),"")</f>
        <v/>
      </c>
      <c r="H1551" s="92" t="n">
        <v>2.98368</v>
      </c>
      <c r="I1551" s="2162" t="n">
        <v>0</v>
      </c>
      <c r="J1551" s="2162" t="n">
        <v>0</v>
      </c>
      <c r="K1551" s="2162" t="n"/>
    </row>
    <row r="1552" outlineLevel="3" ht="15.75" customHeight="1">
      <c r="A1552" s="10" t="n">
        <v>26</v>
      </c>
      <c r="B1552" s="10" t="inlineStr">
        <is>
          <t>Insumo</t>
        </is>
      </c>
      <c r="C1552" s="10" t="inlineStr">
        <is>
          <t>30_DRY 48 mm - 1 PLACA - 6,05cm  -  Lado A: PLACA PERFORMANCE RU - Lado B: N/A</t>
        </is>
      </c>
      <c r="D1552" s="10" t="inlineStr">
        <is>
          <t>PERFIL GUIA, FORMATO U, EM ACO ZINCADO, PARA ESTRUTURA PAREDE DRYWALL, E = 0,5 MM, 48 X 3000 MM (L X C)</t>
        </is>
      </c>
      <c r="E1552" s="11">
        <f t="array" ref="E1552">_xlfn.XLOOKUP(D1552,Insumos!B:B,Insumos!C:$C)</f>
        <v/>
      </c>
      <c r="F1552" s="14" t="n">
        <v>1.8234</v>
      </c>
      <c r="G1552" s="92">
        <f t="array" ref="G1552">IF(B1552="insumo",_xlfn.XLOOKUP($D1552,Insumos!$B$1:$B$996,Insumos!$D$1:$D$996),"")</f>
        <v/>
      </c>
      <c r="H1552" s="92" t="n">
        <v>12.818502</v>
      </c>
      <c r="I1552" s="2162" t="n">
        <v>0</v>
      </c>
      <c r="J1552" s="2162" t="n">
        <v>0</v>
      </c>
      <c r="K1552" s="2162" t="n"/>
    </row>
    <row r="1553" outlineLevel="3" ht="15.75" customHeight="1">
      <c r="A1553" s="10" t="n">
        <v>26</v>
      </c>
      <c r="B1553" s="10" t="inlineStr">
        <is>
          <t>Insumo</t>
        </is>
      </c>
      <c r="C1553" s="10" t="inlineStr">
        <is>
          <t>30_DRY 48 mm - 1 PLACA - 6,05cm  -  Lado A: PLACA PERFORMANCE RU - Lado B: N/A</t>
        </is>
      </c>
      <c r="D1553" s="10" t="inlineStr">
        <is>
          <t>PERFIL MONTANTE, FORMATO C, EM ACO ZINCADO, PARA ESTRUTURA PAREDE DRYWALL, E = 0,5 MM, 48 X 3000 MM (L X C)</t>
        </is>
      </c>
      <c r="E1553" s="11">
        <f t="array" ref="E1553">_xlfn.XLOOKUP(D1553,Insumos!B:B,Insumos!C:$C)</f>
        <v/>
      </c>
      <c r="F1553" s="14" t="n">
        <v>5.8278</v>
      </c>
      <c r="G1553" s="92">
        <f t="array" ref="G1553">IF(B1553="insumo",_xlfn.XLOOKUP($D1553,Insumos!$B$1:$B$996,Insumos!$D$1:$D$996),"")</f>
        <v/>
      </c>
      <c r="H1553" s="92" t="n">
        <v>46.505844</v>
      </c>
      <c r="I1553" s="2162" t="n">
        <v>0</v>
      </c>
      <c r="J1553" s="2162" t="n">
        <v>0</v>
      </c>
      <c r="K1553" s="2162" t="n"/>
    </row>
    <row r="1554" outlineLevel="3" ht="15.75" customHeight="1">
      <c r="A1554" s="10" t="n">
        <v>95</v>
      </c>
      <c r="B1554" s="10" t="inlineStr">
        <is>
          <t>Insumo</t>
        </is>
      </c>
      <c r="C1554" s="10" t="inlineStr">
        <is>
          <t>30_DRY 48 mm - 1 PLACA - 6,05cm  -  Lado A: PLACA PERFORMANCE RU - Lado B: N/A</t>
        </is>
      </c>
      <c r="D1554" s="10" t="inlineStr">
        <is>
          <t>MASSA DE REJUNTE EM PO PARA DRYWALL, A BASE DE GESSO, SECAGEM RAPIDA, PARA TRATAMENTO DE JUNTAS DE CHAPA DE GESSO (NECESSITA ADICAO DE AGUA)</t>
        </is>
      </c>
      <c r="E1554" s="11">
        <f t="array" ref="E1554">_xlfn.XLOOKUP(D1554,Insumos!B:B,Insumos!C:$C)</f>
        <v/>
      </c>
      <c r="F1554" s="14">
        <f>1.0978/2</f>
        <v/>
      </c>
      <c r="G1554" s="92">
        <f t="array" ref="G1554">IF(B1554="insumo",_xlfn.XLOOKUP($D1554,Insumos!$B$1:$B$996,Insumos!$D$1:$D$996),"")</f>
        <v/>
      </c>
      <c r="H1554" s="92" t="n">
        <v>1.882727</v>
      </c>
      <c r="I1554" s="2162" t="n">
        <v>0</v>
      </c>
      <c r="J1554" s="2162" t="n">
        <v>0</v>
      </c>
      <c r="K1554" s="2162" t="n"/>
    </row>
    <row r="1555" outlineLevel="3" ht="15.75" customHeight="1">
      <c r="A1555" s="10" t="n">
        <v>94</v>
      </c>
      <c r="B1555" s="10" t="inlineStr">
        <is>
          <t>Insumo</t>
        </is>
      </c>
      <c r="C1555" s="10" t="inlineStr">
        <is>
          <t>30_DRY 48 mm - 1 PLACA - 6,05cm  -  Lado A: PLACA PERFORMANCE RU - Lado B: N/A</t>
        </is>
      </c>
      <c r="D1555" s="10" t="inlineStr">
        <is>
          <t>FITA DE PAPEL MICROPERFURADO, 50 X 150 MM, PARA TRATAMENTO DE JUNTAS DE CHAPA DE GESSO PARA DRYWALL</t>
        </is>
      </c>
      <c r="E1555" s="11">
        <f t="array" ref="E1555">_xlfn.XLOOKUP(D1555,Insumos!B:B,Insumos!C:$C)</f>
        <v/>
      </c>
      <c r="F1555" s="14">
        <f>2.5027/2</f>
        <v/>
      </c>
      <c r="G1555" s="92">
        <f t="array" ref="G1555">IF(B1555="insumo",_xlfn.XLOOKUP($D1555,Insumos!$B$1:$B$996,Insumos!$D$1:$D$996),"")</f>
        <v/>
      </c>
      <c r="H1555" s="92" t="n">
        <v>0.3879185</v>
      </c>
      <c r="I1555" s="2162" t="n">
        <v>0</v>
      </c>
      <c r="J1555" s="2162" t="n">
        <v>0</v>
      </c>
      <c r="K1555" s="2162" t="n"/>
    </row>
    <row r="1556" outlineLevel="3" ht="15.75" customHeight="1">
      <c r="A1556" s="10" t="n">
        <v>94</v>
      </c>
      <c r="B1556" s="10" t="inlineStr">
        <is>
          <t>Insumo</t>
        </is>
      </c>
      <c r="C1556" s="10" t="inlineStr">
        <is>
          <t>30_DRY 48 mm - 1 PLACA - 6,05cm  -  Lado A: PLACA PERFORMANCE RU - Lado B: N/A</t>
        </is>
      </c>
      <c r="D1556" s="10" t="inlineStr">
        <is>
          <t>FITA DE PAPEL REFORCADA COM LAMINA DE METAL PARA REFORCO DE CANTOS DE CHAPA DE GESSO PARA DRYWALL</t>
        </is>
      </c>
      <c r="E1556" s="11">
        <f t="array" ref="E1556">_xlfn.XLOOKUP(D1556,Insumos!B:B,Insumos!C:$C)</f>
        <v/>
      </c>
      <c r="F1556" s="14">
        <f>1.5851/2</f>
        <v/>
      </c>
      <c r="G1556" s="92">
        <f t="array" ref="G1556">IF(B1556="insumo",_xlfn.XLOOKUP($D1556,Insumos!$B$1:$B$996,Insumos!$D$1:$D$996),"")</f>
        <v/>
      </c>
      <c r="H1556" s="92" t="n">
        <v>2.171587</v>
      </c>
      <c r="I1556" s="2162" t="n">
        <v>0</v>
      </c>
      <c r="J1556" s="2162" t="n">
        <v>0</v>
      </c>
      <c r="K1556" s="2162" t="n"/>
    </row>
    <row r="1557" outlineLevel="3" ht="15.75" customHeight="1">
      <c r="A1557" s="10" t="n">
        <v>97</v>
      </c>
      <c r="B1557" s="10" t="inlineStr">
        <is>
          <t>Insumo</t>
        </is>
      </c>
      <c r="C1557" s="10" t="inlineStr">
        <is>
          <t>30_DRY 48 mm - 1 PLACA - 6,05cm  -  Lado A: PLACA PERFORMANCE RU - Lado B: N/A</t>
        </is>
      </c>
      <c r="D1557" s="10" t="inlineStr">
        <is>
          <t>PARAFUSO DRY WALL, EM ACO FOSFATIZADO, CABECA TROMBETA E PONTA AGULHA (TA), COMPRIMENTO 25 MM</t>
        </is>
      </c>
      <c r="E1557" s="11">
        <f t="array" ref="E1557">_xlfn.XLOOKUP(D1557,Insumos!B:B,Insumos!C:$C)</f>
        <v/>
      </c>
      <c r="F1557" s="14">
        <f>20.1868/2</f>
        <v/>
      </c>
      <c r="G1557" s="92">
        <f t="array" ref="G1557">IF(B1557="insumo",_xlfn.XLOOKUP($D1557,Insumos!$B$1:$B$996,Insumos!$D$1:$D$996),"")</f>
        <v/>
      </c>
      <c r="H1557" s="92" t="n">
        <v>0.908406</v>
      </c>
      <c r="I1557" s="2162" t="n">
        <v>0</v>
      </c>
      <c r="J1557" s="2162" t="n">
        <v>0</v>
      </c>
      <c r="K1557" s="2162" t="n"/>
    </row>
    <row r="1558" outlineLevel="3" ht="15.75" customHeight="1">
      <c r="A1558" s="10" t="n">
        <v>95</v>
      </c>
      <c r="B1558" s="10" t="inlineStr">
        <is>
          <t>Insumo</t>
        </is>
      </c>
      <c r="C1558" s="10" t="inlineStr">
        <is>
          <t>30_DRY 48 mm - 1 PLACA - 6,05cm  -  Lado A: PLACA PERFORMANCE RU - Lado B: N/A</t>
        </is>
      </c>
      <c r="D1558" s="10" t="inlineStr">
        <is>
          <t>PARAFUSO DRY WALL, EM ACO ZINCADO, CABECA LENTILHA E PONTA BROCA (LB), LARGURA 4,2 MM, COMPRIMENTO 13 MM</t>
        </is>
      </c>
      <c r="E1558" s="11">
        <f t="array" ref="E1558">_xlfn.XLOOKUP(D1558,Insumos!B:B,Insumos!C:$C)</f>
        <v/>
      </c>
      <c r="F1558" s="14" t="n">
        <v>0.5441</v>
      </c>
      <c r="G1558" s="92">
        <f t="array" ref="G1558">IF(B1558="insumo",_xlfn.XLOOKUP($D1558,Insumos!$B$1:$B$996,Insumos!$D$1:$D$996),"")</f>
        <v/>
      </c>
      <c r="H1558" s="92" t="n">
        <v>0.10882</v>
      </c>
      <c r="I1558" s="2162" t="n">
        <v>0</v>
      </c>
      <c r="J1558" s="2162" t="n">
        <v>0</v>
      </c>
      <c r="K1558" s="2162" t="n"/>
    </row>
    <row r="1559" outlineLevel="2" ht="15.75" customHeight="1">
      <c r="A1559" s="1067" t="n">
        <v>1</v>
      </c>
      <c r="B1559" s="1067" t="inlineStr">
        <is>
          <t>Serviço</t>
        </is>
      </c>
      <c r="C1559" s="1067" t="inlineStr">
        <is>
          <t>30_DRY 48 mm - 1 PLACA - 6,05cm  -  Lado A: PLACA RU - Lado B: N/A</t>
        </is>
      </c>
      <c r="D1559" s="1067" t="inlineStr">
        <is>
          <t>30_DRY 48 mm - 1 PLACA - 6,05cm  -  Lado A: PLACA RU - Lado B: N/A</t>
        </is>
      </c>
      <c r="E1559" s="1068" t="inlineStr">
        <is>
          <t>M2</t>
        </is>
      </c>
      <c r="F1559" s="1067" t="n"/>
      <c r="G1559" s="1069">
        <f t="array" ref="G1559">IF(B1559="insumo",_xlfn.XLOOKUP($D1559,Insumos!$B$1:$B$996,Insumos!$D$1:$D$996),"")</f>
        <v/>
      </c>
      <c r="H1559" s="1069" t="n">
        <v>167.7400845</v>
      </c>
      <c r="I1559" s="2161" t="n">
        <v>0</v>
      </c>
      <c r="J1559" s="2161" t="n">
        <v>0</v>
      </c>
      <c r="K1559" s="2161" t="n"/>
    </row>
    <row r="1560" outlineLevel="3" ht="15.75" customHeight="1">
      <c r="A1560" s="10" t="n">
        <v>86</v>
      </c>
      <c r="B1560" s="10" t="inlineStr">
        <is>
          <t>Insumo</t>
        </is>
      </c>
      <c r="C1560" s="10" t="inlineStr">
        <is>
          <t>30_DRY 48 mm - 1 PLACA - 6,05cm  -  Lado A: PLACA RU - Lado B: N/A</t>
        </is>
      </c>
      <c r="D1560" s="10" t="inlineStr">
        <is>
          <t>SERVICO - CONFECCAO SHAFT GESSO</t>
        </is>
      </c>
      <c r="E1560" s="11">
        <f t="array" ref="E1560">_xlfn.XLOOKUP(D1560,Insumos!B:B,Insumos!C:$C)</f>
        <v/>
      </c>
      <c r="F1560" s="14" t="n">
        <v>1</v>
      </c>
      <c r="G1560" s="92">
        <f t="array" ref="G1560">IF(B1560="insumo",_xlfn.XLOOKUP($D1560,Insumos!$B$1:$B$996,Insumos!$D$1:$D$996),"")</f>
        <v/>
      </c>
      <c r="H1560" s="92" t="n">
        <v>70</v>
      </c>
      <c r="I1560" s="2162" t="n">
        <v>0</v>
      </c>
      <c r="J1560" s="2162" t="n">
        <v>0</v>
      </c>
      <c r="K1560" s="2162" t="n"/>
    </row>
    <row r="1561" outlineLevel="3" ht="15.75" customHeight="1">
      <c r="A1561" s="10" t="n">
        <v>49</v>
      </c>
      <c r="B1561" s="10" t="inlineStr">
        <is>
          <t>Insumo</t>
        </is>
      </c>
      <c r="C1561" s="10" t="inlineStr">
        <is>
          <t>30_DRY 48 mm - 1 PLACA - 6,05cm  -  Lado A: PLACA RU - Lado B: N/A</t>
        </is>
      </c>
      <c r="D1561" s="10" t="inlineStr">
        <is>
          <t>PLACA / CHAPA DE GESSO ACARTONADO, RESISTENTE A UMIDADE (RU), COR VERDE, E = 12,5 MM, 1200 X 2400 MM (L X C)</t>
        </is>
      </c>
      <c r="E1561" s="11">
        <f t="array" ref="E1561">_xlfn.XLOOKUP(D1561,Insumos!B:B,Insumos!C:$C)</f>
        <v/>
      </c>
      <c r="F1561" s="14" t="n">
        <v>1.106</v>
      </c>
      <c r="G1561" s="92">
        <f t="array" ref="G1561">IF(B1561="insumo",_xlfn.XLOOKUP($D1561,Insumos!$B$1:$B$996,Insumos!$D$1:$D$996),"")</f>
        <v/>
      </c>
      <c r="H1561" s="92" t="n">
        <v>29.9726</v>
      </c>
      <c r="I1561" s="2162" t="n">
        <v>0</v>
      </c>
      <c r="J1561" s="2162" t="n">
        <v>0</v>
      </c>
      <c r="K1561" s="2162" t="n"/>
    </row>
    <row r="1562" outlineLevel="3" ht="15.75" customHeight="1">
      <c r="A1562" s="10" t="n">
        <v>95</v>
      </c>
      <c r="B1562" s="10" t="inlineStr">
        <is>
          <t>Insumo</t>
        </is>
      </c>
      <c r="C1562" s="10" t="inlineStr">
        <is>
          <t>30_DRY 48 mm - 1 PLACA - 6,05cm  -  Lado A: PLACA RU - Lado B: N/A</t>
        </is>
      </c>
      <c r="D1562" s="10" t="inlineStr">
        <is>
          <t>PINO DE ACO COM ARRUELA CONICA, DIAMETRO ARRUELA = *23* MM E COMP HASTE = *27* MM (ACAO INDIRETA)</t>
        </is>
      </c>
      <c r="E1562" s="11">
        <f t="array" ref="E1562">_xlfn.XLOOKUP(D1562,Insumos!B:B,Insumos!C:$C)</f>
        <v/>
      </c>
      <c r="F1562" s="14" t="n">
        <v>5.92</v>
      </c>
      <c r="G1562" s="92">
        <f t="array" ref="G1562">IF(B1562="insumo",_xlfn.XLOOKUP($D1562,Insumos!$B$1:$B$996,Insumos!$D$1:$D$996),"")</f>
        <v/>
      </c>
      <c r="H1562" s="92" t="n">
        <v>2.98368</v>
      </c>
      <c r="I1562" s="2162" t="n">
        <v>0</v>
      </c>
      <c r="J1562" s="2162" t="n">
        <v>0</v>
      </c>
      <c r="K1562" s="2162" t="n"/>
    </row>
    <row r="1563" outlineLevel="3" ht="15.75" customHeight="1">
      <c r="A1563" s="10" t="n">
        <v>26</v>
      </c>
      <c r="B1563" s="10" t="inlineStr">
        <is>
          <t>Insumo</t>
        </is>
      </c>
      <c r="C1563" s="10" t="inlineStr">
        <is>
          <t>30_DRY 48 mm - 1 PLACA - 6,05cm  -  Lado A: PLACA RU - Lado B: N/A</t>
        </is>
      </c>
      <c r="D1563" s="10" t="inlineStr">
        <is>
          <t>PERFIL GUIA, FORMATO U, EM ACO ZINCADO, PARA ESTRUTURA PAREDE DRYWALL, E = 0,5 MM, 48 X 3000 MM (L X C)</t>
        </is>
      </c>
      <c r="E1563" s="11">
        <f t="array" ref="E1563">_xlfn.XLOOKUP(D1563,Insumos!B:B,Insumos!C:$C)</f>
        <v/>
      </c>
      <c r="F1563" s="14" t="n">
        <v>1.8234</v>
      </c>
      <c r="G1563" s="92">
        <f t="array" ref="G1563">IF(B1563="insumo",_xlfn.XLOOKUP($D1563,Insumos!$B$1:$B$996,Insumos!$D$1:$D$996),"")</f>
        <v/>
      </c>
      <c r="H1563" s="92" t="n">
        <v>12.818502</v>
      </c>
      <c r="I1563" s="2162" t="n">
        <v>0</v>
      </c>
      <c r="J1563" s="2162" t="n">
        <v>0</v>
      </c>
      <c r="K1563" s="2162" t="n"/>
    </row>
    <row r="1564" outlineLevel="3" ht="15.75" customHeight="1">
      <c r="A1564" s="10" t="n">
        <v>26</v>
      </c>
      <c r="B1564" s="10" t="inlineStr">
        <is>
          <t>Insumo</t>
        </is>
      </c>
      <c r="C1564" s="10" t="inlineStr">
        <is>
          <t>30_DRY 48 mm - 1 PLACA - 6,05cm  -  Lado A: PLACA RU - Lado B: N/A</t>
        </is>
      </c>
      <c r="D1564" s="10" t="inlineStr">
        <is>
          <t>PERFIL MONTANTE, FORMATO C, EM ACO ZINCADO, PARA ESTRUTURA PAREDE DRYWALL, E = 0,5 MM, 48 X 3000 MM (L X C)</t>
        </is>
      </c>
      <c r="E1564" s="11">
        <f t="array" ref="E1564">_xlfn.XLOOKUP(D1564,Insumos!B:B,Insumos!C:$C)</f>
        <v/>
      </c>
      <c r="F1564" s="14" t="n">
        <v>5.8278</v>
      </c>
      <c r="G1564" s="92">
        <f t="array" ref="G1564">IF(B1564="insumo",_xlfn.XLOOKUP($D1564,Insumos!$B$1:$B$996,Insumos!$D$1:$D$996),"")</f>
        <v/>
      </c>
      <c r="H1564" s="92" t="n">
        <v>46.505844</v>
      </c>
      <c r="I1564" s="2162" t="n">
        <v>0</v>
      </c>
      <c r="J1564" s="2162" t="n">
        <v>0</v>
      </c>
      <c r="K1564" s="2162" t="n"/>
    </row>
    <row r="1565" outlineLevel="3" ht="15.75" customHeight="1">
      <c r="A1565" s="10" t="n">
        <v>95</v>
      </c>
      <c r="B1565" s="10" t="inlineStr">
        <is>
          <t>Insumo</t>
        </is>
      </c>
      <c r="C1565" s="10" t="inlineStr">
        <is>
          <t>30_DRY 48 mm - 1 PLACA - 6,05cm  -  Lado A: PLACA RU - Lado B: N/A</t>
        </is>
      </c>
      <c r="D1565" s="10" t="inlineStr">
        <is>
          <t>MASSA DE REJUNTE EM PO PARA DRYWALL, A BASE DE GESSO, SECAGEM RAPIDA, PARA TRATAMENTO DE JUNTAS DE CHAPA DE GESSO (NECESSITA ADICAO DE AGUA)</t>
        </is>
      </c>
      <c r="E1565" s="11">
        <f t="array" ref="E1565">_xlfn.XLOOKUP(D1565,Insumos!B:B,Insumos!C:$C)</f>
        <v/>
      </c>
      <c r="F1565" s="14">
        <f>1.0978/2</f>
        <v/>
      </c>
      <c r="G1565" s="92">
        <f t="array" ref="G1565">IF(B1565="insumo",_xlfn.XLOOKUP($D1565,Insumos!$B$1:$B$996,Insumos!$D$1:$D$996),"")</f>
        <v/>
      </c>
      <c r="H1565" s="92" t="n">
        <v>1.882727</v>
      </c>
      <c r="I1565" s="2162" t="n">
        <v>0</v>
      </c>
      <c r="J1565" s="2162" t="n">
        <v>0</v>
      </c>
      <c r="K1565" s="2162" t="n"/>
    </row>
    <row r="1566" outlineLevel="3" ht="15.75" customHeight="1">
      <c r="A1566" s="10" t="n">
        <v>94</v>
      </c>
      <c r="B1566" s="10" t="inlineStr">
        <is>
          <t>Insumo</t>
        </is>
      </c>
      <c r="C1566" s="10" t="inlineStr">
        <is>
          <t>30_DRY 48 mm - 1 PLACA - 6,05cm  -  Lado A: PLACA RU - Lado B: N/A</t>
        </is>
      </c>
      <c r="D1566" s="10" t="inlineStr">
        <is>
          <t>FITA DE PAPEL MICROPERFURADO, 50 X 150 MM, PARA TRATAMENTO DE JUNTAS DE CHAPA DE GESSO PARA DRYWALL</t>
        </is>
      </c>
      <c r="E1566" s="11">
        <f t="array" ref="E1566">_xlfn.XLOOKUP(D1566,Insumos!B:B,Insumos!C:$C)</f>
        <v/>
      </c>
      <c r="F1566" s="14">
        <f>2.5027/2</f>
        <v/>
      </c>
      <c r="G1566" s="92">
        <f t="array" ref="G1566">IF(B1566="insumo",_xlfn.XLOOKUP($D1566,Insumos!$B$1:$B$996,Insumos!$D$1:$D$996),"")</f>
        <v/>
      </c>
      <c r="H1566" s="92" t="n">
        <v>0.3879185</v>
      </c>
      <c r="I1566" s="2162" t="n">
        <v>0</v>
      </c>
      <c r="J1566" s="2162" t="n">
        <v>0</v>
      </c>
      <c r="K1566" s="2162" t="n"/>
    </row>
    <row r="1567" outlineLevel="3" ht="15.75" customHeight="1">
      <c r="A1567" s="10" t="n">
        <v>94</v>
      </c>
      <c r="B1567" s="10" t="inlineStr">
        <is>
          <t>Insumo</t>
        </is>
      </c>
      <c r="C1567" s="10" t="inlineStr">
        <is>
          <t>30_DRY 48 mm - 1 PLACA - 6,05cm  -  Lado A: PLACA RU - Lado B: N/A</t>
        </is>
      </c>
      <c r="D1567" s="10" t="inlineStr">
        <is>
          <t>FITA DE PAPEL REFORCADA COM LAMINA DE METAL PARA REFORCO DE CANTOS DE CHAPA DE GESSO PARA DRYWALL</t>
        </is>
      </c>
      <c r="E1567" s="11">
        <f t="array" ref="E1567">_xlfn.XLOOKUP(D1567,Insumos!B:B,Insumos!C:$C)</f>
        <v/>
      </c>
      <c r="F1567" s="14">
        <f>1.5851/2</f>
        <v/>
      </c>
      <c r="G1567" s="92">
        <f t="array" ref="G1567">IF(B1567="insumo",_xlfn.XLOOKUP($D1567,Insumos!$B$1:$B$996,Insumos!$D$1:$D$996),"")</f>
        <v/>
      </c>
      <c r="H1567" s="92" t="n">
        <v>2.171587</v>
      </c>
      <c r="I1567" s="2162" t="n">
        <v>0</v>
      </c>
      <c r="J1567" s="2162" t="n">
        <v>0</v>
      </c>
      <c r="K1567" s="2162" t="n"/>
    </row>
    <row r="1568" outlineLevel="3" ht="15.75" customHeight="1">
      <c r="A1568" s="10" t="n">
        <v>97</v>
      </c>
      <c r="B1568" s="10" t="inlineStr">
        <is>
          <t>Insumo</t>
        </is>
      </c>
      <c r="C1568" s="10" t="inlineStr">
        <is>
          <t>30_DRY 48 mm - 1 PLACA - 6,05cm  -  Lado A: PLACA RU - Lado B: N/A</t>
        </is>
      </c>
      <c r="D1568" s="10" t="inlineStr">
        <is>
          <t>PARAFUSO DRY WALL, EM ACO FOSFATIZADO, CABECA TROMBETA E PONTA AGULHA (TA), COMPRIMENTO 25 MM</t>
        </is>
      </c>
      <c r="E1568" s="11">
        <f t="array" ref="E1568">_xlfn.XLOOKUP(D1568,Insumos!B:B,Insumos!C:$C)</f>
        <v/>
      </c>
      <c r="F1568" s="14">
        <f>20.1868/2</f>
        <v/>
      </c>
      <c r="G1568" s="92">
        <f t="array" ref="G1568">IF(B1568="insumo",_xlfn.XLOOKUP($D1568,Insumos!$B$1:$B$996,Insumos!$D$1:$D$996),"")</f>
        <v/>
      </c>
      <c r="H1568" s="92" t="n">
        <v>0.908406</v>
      </c>
      <c r="I1568" s="2162" t="n">
        <v>0</v>
      </c>
      <c r="J1568" s="2162" t="n">
        <v>0</v>
      </c>
      <c r="K1568" s="2162" t="n"/>
    </row>
    <row r="1569" outlineLevel="3" ht="15.75" customHeight="1">
      <c r="A1569" s="10" t="n">
        <v>95</v>
      </c>
      <c r="B1569" s="10" t="inlineStr">
        <is>
          <t>Insumo</t>
        </is>
      </c>
      <c r="C1569" s="10" t="inlineStr">
        <is>
          <t>30_DRY 48 mm - 1 PLACA - 6,05cm  -  Lado A: PLACA RU - Lado B: N/A</t>
        </is>
      </c>
      <c r="D1569" s="10" t="inlineStr">
        <is>
          <t>PARAFUSO DRY WALL, EM ACO ZINCADO, CABECA LENTILHA E PONTA BROCA (LB), LARGURA 4,2 MM, COMPRIMENTO 13 MM</t>
        </is>
      </c>
      <c r="E1569" s="11">
        <f t="array" ref="E1569">_xlfn.XLOOKUP(D1569,Insumos!B:B,Insumos!C:$C)</f>
        <v/>
      </c>
      <c r="F1569" s="14" t="n">
        <v>0.5441</v>
      </c>
      <c r="G1569" s="92">
        <f t="array" ref="G1569">IF(B1569="insumo",_xlfn.XLOOKUP($D1569,Insumos!$B$1:$B$996,Insumos!$D$1:$D$996),"")</f>
        <v/>
      </c>
      <c r="H1569" s="92" t="n">
        <v>0.10882</v>
      </c>
      <c r="I1569" s="2162" t="n">
        <v>0</v>
      </c>
      <c r="J1569" s="2162" t="n">
        <v>0</v>
      </c>
      <c r="K1569" s="2162" t="n"/>
    </row>
    <row r="1570" outlineLevel="2" ht="15.75" customHeight="1">
      <c r="A1570" s="1067" t="n">
        <v>1</v>
      </c>
      <c r="B1570" s="1067" t="inlineStr">
        <is>
          <t>Serviço</t>
        </is>
      </c>
      <c r="C1570" s="1067" t="inlineStr">
        <is>
          <t>30_DRY 48 mm - 1 PLACA - 6,05cm  -  Lado A: PLACA ST - Lado B: N/A</t>
        </is>
      </c>
      <c r="D1570" s="1067" t="inlineStr">
        <is>
          <t>30_DRY 48 mm - 1 PLACA - 6,05cm  -  Lado A: PLACA ST - Lado B: N/A</t>
        </is>
      </c>
      <c r="E1570" s="1068" t="inlineStr">
        <is>
          <t>M2</t>
        </is>
      </c>
      <c r="F1570" s="1067" t="n"/>
      <c r="G1570" s="1069">
        <f t="array" ref="G1570">IF(B1570="insumo",_xlfn.XLOOKUP($D1570,Insumos!$B$1:$B$996,Insumos!$D$1:$D$996),"")</f>
        <v/>
      </c>
      <c r="H1570" s="1069" t="n">
        <v>160.0644445</v>
      </c>
      <c r="I1570" s="2161" t="n">
        <v>0</v>
      </c>
      <c r="J1570" s="2161" t="n">
        <v>0</v>
      </c>
      <c r="K1570" s="2161" t="n"/>
    </row>
    <row r="1571" outlineLevel="3" ht="15.75" customHeight="1">
      <c r="A1571" s="10" t="n">
        <v>86</v>
      </c>
      <c r="B1571" s="10" t="inlineStr">
        <is>
          <t>Insumo</t>
        </is>
      </c>
      <c r="C1571" s="10" t="inlineStr">
        <is>
          <t>30_DRY 48 mm - 1 PLACA - 6,05cm  -  Lado A: PLACA ST - Lado B: N/A</t>
        </is>
      </c>
      <c r="D1571" s="10" t="inlineStr">
        <is>
          <t>SERVICO - CONFECCAO SHAFT GESSO</t>
        </is>
      </c>
      <c r="E1571" s="11">
        <f t="array" ref="E1571">_xlfn.XLOOKUP(D1571,Insumos!B:B,Insumos!C:$C)</f>
        <v/>
      </c>
      <c r="F1571" s="14" t="n">
        <v>1</v>
      </c>
      <c r="G1571" s="92">
        <f t="array" ref="G1571">IF(B1571="insumo",_xlfn.XLOOKUP($D1571,Insumos!$B$1:$B$996,Insumos!$D$1:$D$996),"")</f>
        <v/>
      </c>
      <c r="H1571" s="92" t="n">
        <v>70</v>
      </c>
      <c r="I1571" s="2162" t="n">
        <v>0</v>
      </c>
      <c r="J1571" s="2162" t="n">
        <v>0</v>
      </c>
      <c r="K1571" s="2162" t="n"/>
    </row>
    <row r="1572" outlineLevel="3" ht="15.75" customHeight="1">
      <c r="A1572" s="10" t="n">
        <v>47</v>
      </c>
      <c r="B1572" s="10" t="inlineStr">
        <is>
          <t>Insumo</t>
        </is>
      </c>
      <c r="C1572" s="10" t="inlineStr">
        <is>
          <t>30_DRY 48 mm - 1 PLACA - 6,05cm  -  Lado A: PLACA ST - Lado B: N/A</t>
        </is>
      </c>
      <c r="D1572" s="10" t="inlineStr">
        <is>
          <t>PLACA / CHAPA DE GESSO ACARTONADO, STANDARD (ST), COR BRANCA, E = 12,5 MM, 1200 X 2400 MM (L X C)</t>
        </is>
      </c>
      <c r="E1572" s="11">
        <f t="array" ref="E1572">_xlfn.XLOOKUP(D1572,Insumos!B:B,Insumos!C:$C)</f>
        <v/>
      </c>
      <c r="F1572" s="14" t="n">
        <v>1.106</v>
      </c>
      <c r="G1572" s="92">
        <f t="array" ref="G1572">IF(B1572="insumo",_xlfn.XLOOKUP($D1572,Insumos!$B$1:$B$996,Insumos!$D$1:$D$996),"")</f>
        <v/>
      </c>
      <c r="H1572" s="92" t="n">
        <v>22.29696</v>
      </c>
      <c r="I1572" s="2162" t="n">
        <v>0</v>
      </c>
      <c r="J1572" s="2162" t="n">
        <v>0</v>
      </c>
      <c r="K1572" s="2162" t="n"/>
    </row>
    <row r="1573" outlineLevel="3" ht="15.75" customHeight="1">
      <c r="A1573" s="10" t="n">
        <v>95</v>
      </c>
      <c r="B1573" s="10" t="inlineStr">
        <is>
          <t>Insumo</t>
        </is>
      </c>
      <c r="C1573" s="10" t="inlineStr">
        <is>
          <t>30_DRY 48 mm - 1 PLACA - 6,05cm  -  Lado A: PLACA ST - Lado B: N/A</t>
        </is>
      </c>
      <c r="D1573" s="10" t="inlineStr">
        <is>
          <t>PINO DE ACO COM ARRUELA CONICA, DIAMETRO ARRUELA = *23* MM E COMP HASTE = *27* MM (ACAO INDIRETA)</t>
        </is>
      </c>
      <c r="E1573" s="11">
        <f t="array" ref="E1573">_xlfn.XLOOKUP(D1573,Insumos!B:B,Insumos!C:$C)</f>
        <v/>
      </c>
      <c r="F1573" s="14" t="n">
        <v>5.92</v>
      </c>
      <c r="G1573" s="92">
        <f t="array" ref="G1573">IF(B1573="insumo",_xlfn.XLOOKUP($D1573,Insumos!$B$1:$B$996,Insumos!$D$1:$D$996),"")</f>
        <v/>
      </c>
      <c r="H1573" s="92" t="n">
        <v>2.98368</v>
      </c>
      <c r="I1573" s="2162" t="n">
        <v>0</v>
      </c>
      <c r="J1573" s="2162" t="n">
        <v>0</v>
      </c>
      <c r="K1573" s="2162" t="n"/>
    </row>
    <row r="1574" outlineLevel="3" ht="15.75" customHeight="1">
      <c r="A1574" s="10" t="n">
        <v>26</v>
      </c>
      <c r="B1574" s="10" t="inlineStr">
        <is>
          <t>Insumo</t>
        </is>
      </c>
      <c r="C1574" s="10" t="inlineStr">
        <is>
          <t>30_DRY 48 mm - 1 PLACA - 6,05cm  -  Lado A: PLACA ST - Lado B: N/A</t>
        </is>
      </c>
      <c r="D1574" s="10" t="inlineStr">
        <is>
          <t>PERFIL GUIA, FORMATO U, EM ACO ZINCADO, PARA ESTRUTURA PAREDE DRYWALL, E = 0,5 MM, 48 X 3000 MM (L X C)</t>
        </is>
      </c>
      <c r="E1574" s="11">
        <f t="array" ref="E1574">_xlfn.XLOOKUP(D1574,Insumos!B:B,Insumos!C:$C)</f>
        <v/>
      </c>
      <c r="F1574" s="14" t="n">
        <v>1.8234</v>
      </c>
      <c r="G1574" s="92">
        <f t="array" ref="G1574">IF(B1574="insumo",_xlfn.XLOOKUP($D1574,Insumos!$B$1:$B$996,Insumos!$D$1:$D$996),"")</f>
        <v/>
      </c>
      <c r="H1574" s="92" t="n">
        <v>12.818502</v>
      </c>
      <c r="I1574" s="2162" t="n">
        <v>0</v>
      </c>
      <c r="J1574" s="2162" t="n">
        <v>0</v>
      </c>
      <c r="K1574" s="2162" t="n"/>
    </row>
    <row r="1575" outlineLevel="3" ht="15.75" customHeight="1">
      <c r="A1575" s="10" t="n">
        <v>26</v>
      </c>
      <c r="B1575" s="10" t="inlineStr">
        <is>
          <t>Insumo</t>
        </is>
      </c>
      <c r="C1575" s="10" t="inlineStr">
        <is>
          <t>30_DRY 48 mm - 1 PLACA - 6,05cm  -  Lado A: PLACA ST - Lado B: N/A</t>
        </is>
      </c>
      <c r="D1575" s="10" t="inlineStr">
        <is>
          <t>PERFIL MONTANTE, FORMATO C, EM ACO ZINCADO, PARA ESTRUTURA PAREDE DRYWALL, E = 0,5 MM, 48 X 3000 MM (L X C)</t>
        </is>
      </c>
      <c r="E1575" s="11">
        <f t="array" ref="E1575">_xlfn.XLOOKUP(D1575,Insumos!B:B,Insumos!C:$C)</f>
        <v/>
      </c>
      <c r="F1575" s="14" t="n">
        <v>5.8278</v>
      </c>
      <c r="G1575" s="92">
        <f t="array" ref="G1575">IF(B1575="insumo",_xlfn.XLOOKUP($D1575,Insumos!$B$1:$B$996,Insumos!$D$1:$D$996),"")</f>
        <v/>
      </c>
      <c r="H1575" s="92" t="n">
        <v>46.505844</v>
      </c>
      <c r="I1575" s="2162" t="n">
        <v>0</v>
      </c>
      <c r="J1575" s="2162" t="n">
        <v>0</v>
      </c>
      <c r="K1575" s="2162" t="n"/>
    </row>
    <row r="1576" outlineLevel="3" ht="15.75" customHeight="1">
      <c r="A1576" s="10" t="n">
        <v>95</v>
      </c>
      <c r="B1576" s="10" t="inlineStr">
        <is>
          <t>Insumo</t>
        </is>
      </c>
      <c r="C1576" s="10" t="inlineStr">
        <is>
          <t>30_DRY 48 mm - 1 PLACA - 6,05cm  -  Lado A: PLACA ST - Lado B: N/A</t>
        </is>
      </c>
      <c r="D1576" s="10" t="inlineStr">
        <is>
          <t>MASSA DE REJUNTE EM PO PARA DRYWALL, A BASE DE GESSO, SECAGEM RAPIDA, PARA TRATAMENTO DE JUNTAS DE CHAPA DE GESSO (NECESSITA ADICAO DE AGUA)</t>
        </is>
      </c>
      <c r="E1576" s="11">
        <f t="array" ref="E1576">_xlfn.XLOOKUP(D1576,Insumos!B:B,Insumos!C:$C)</f>
        <v/>
      </c>
      <c r="F1576" s="14">
        <f>1.0978/2</f>
        <v/>
      </c>
      <c r="G1576" s="92">
        <f t="array" ref="G1576">IF(B1576="insumo",_xlfn.XLOOKUP($D1576,Insumos!$B$1:$B$996,Insumos!$D$1:$D$996),"")</f>
        <v/>
      </c>
      <c r="H1576" s="92" t="n">
        <v>1.882727</v>
      </c>
      <c r="I1576" s="2162" t="n">
        <v>0</v>
      </c>
      <c r="J1576" s="2162" t="n">
        <v>0</v>
      </c>
      <c r="K1576" s="2162" t="n"/>
    </row>
    <row r="1577" outlineLevel="3" ht="15.75" customHeight="1">
      <c r="A1577" s="10" t="n">
        <v>94</v>
      </c>
      <c r="B1577" s="10" t="inlineStr">
        <is>
          <t>Insumo</t>
        </is>
      </c>
      <c r="C1577" s="10" t="inlineStr">
        <is>
          <t>30_DRY 48 mm - 1 PLACA - 6,05cm  -  Lado A: PLACA ST - Lado B: N/A</t>
        </is>
      </c>
      <c r="D1577" s="10" t="inlineStr">
        <is>
          <t>FITA DE PAPEL MICROPERFURADO, 50 X 150 MM, PARA TRATAMENTO DE JUNTAS DE CHAPA DE GESSO PARA DRYWALL</t>
        </is>
      </c>
      <c r="E1577" s="11">
        <f t="array" ref="E1577">_xlfn.XLOOKUP(D1577,Insumos!B:B,Insumos!C:$C)</f>
        <v/>
      </c>
      <c r="F1577" s="14">
        <f>2.5027/2</f>
        <v/>
      </c>
      <c r="G1577" s="92">
        <f t="array" ref="G1577">IF(B1577="insumo",_xlfn.XLOOKUP($D1577,Insumos!$B$1:$B$996,Insumos!$D$1:$D$996),"")</f>
        <v/>
      </c>
      <c r="H1577" s="92" t="n">
        <v>0.3879185</v>
      </c>
      <c r="I1577" s="2162" t="n">
        <v>0</v>
      </c>
      <c r="J1577" s="2162" t="n">
        <v>0</v>
      </c>
      <c r="K1577" s="2162" t="n"/>
    </row>
    <row r="1578" outlineLevel="3" ht="15.75" customHeight="1">
      <c r="A1578" s="10" t="n">
        <v>94</v>
      </c>
      <c r="B1578" s="10" t="inlineStr">
        <is>
          <t>Insumo</t>
        </is>
      </c>
      <c r="C1578" s="10" t="inlineStr">
        <is>
          <t>30_DRY 48 mm - 1 PLACA - 6,05cm  -  Lado A: PLACA ST - Lado B: N/A</t>
        </is>
      </c>
      <c r="D1578" s="10" t="inlineStr">
        <is>
          <t>FITA DE PAPEL REFORCADA COM LAMINA DE METAL PARA REFORCO DE CANTOS DE CHAPA DE GESSO PARA DRYWALL</t>
        </is>
      </c>
      <c r="E1578" s="11">
        <f t="array" ref="E1578">_xlfn.XLOOKUP(D1578,Insumos!B:B,Insumos!C:$C)</f>
        <v/>
      </c>
      <c r="F1578" s="14">
        <f>1.5851/2</f>
        <v/>
      </c>
      <c r="G1578" s="92">
        <f t="array" ref="G1578">IF(B1578="insumo",_xlfn.XLOOKUP($D1578,Insumos!$B$1:$B$996,Insumos!$D$1:$D$996),"")</f>
        <v/>
      </c>
      <c r="H1578" s="92" t="n">
        <v>2.171587</v>
      </c>
      <c r="I1578" s="2162" t="n">
        <v>0</v>
      </c>
      <c r="J1578" s="2162" t="n">
        <v>0</v>
      </c>
      <c r="K1578" s="2162" t="n"/>
    </row>
    <row r="1579" outlineLevel="3" ht="15.75" customHeight="1">
      <c r="A1579" s="10" t="n">
        <v>97</v>
      </c>
      <c r="B1579" s="10" t="inlineStr">
        <is>
          <t>Insumo</t>
        </is>
      </c>
      <c r="C1579" s="10" t="inlineStr">
        <is>
          <t>30_DRY 48 mm - 1 PLACA - 6,05cm  -  Lado A: PLACA ST - Lado B: N/A</t>
        </is>
      </c>
      <c r="D1579" s="10" t="inlineStr">
        <is>
          <t>PARAFUSO DRY WALL, EM ACO FOSFATIZADO, CABECA TROMBETA E PONTA AGULHA (TA), COMPRIMENTO 25 MM</t>
        </is>
      </c>
      <c r="E1579" s="11">
        <f t="array" ref="E1579">_xlfn.XLOOKUP(D1579,Insumos!B:B,Insumos!C:$C)</f>
        <v/>
      </c>
      <c r="F1579" s="14">
        <f>20.1868/2</f>
        <v/>
      </c>
      <c r="G1579" s="92">
        <f t="array" ref="G1579">IF(B1579="insumo",_xlfn.XLOOKUP($D1579,Insumos!$B$1:$B$996,Insumos!$D$1:$D$996),"")</f>
        <v/>
      </c>
      <c r="H1579" s="92" t="n">
        <v>0.908406</v>
      </c>
      <c r="I1579" s="2162" t="n">
        <v>0</v>
      </c>
      <c r="J1579" s="2162" t="n">
        <v>0</v>
      </c>
      <c r="K1579" s="2162" t="n"/>
    </row>
    <row r="1580" outlineLevel="3" ht="15.75" customHeight="1">
      <c r="A1580" s="10" t="n">
        <v>95</v>
      </c>
      <c r="B1580" s="10" t="inlineStr">
        <is>
          <t>Insumo</t>
        </is>
      </c>
      <c r="C1580" s="10" t="inlineStr">
        <is>
          <t>30_DRY 48 mm - 1 PLACA - 6,05cm  -  Lado A: PLACA ST - Lado B: N/A</t>
        </is>
      </c>
      <c r="D1580" s="10" t="inlineStr">
        <is>
          <t>PARAFUSO DRY WALL, EM ACO ZINCADO, CABECA LENTILHA E PONTA BROCA (LB), LARGURA 4,2 MM, COMPRIMENTO 13 MM</t>
        </is>
      </c>
      <c r="E1580" s="11">
        <f t="array" ref="E1580">_xlfn.XLOOKUP(D1580,Insumos!B:B,Insumos!C:$C)</f>
        <v/>
      </c>
      <c r="F1580" s="14" t="n">
        <v>0.5441</v>
      </c>
      <c r="G1580" s="92">
        <f t="array" ref="G1580">IF(B1580="insumo",_xlfn.XLOOKUP($D1580,Insumos!$B$1:$B$996,Insumos!$D$1:$D$996),"")</f>
        <v/>
      </c>
      <c r="H1580" s="92" t="n">
        <v>0.10882</v>
      </c>
      <c r="I1580" s="2162" t="n">
        <v>0</v>
      </c>
      <c r="J1580" s="2162" t="n">
        <v>0</v>
      </c>
      <c r="K1580" s="2162" t="n"/>
    </row>
    <row r="1581" outlineLevel="2" ht="15.75" customHeight="1">
      <c r="A1581" s="1067" t="n">
        <v>1</v>
      </c>
      <c r="B1581" s="1067" t="inlineStr">
        <is>
          <t>Serviço</t>
        </is>
      </c>
      <c r="C1581" s="1067" t="inlineStr">
        <is>
          <t>30_DRY 48/ST - 6.05 cm  -</t>
        </is>
      </c>
      <c r="D1581" s="1067" t="inlineStr">
        <is>
          <t>30_DRY 48/ST - 6.05 cm  -</t>
        </is>
      </c>
      <c r="E1581" s="1068" t="inlineStr">
        <is>
          <t>M2</t>
        </is>
      </c>
      <c r="F1581" s="1067" t="n"/>
      <c r="G1581" s="1069">
        <f t="array" ref="G1581">IF(B1581="insumo",_xlfn.XLOOKUP($D1581,Insumos!$B$1:$B$996,Insumos!$D$1:$D$996),"")</f>
        <v/>
      </c>
      <c r="H1581" s="1069" t="n">
        <v>160.0644445</v>
      </c>
      <c r="I1581" s="2161" t="n">
        <v>0</v>
      </c>
      <c r="J1581" s="2161" t="n">
        <v>0</v>
      </c>
      <c r="K1581" s="2161" t="n"/>
    </row>
    <row r="1582" outlineLevel="3" ht="15.75" customHeight="1">
      <c r="A1582" s="10" t="n">
        <v>86</v>
      </c>
      <c r="B1582" s="10" t="inlineStr">
        <is>
          <t>Insumo</t>
        </is>
      </c>
      <c r="C1582" s="10" t="inlineStr">
        <is>
          <t>30_DRY 48/ST - 6.05 cm  -</t>
        </is>
      </c>
      <c r="D1582" s="10" t="inlineStr">
        <is>
          <t>SERVICO - CONFECCAO SHAFT GESSO</t>
        </is>
      </c>
      <c r="E1582" s="11">
        <f t="array" ref="E1582">_xlfn.XLOOKUP(D1582,Insumos!B:B,Insumos!C:$C)</f>
        <v/>
      </c>
      <c r="F1582" s="14" t="n">
        <v>1</v>
      </c>
      <c r="G1582" s="92">
        <f t="array" ref="G1582">IF(B1582="insumo",_xlfn.XLOOKUP($D1582,Insumos!$B$1:$B$996,Insumos!$D$1:$D$996),"")</f>
        <v/>
      </c>
      <c r="H1582" s="92" t="n">
        <v>70</v>
      </c>
      <c r="I1582" s="2162" t="n">
        <v>0</v>
      </c>
      <c r="J1582" s="2162" t="n">
        <v>0</v>
      </c>
      <c r="K1582" s="2162" t="n"/>
    </row>
    <row r="1583" outlineLevel="3" ht="15.75" customHeight="1">
      <c r="A1583" s="10" t="n">
        <v>47</v>
      </c>
      <c r="B1583" s="10" t="inlineStr">
        <is>
          <t>Insumo</t>
        </is>
      </c>
      <c r="C1583" s="10" t="inlineStr">
        <is>
          <t>30_DRY 48/ST - 6.05 cm  -</t>
        </is>
      </c>
      <c r="D1583" s="10" t="inlineStr">
        <is>
          <t>PLACA / CHAPA DE GESSO ACARTONADO, STANDARD (ST), COR BRANCA, E = 12,5 MM, 1200 X 2400 MM (L X C)</t>
        </is>
      </c>
      <c r="E1583" s="11">
        <f t="array" ref="E1583">_xlfn.XLOOKUP(D1583,Insumos!B:B,Insumos!C:$C)</f>
        <v/>
      </c>
      <c r="F1583" s="14" t="n">
        <v>1.106</v>
      </c>
      <c r="G1583" s="92">
        <f t="array" ref="G1583">IF(B1583="insumo",_xlfn.XLOOKUP($D1583,Insumos!$B$1:$B$996,Insumos!$D$1:$D$996),"")</f>
        <v/>
      </c>
      <c r="H1583" s="92" t="n">
        <v>22.29696</v>
      </c>
      <c r="I1583" s="2162" t="n">
        <v>0</v>
      </c>
      <c r="J1583" s="2162" t="n">
        <v>0</v>
      </c>
      <c r="K1583" s="2162" t="n"/>
    </row>
    <row r="1584" outlineLevel="3" ht="15.75" customHeight="1">
      <c r="A1584" s="10" t="n">
        <v>95</v>
      </c>
      <c r="B1584" s="10" t="inlineStr">
        <is>
          <t>Insumo</t>
        </is>
      </c>
      <c r="C1584" s="10" t="inlineStr">
        <is>
          <t>30_DRY 48/ST - 6.05 cm  -</t>
        </is>
      </c>
      <c r="D1584" s="10" t="inlineStr">
        <is>
          <t>PINO DE ACO COM ARRUELA CONICA, DIAMETRO ARRUELA = *23* MM E COMP HASTE = *27* MM (ACAO INDIRETA)</t>
        </is>
      </c>
      <c r="E1584" s="11">
        <f t="array" ref="E1584">_xlfn.XLOOKUP(D1584,Insumos!B:B,Insumos!C:$C)</f>
        <v/>
      </c>
      <c r="F1584" s="14" t="n">
        <v>5.92</v>
      </c>
      <c r="G1584" s="92">
        <f t="array" ref="G1584">IF(B1584="insumo",_xlfn.XLOOKUP($D1584,Insumos!$B$1:$B$996,Insumos!$D$1:$D$996),"")</f>
        <v/>
      </c>
      <c r="H1584" s="92" t="n">
        <v>2.98368</v>
      </c>
      <c r="I1584" s="2162" t="n">
        <v>0</v>
      </c>
      <c r="J1584" s="2162" t="n">
        <v>0</v>
      </c>
      <c r="K1584" s="2162" t="n"/>
    </row>
    <row r="1585" outlineLevel="3" ht="15.75" customHeight="1">
      <c r="A1585" s="10" t="n">
        <v>26</v>
      </c>
      <c r="B1585" s="10" t="inlineStr">
        <is>
          <t>Insumo</t>
        </is>
      </c>
      <c r="C1585" s="10" t="inlineStr">
        <is>
          <t>30_DRY 48/ST - 6.05 cm  -</t>
        </is>
      </c>
      <c r="D1585" s="10" t="inlineStr">
        <is>
          <t>PERFIL GUIA, FORMATO U, EM ACO ZINCADO, PARA ESTRUTURA PAREDE DRYWALL, E = 0,5 MM, 48 X 3000 MM (L X C)</t>
        </is>
      </c>
      <c r="E1585" s="11">
        <f t="array" ref="E1585">_xlfn.XLOOKUP(D1585,Insumos!B:B,Insumos!C:$C)</f>
        <v/>
      </c>
      <c r="F1585" s="14" t="n">
        <v>1.8234</v>
      </c>
      <c r="G1585" s="92">
        <f t="array" ref="G1585">IF(B1585="insumo",_xlfn.XLOOKUP($D1585,Insumos!$B$1:$B$996,Insumos!$D$1:$D$996),"")</f>
        <v/>
      </c>
      <c r="H1585" s="92" t="n">
        <v>12.818502</v>
      </c>
      <c r="I1585" s="2162" t="n">
        <v>0</v>
      </c>
      <c r="J1585" s="2162" t="n">
        <v>0</v>
      </c>
      <c r="K1585" s="2162" t="n"/>
    </row>
    <row r="1586" outlineLevel="3" ht="15.75" customHeight="1">
      <c r="A1586" s="10" t="n">
        <v>26</v>
      </c>
      <c r="B1586" s="10" t="inlineStr">
        <is>
          <t>Insumo</t>
        </is>
      </c>
      <c r="C1586" s="10" t="inlineStr">
        <is>
          <t>30_DRY 48/ST - 6.05 cm  -</t>
        </is>
      </c>
      <c r="D1586" s="10" t="inlineStr">
        <is>
          <t>PERFIL MONTANTE, FORMATO C, EM ACO ZINCADO, PARA ESTRUTURA PAREDE DRYWALL, E = 0,5 MM, 48 X 3000 MM (L X C)</t>
        </is>
      </c>
      <c r="E1586" s="11">
        <f t="array" ref="E1586">_xlfn.XLOOKUP(D1586,Insumos!B:B,Insumos!C:$C)</f>
        <v/>
      </c>
      <c r="F1586" s="14" t="n">
        <v>5.8278</v>
      </c>
      <c r="G1586" s="92">
        <f t="array" ref="G1586">IF(B1586="insumo",_xlfn.XLOOKUP($D1586,Insumos!$B$1:$B$996,Insumos!$D$1:$D$996),"")</f>
        <v/>
      </c>
      <c r="H1586" s="92" t="n">
        <v>46.505844</v>
      </c>
      <c r="I1586" s="2162" t="n">
        <v>0</v>
      </c>
      <c r="J1586" s="2162" t="n">
        <v>0</v>
      </c>
      <c r="K1586" s="2162" t="n"/>
    </row>
    <row r="1587" outlineLevel="3" ht="15.75" customHeight="1">
      <c r="A1587" s="10" t="n">
        <v>95</v>
      </c>
      <c r="B1587" s="10" t="inlineStr">
        <is>
          <t>Insumo</t>
        </is>
      </c>
      <c r="C1587" s="10" t="inlineStr">
        <is>
          <t>30_DRY 48/ST - 6.05 cm  -</t>
        </is>
      </c>
      <c r="D1587" s="10" t="inlineStr">
        <is>
          <t>MASSA DE REJUNTE EM PO PARA DRYWALL, A BASE DE GESSO, SECAGEM RAPIDA, PARA TRATAMENTO DE JUNTAS DE CHAPA DE GESSO (NECESSITA ADICAO DE AGUA)</t>
        </is>
      </c>
      <c r="E1587" s="11">
        <f t="array" ref="E1587">_xlfn.XLOOKUP(D1587,Insumos!B:B,Insumos!C:$C)</f>
        <v/>
      </c>
      <c r="F1587" s="14">
        <f>1.0978/2</f>
        <v/>
      </c>
      <c r="G1587" s="92">
        <f t="array" ref="G1587">IF(B1587="insumo",_xlfn.XLOOKUP($D1587,Insumos!$B$1:$B$996,Insumos!$D$1:$D$996),"")</f>
        <v/>
      </c>
      <c r="H1587" s="92" t="n">
        <v>1.882727</v>
      </c>
      <c r="I1587" s="2162" t="n">
        <v>0</v>
      </c>
      <c r="J1587" s="2162" t="n">
        <v>0</v>
      </c>
      <c r="K1587" s="2162" t="n"/>
    </row>
    <row r="1588" outlineLevel="3" ht="15.75" customHeight="1">
      <c r="A1588" s="10" t="n">
        <v>94</v>
      </c>
      <c r="B1588" s="10" t="inlineStr">
        <is>
          <t>Insumo</t>
        </is>
      </c>
      <c r="C1588" s="10" t="inlineStr">
        <is>
          <t>30_DRY 48/ST - 6.05 cm  -</t>
        </is>
      </c>
      <c r="D1588" s="10" t="inlineStr">
        <is>
          <t>FITA DE PAPEL MICROPERFURADO, 50 X 150 MM, PARA TRATAMENTO DE JUNTAS DE CHAPA DE GESSO PARA DRYWALL</t>
        </is>
      </c>
      <c r="E1588" s="11">
        <f t="array" ref="E1588">_xlfn.XLOOKUP(D1588,Insumos!B:B,Insumos!C:$C)</f>
        <v/>
      </c>
      <c r="F1588" s="14">
        <f>2.5027/2</f>
        <v/>
      </c>
      <c r="G1588" s="92">
        <f t="array" ref="G1588">IF(B1588="insumo",_xlfn.XLOOKUP($D1588,Insumos!$B$1:$B$996,Insumos!$D$1:$D$996),"")</f>
        <v/>
      </c>
      <c r="H1588" s="92" t="n">
        <v>0.3879185</v>
      </c>
      <c r="I1588" s="2162" t="n">
        <v>0</v>
      </c>
      <c r="J1588" s="2162" t="n">
        <v>0</v>
      </c>
      <c r="K1588" s="2162" t="n"/>
    </row>
    <row r="1589" outlineLevel="3" ht="15.75" customHeight="1">
      <c r="A1589" s="10" t="n">
        <v>94</v>
      </c>
      <c r="B1589" s="10" t="inlineStr">
        <is>
          <t>Insumo</t>
        </is>
      </c>
      <c r="C1589" s="10" t="inlineStr">
        <is>
          <t>30_DRY 48/ST - 6.05 cm  -</t>
        </is>
      </c>
      <c r="D1589" s="10" t="inlineStr">
        <is>
          <t>FITA DE PAPEL REFORCADA COM LAMINA DE METAL PARA REFORCO DE CANTOS DE CHAPA DE GESSO PARA DRYWALL</t>
        </is>
      </c>
      <c r="E1589" s="11">
        <f t="array" ref="E1589">_xlfn.XLOOKUP(D1589,Insumos!B:B,Insumos!C:$C)</f>
        <v/>
      </c>
      <c r="F1589" s="14">
        <f>1.5851/2</f>
        <v/>
      </c>
      <c r="G1589" s="92">
        <f t="array" ref="G1589">IF(B1589="insumo",_xlfn.XLOOKUP($D1589,Insumos!$B$1:$B$996,Insumos!$D$1:$D$996),"")</f>
        <v/>
      </c>
      <c r="H1589" s="92" t="n">
        <v>2.171587</v>
      </c>
      <c r="I1589" s="2162" t="n">
        <v>0</v>
      </c>
      <c r="J1589" s="2162" t="n">
        <v>0</v>
      </c>
      <c r="K1589" s="2162" t="n"/>
    </row>
    <row r="1590" outlineLevel="3" ht="15.75" customHeight="1">
      <c r="A1590" s="10" t="n">
        <v>97</v>
      </c>
      <c r="B1590" s="10" t="inlineStr">
        <is>
          <t>Insumo</t>
        </is>
      </c>
      <c r="C1590" s="10" t="inlineStr">
        <is>
          <t>30_DRY 48/ST - 6.05 cm  -</t>
        </is>
      </c>
      <c r="D1590" s="10" t="inlineStr">
        <is>
          <t>PARAFUSO DRY WALL, EM ACO FOSFATIZADO, CABECA TROMBETA E PONTA AGULHA (TA), COMPRIMENTO 25 MM</t>
        </is>
      </c>
      <c r="E1590" s="11">
        <f t="array" ref="E1590">_xlfn.XLOOKUP(D1590,Insumos!B:B,Insumos!C:$C)</f>
        <v/>
      </c>
      <c r="F1590" s="14">
        <f>20.1868/2</f>
        <v/>
      </c>
      <c r="G1590" s="92">
        <f t="array" ref="G1590">IF(B1590="insumo",_xlfn.XLOOKUP($D1590,Insumos!$B$1:$B$996,Insumos!$D$1:$D$996),"")</f>
        <v/>
      </c>
      <c r="H1590" s="92" t="n">
        <v>0.908406</v>
      </c>
      <c r="I1590" s="2162" t="n">
        <v>0</v>
      </c>
      <c r="J1590" s="2162" t="n">
        <v>0</v>
      </c>
      <c r="K1590" s="2162" t="n"/>
    </row>
    <row r="1591" outlineLevel="3" ht="15.75" customHeight="1">
      <c r="A1591" s="10" t="n">
        <v>95</v>
      </c>
      <c r="B1591" s="10" t="inlineStr">
        <is>
          <t>Insumo</t>
        </is>
      </c>
      <c r="C1591" s="10" t="inlineStr">
        <is>
          <t>30_DRY 48/ST - 6.05 cm  -</t>
        </is>
      </c>
      <c r="D1591" s="10" t="inlineStr">
        <is>
          <t>PARAFUSO DRY WALL, EM ACO ZINCADO, CABECA LENTILHA E PONTA BROCA (LB), LARGURA 4,2 MM, COMPRIMENTO 13 MM</t>
        </is>
      </c>
      <c r="E1591" s="11">
        <f t="array" ref="E1591">_xlfn.XLOOKUP(D1591,Insumos!B:B,Insumos!C:$C)</f>
        <v/>
      </c>
      <c r="F1591" s="14" t="n">
        <v>0.5441</v>
      </c>
      <c r="G1591" s="92">
        <f t="array" ref="G1591">IF(B1591="insumo",_xlfn.XLOOKUP($D1591,Insumos!$B$1:$B$996,Insumos!$D$1:$D$996),"")</f>
        <v/>
      </c>
      <c r="H1591" s="92" t="n">
        <v>0.10882</v>
      </c>
      <c r="I1591" s="2162" t="n">
        <v>0</v>
      </c>
      <c r="J1591" s="2162" t="n">
        <v>0</v>
      </c>
      <c r="K1591" s="2162" t="n"/>
    </row>
    <row r="1592" outlineLevel="2" ht="15.75" customHeight="1">
      <c r="A1592" s="1067" t="n">
        <v>1</v>
      </c>
      <c r="B1592" s="1067" t="inlineStr">
        <is>
          <t>Serviço</t>
        </is>
      </c>
      <c r="C1592" s="1067" t="inlineStr">
        <is>
          <t>30_DRY 48 mm - 1 PLACA - 6,05cm  -  Lado A: PLACA PERFORMANCE ST - Lado B: N/A</t>
        </is>
      </c>
      <c r="D1592" s="1067" t="inlineStr">
        <is>
          <t>30_DRY 48 mm - 1 PLACA - 6,05cm  -  Lado A: PLACA PERFORMANCE ST - Lado B: N/A</t>
        </is>
      </c>
      <c r="E1592" s="1068" t="inlineStr">
        <is>
          <t>M2</t>
        </is>
      </c>
      <c r="F1592" s="1067" t="n"/>
      <c r="G1592" s="1069">
        <f t="array" ref="G1592">IF(B1592="insumo",_xlfn.XLOOKUP($D1592,Insumos!$B$1:$B$996,Insumos!$D$1:$D$996),"")</f>
        <v/>
      </c>
      <c r="H1592" s="1069" t="n">
        <v>160.0644445</v>
      </c>
      <c r="I1592" s="2161" t="n">
        <v>0</v>
      </c>
      <c r="J1592" s="2161" t="n">
        <v>0</v>
      </c>
      <c r="K1592" s="2161" t="n"/>
    </row>
    <row r="1593" outlineLevel="3" ht="15.75" customHeight="1">
      <c r="A1593" s="10" t="n">
        <v>86</v>
      </c>
      <c r="B1593" s="10" t="inlineStr">
        <is>
          <t>Insumo</t>
        </is>
      </c>
      <c r="C1593" s="10" t="inlineStr">
        <is>
          <t>30_DRY 48 mm - 1 PLACA - 6,05cm  -  Lado A: PLACA PERFORMANCE ST - Lado B: N/A</t>
        </is>
      </c>
      <c r="D1593" s="10" t="inlineStr">
        <is>
          <t>SERVICO - CONFECCAO SHAFT GESSO</t>
        </is>
      </c>
      <c r="E1593" s="11">
        <f t="array" ref="E1593">_xlfn.XLOOKUP(D1593,Insumos!B:B,Insumos!C:$C)</f>
        <v/>
      </c>
      <c r="F1593" s="14" t="n">
        <v>1</v>
      </c>
      <c r="G1593" s="92">
        <f t="array" ref="G1593">IF(B1593="insumo",_xlfn.XLOOKUP($D1593,Insumos!$B$1:$B$996,Insumos!$D$1:$D$996),"")</f>
        <v/>
      </c>
      <c r="H1593" s="92" t="n">
        <v>70</v>
      </c>
      <c r="I1593" s="2162" t="n">
        <v>0</v>
      </c>
      <c r="J1593" s="2162" t="n">
        <v>0</v>
      </c>
      <c r="K1593" s="2162" t="n"/>
    </row>
    <row r="1594" outlineLevel="3" ht="15.75" customHeight="1">
      <c r="A1594" s="10" t="n">
        <v>47</v>
      </c>
      <c r="B1594" s="10" t="inlineStr">
        <is>
          <t>Insumo</t>
        </is>
      </c>
      <c r="C1594" s="10" t="inlineStr">
        <is>
          <t>30_DRY 48 mm - 1 PLACA - 6,05cm  -  Lado A: PLACA PERFORMANCE ST - Lado B: N/A</t>
        </is>
      </c>
      <c r="D1594" s="10" t="inlineStr">
        <is>
          <t>PLACA / CHAPA DE GESSO ACARTONADO, STANDARD (ST), COR BRANCA, E = 12,5 MM, 1200 X 2400 MM (L X C)</t>
        </is>
      </c>
      <c r="E1594" s="11">
        <f t="array" ref="E1594">_xlfn.XLOOKUP(D1594,Insumos!B:B,Insumos!C:$C)</f>
        <v/>
      </c>
      <c r="F1594" s="14" t="n">
        <v>1.106</v>
      </c>
      <c r="G1594" s="92">
        <f t="array" ref="G1594">IF(B1594="insumo",_xlfn.XLOOKUP($D1594,Insumos!$B$1:$B$996,Insumos!$D$1:$D$996),"")</f>
        <v/>
      </c>
      <c r="H1594" s="92" t="n">
        <v>22.29696</v>
      </c>
      <c r="I1594" s="2162" t="n">
        <v>0</v>
      </c>
      <c r="J1594" s="2162" t="n">
        <v>0</v>
      </c>
      <c r="K1594" s="2162" t="n"/>
    </row>
    <row r="1595" outlineLevel="3" ht="15.75" customHeight="1">
      <c r="A1595" s="10" t="n">
        <v>95</v>
      </c>
      <c r="B1595" s="10" t="inlineStr">
        <is>
          <t>Insumo</t>
        </is>
      </c>
      <c r="C1595" s="10" t="inlineStr">
        <is>
          <t>30_DRY 48 mm - 1 PLACA - 6,05cm  -  Lado A: PLACA PERFORMANCE ST - Lado B: N/A</t>
        </is>
      </c>
      <c r="D1595" s="10" t="inlineStr">
        <is>
          <t>PINO DE ACO COM ARRUELA CONICA, DIAMETRO ARRUELA = *23* MM E COMP HASTE = *27* MM (ACAO INDIRETA)</t>
        </is>
      </c>
      <c r="E1595" s="11">
        <f t="array" ref="E1595">_xlfn.XLOOKUP(D1595,Insumos!B:B,Insumos!C:$C)</f>
        <v/>
      </c>
      <c r="F1595" s="14" t="n">
        <v>5.92</v>
      </c>
      <c r="G1595" s="92">
        <f t="array" ref="G1595">IF(B1595="insumo",_xlfn.XLOOKUP($D1595,Insumos!$B$1:$B$996,Insumos!$D$1:$D$996),"")</f>
        <v/>
      </c>
      <c r="H1595" s="92" t="n">
        <v>2.98368</v>
      </c>
      <c r="I1595" s="2162" t="n">
        <v>0</v>
      </c>
      <c r="J1595" s="2162" t="n">
        <v>0</v>
      </c>
      <c r="K1595" s="2162" t="n"/>
    </row>
    <row r="1596" outlineLevel="3" ht="15.75" customHeight="1">
      <c r="A1596" s="10" t="n">
        <v>26</v>
      </c>
      <c r="B1596" s="10" t="inlineStr">
        <is>
          <t>Insumo</t>
        </is>
      </c>
      <c r="C1596" s="10" t="inlineStr">
        <is>
          <t>30_DRY 48 mm - 1 PLACA - 6,05cm  -  Lado A: PLACA PERFORMANCE ST - Lado B: N/A</t>
        </is>
      </c>
      <c r="D1596" s="10" t="inlineStr">
        <is>
          <t>PERFIL GUIA, FORMATO U, EM ACO ZINCADO, PARA ESTRUTURA PAREDE DRYWALL, E = 0,5 MM, 48 X 3000 MM (L X C)</t>
        </is>
      </c>
      <c r="E1596" s="11">
        <f t="array" ref="E1596">_xlfn.XLOOKUP(D1596,Insumos!B:B,Insumos!C:$C)</f>
        <v/>
      </c>
      <c r="F1596" s="14" t="n">
        <v>1.8234</v>
      </c>
      <c r="G1596" s="92">
        <f t="array" ref="G1596">IF(B1596="insumo",_xlfn.XLOOKUP($D1596,Insumos!$B$1:$B$996,Insumos!$D$1:$D$996),"")</f>
        <v/>
      </c>
      <c r="H1596" s="92" t="n">
        <v>12.818502</v>
      </c>
      <c r="I1596" s="2162" t="n">
        <v>0</v>
      </c>
      <c r="J1596" s="2162" t="n">
        <v>0</v>
      </c>
      <c r="K1596" s="2162" t="n"/>
    </row>
    <row r="1597" outlineLevel="3" ht="15.75" customHeight="1">
      <c r="A1597" s="10" t="n">
        <v>26</v>
      </c>
      <c r="B1597" s="10" t="inlineStr">
        <is>
          <t>Insumo</t>
        </is>
      </c>
      <c r="C1597" s="10" t="inlineStr">
        <is>
          <t>30_DRY 48 mm - 1 PLACA - 6,05cm  -  Lado A: PLACA PERFORMANCE ST - Lado B: N/A</t>
        </is>
      </c>
      <c r="D1597" s="10" t="inlineStr">
        <is>
          <t>PERFIL MONTANTE, FORMATO C, EM ACO ZINCADO, PARA ESTRUTURA PAREDE DRYWALL, E = 0,5 MM, 48 X 3000 MM (L X C)</t>
        </is>
      </c>
      <c r="E1597" s="11">
        <f t="array" ref="E1597">_xlfn.XLOOKUP(D1597,Insumos!B:B,Insumos!C:$C)</f>
        <v/>
      </c>
      <c r="F1597" s="14" t="n">
        <v>5.8278</v>
      </c>
      <c r="G1597" s="92">
        <f t="array" ref="G1597">IF(B1597="insumo",_xlfn.XLOOKUP($D1597,Insumos!$B$1:$B$996,Insumos!$D$1:$D$996),"")</f>
        <v/>
      </c>
      <c r="H1597" s="92" t="n">
        <v>46.505844</v>
      </c>
      <c r="I1597" s="2162" t="n">
        <v>0</v>
      </c>
      <c r="J1597" s="2162" t="n">
        <v>0</v>
      </c>
      <c r="K1597" s="2162" t="n"/>
    </row>
    <row r="1598" outlineLevel="3" ht="15.75" customHeight="1">
      <c r="A1598" s="10" t="n">
        <v>95</v>
      </c>
      <c r="B1598" s="10" t="inlineStr">
        <is>
          <t>Insumo</t>
        </is>
      </c>
      <c r="C1598" s="10" t="inlineStr">
        <is>
          <t>30_DRY 48 mm - 1 PLACA - 6,05cm  -  Lado A: PLACA PERFORMANCE ST - Lado B: N/A</t>
        </is>
      </c>
      <c r="D1598" s="10" t="inlineStr">
        <is>
          <t>MASSA DE REJUNTE EM PO PARA DRYWALL, A BASE DE GESSO, SECAGEM RAPIDA, PARA TRATAMENTO DE JUNTAS DE CHAPA DE GESSO (NECESSITA ADICAO DE AGUA)</t>
        </is>
      </c>
      <c r="E1598" s="11">
        <f t="array" ref="E1598">_xlfn.XLOOKUP(D1598,Insumos!B:B,Insumos!C:$C)</f>
        <v/>
      </c>
      <c r="F1598" s="14">
        <f>1.0978/2</f>
        <v/>
      </c>
      <c r="G1598" s="92">
        <f t="array" ref="G1598">IF(B1598="insumo",_xlfn.XLOOKUP($D1598,Insumos!$B$1:$B$996,Insumos!$D$1:$D$996),"")</f>
        <v/>
      </c>
      <c r="H1598" s="92" t="n">
        <v>1.882727</v>
      </c>
      <c r="I1598" s="2162" t="n">
        <v>0</v>
      </c>
      <c r="J1598" s="2162" t="n">
        <v>0</v>
      </c>
      <c r="K1598" s="2162" t="n"/>
    </row>
    <row r="1599" outlineLevel="3" ht="15.75" customHeight="1">
      <c r="A1599" s="10" t="n">
        <v>94</v>
      </c>
      <c r="B1599" s="10" t="inlineStr">
        <is>
          <t>Insumo</t>
        </is>
      </c>
      <c r="C1599" s="10" t="inlineStr">
        <is>
          <t>30_DRY 48 mm - 1 PLACA - 6,05cm  -  Lado A: PLACA PERFORMANCE ST - Lado B: N/A</t>
        </is>
      </c>
      <c r="D1599" s="10" t="inlineStr">
        <is>
          <t>FITA DE PAPEL MICROPERFURADO, 50 X 150 MM, PARA TRATAMENTO DE JUNTAS DE CHAPA DE GESSO PARA DRYWALL</t>
        </is>
      </c>
      <c r="E1599" s="11">
        <f t="array" ref="E1599">_xlfn.XLOOKUP(D1599,Insumos!B:B,Insumos!C:$C)</f>
        <v/>
      </c>
      <c r="F1599" s="14">
        <f>2.5027/2</f>
        <v/>
      </c>
      <c r="G1599" s="92">
        <f t="array" ref="G1599">IF(B1599="insumo",_xlfn.XLOOKUP($D1599,Insumos!$B$1:$B$996,Insumos!$D$1:$D$996),"")</f>
        <v/>
      </c>
      <c r="H1599" s="92" t="n">
        <v>0.3879185</v>
      </c>
      <c r="I1599" s="2162" t="n">
        <v>0</v>
      </c>
      <c r="J1599" s="2162" t="n">
        <v>0</v>
      </c>
      <c r="K1599" s="2162" t="n"/>
    </row>
    <row r="1600" outlineLevel="3" ht="15.75" customHeight="1">
      <c r="A1600" s="10" t="n">
        <v>94</v>
      </c>
      <c r="B1600" s="10" t="inlineStr">
        <is>
          <t>Insumo</t>
        </is>
      </c>
      <c r="C1600" s="10" t="inlineStr">
        <is>
          <t>30_DRY 48 mm - 1 PLACA - 6,05cm  -  Lado A: PLACA PERFORMANCE ST - Lado B: N/A</t>
        </is>
      </c>
      <c r="D1600" s="10" t="inlineStr">
        <is>
          <t>FITA DE PAPEL REFORCADA COM LAMINA DE METAL PARA REFORCO DE CANTOS DE CHAPA DE GESSO PARA DRYWALL</t>
        </is>
      </c>
      <c r="E1600" s="11">
        <f t="array" ref="E1600">_xlfn.XLOOKUP(D1600,Insumos!B:B,Insumos!C:$C)</f>
        <v/>
      </c>
      <c r="F1600" s="14">
        <f>1.5851/2</f>
        <v/>
      </c>
      <c r="G1600" s="92">
        <f t="array" ref="G1600">IF(B1600="insumo",_xlfn.XLOOKUP($D1600,Insumos!$B$1:$B$996,Insumos!$D$1:$D$996),"")</f>
        <v/>
      </c>
      <c r="H1600" s="92" t="n">
        <v>2.171587</v>
      </c>
      <c r="I1600" s="2162" t="n">
        <v>0</v>
      </c>
      <c r="J1600" s="2162" t="n">
        <v>0</v>
      </c>
      <c r="K1600" s="2162" t="n"/>
    </row>
    <row r="1601" outlineLevel="3" ht="15.75" customHeight="1">
      <c r="A1601" s="10" t="n">
        <v>97</v>
      </c>
      <c r="B1601" s="10" t="inlineStr">
        <is>
          <t>Insumo</t>
        </is>
      </c>
      <c r="C1601" s="10" t="inlineStr">
        <is>
          <t>30_DRY 48 mm - 1 PLACA - 6,05cm  -  Lado A: PLACA PERFORMANCE ST - Lado B: N/A</t>
        </is>
      </c>
      <c r="D1601" s="10" t="inlineStr">
        <is>
          <t>PARAFUSO DRY WALL, EM ACO FOSFATIZADO, CABECA TROMBETA E PONTA AGULHA (TA), COMPRIMENTO 25 MM</t>
        </is>
      </c>
      <c r="E1601" s="11">
        <f t="array" ref="E1601">_xlfn.XLOOKUP(D1601,Insumos!B:B,Insumos!C:$C)</f>
        <v/>
      </c>
      <c r="F1601" s="14">
        <f>20.1868/2</f>
        <v/>
      </c>
      <c r="G1601" s="92">
        <f t="array" ref="G1601">IF(B1601="insumo",_xlfn.XLOOKUP($D1601,Insumos!$B$1:$B$996,Insumos!$D$1:$D$996),"")</f>
        <v/>
      </c>
      <c r="H1601" s="92" t="n">
        <v>0.908406</v>
      </c>
      <c r="I1601" s="2162" t="n">
        <v>0</v>
      </c>
      <c r="J1601" s="2162" t="n">
        <v>0</v>
      </c>
      <c r="K1601" s="2162" t="n"/>
    </row>
    <row r="1602" outlineLevel="3" ht="15.75" customHeight="1">
      <c r="A1602" s="10" t="n">
        <v>95</v>
      </c>
      <c r="B1602" s="10" t="inlineStr">
        <is>
          <t>Insumo</t>
        </is>
      </c>
      <c r="C1602" s="10" t="inlineStr">
        <is>
          <t>30_DRY 48 mm - 1 PLACA - 6,05cm  -  Lado A: PLACA PERFORMANCE ST - Lado B: N/A</t>
        </is>
      </c>
      <c r="D1602" s="10" t="inlineStr">
        <is>
          <t>PARAFUSO DRY WALL, EM ACO ZINCADO, CABECA LENTILHA E PONTA BROCA (LB), LARGURA 4,2 MM, COMPRIMENTO 13 MM</t>
        </is>
      </c>
      <c r="E1602" s="11">
        <f t="array" ref="E1602">_xlfn.XLOOKUP(D1602,Insumos!B:B,Insumos!C:$C)</f>
        <v/>
      </c>
      <c r="F1602" s="14" t="n">
        <v>0.5441</v>
      </c>
      <c r="G1602" s="92">
        <f t="array" ref="G1602">IF(B1602="insumo",_xlfn.XLOOKUP($D1602,Insumos!$B$1:$B$996,Insumos!$D$1:$D$996),"")</f>
        <v/>
      </c>
      <c r="H1602" s="92" t="n">
        <v>0.10882</v>
      </c>
      <c r="I1602" s="2162" t="n">
        <v>0</v>
      </c>
      <c r="J1602" s="2162" t="n">
        <v>0</v>
      </c>
      <c r="K1602" s="2162" t="n"/>
    </row>
    <row r="1603" outlineLevel="2" ht="15.75" customHeight="1">
      <c r="A1603" s="1067" t="n">
        <v>1</v>
      </c>
      <c r="B1603" s="1067" t="inlineStr">
        <is>
          <t>Serviço</t>
        </is>
      </c>
      <c r="C1603" s="1067" t="inlineStr">
        <is>
          <t>30_DRY 48 mm - 1 PLACA - 6,05cm  -</t>
        </is>
      </c>
      <c r="D1603" s="1067" t="inlineStr">
        <is>
          <t>30_DRY 48 mm - 1 PLACA - 6,05cm  -</t>
        </is>
      </c>
      <c r="E1603" s="1068" t="inlineStr">
        <is>
          <t>M2</t>
        </is>
      </c>
      <c r="F1603" s="1067" t="n"/>
      <c r="G1603" s="1069">
        <f t="array" ref="G1603">IF(B1603="insumo",_xlfn.XLOOKUP($D1603,Insumos!$B$1:$B$996,Insumos!$D$1:$D$996),"")</f>
        <v/>
      </c>
      <c r="H1603" s="1069" t="n">
        <v>160.0644445</v>
      </c>
      <c r="I1603" s="2161" t="n">
        <v>0</v>
      </c>
      <c r="J1603" s="2161" t="n">
        <v>0</v>
      </c>
      <c r="K1603" s="2161" t="n"/>
    </row>
    <row r="1604" outlineLevel="3" ht="15.75" customHeight="1">
      <c r="A1604" s="10" t="n">
        <v>86</v>
      </c>
      <c r="B1604" s="10" t="inlineStr">
        <is>
          <t>Insumo</t>
        </is>
      </c>
      <c r="C1604" s="10" t="inlineStr">
        <is>
          <t>30_DRY 48 mm - 1 PLACA - 6,05cm  -</t>
        </is>
      </c>
      <c r="D1604" s="10" t="inlineStr">
        <is>
          <t>SERVICO - CONFECCAO SHAFT GESSO</t>
        </is>
      </c>
      <c r="E1604" s="11">
        <f t="array" ref="E1604">_xlfn.XLOOKUP(D1604,Insumos!B:B,Insumos!C:$C)</f>
        <v/>
      </c>
      <c r="F1604" s="14" t="n">
        <v>1</v>
      </c>
      <c r="G1604" s="92">
        <f t="array" ref="G1604">IF(B1604="insumo",_xlfn.XLOOKUP($D1604,Insumos!$B$1:$B$996,Insumos!$D$1:$D$996),"")</f>
        <v/>
      </c>
      <c r="H1604" s="92" t="n">
        <v>70</v>
      </c>
      <c r="I1604" s="2162" t="n">
        <v>0</v>
      </c>
      <c r="J1604" s="2162" t="n">
        <v>0</v>
      </c>
      <c r="K1604" s="2162" t="n"/>
    </row>
    <row r="1605" outlineLevel="3" ht="15.75" customHeight="1">
      <c r="A1605" s="10" t="n">
        <v>47</v>
      </c>
      <c r="B1605" s="10" t="inlineStr">
        <is>
          <t>Insumo</t>
        </is>
      </c>
      <c r="C1605" s="10" t="inlineStr">
        <is>
          <t>30_DRY 48 mm - 1 PLACA - 6,05cm  -</t>
        </is>
      </c>
      <c r="D1605" s="10" t="inlineStr">
        <is>
          <t>PLACA / CHAPA DE GESSO ACARTONADO, STANDARD (ST), COR BRANCA, E = 12,5 MM, 1200 X 2400 MM (L X C)</t>
        </is>
      </c>
      <c r="E1605" s="11">
        <f t="array" ref="E1605">_xlfn.XLOOKUP(D1605,Insumos!B:B,Insumos!C:$C)</f>
        <v/>
      </c>
      <c r="F1605" s="14" t="n">
        <v>1.106</v>
      </c>
      <c r="G1605" s="92">
        <f t="array" ref="G1605">IF(B1605="insumo",_xlfn.XLOOKUP($D1605,Insumos!$B$1:$B$996,Insumos!$D$1:$D$996),"")</f>
        <v/>
      </c>
      <c r="H1605" s="92" t="n">
        <v>22.29696</v>
      </c>
      <c r="I1605" s="2162" t="n">
        <v>0</v>
      </c>
      <c r="J1605" s="2162" t="n">
        <v>0</v>
      </c>
      <c r="K1605" s="2162" t="n"/>
    </row>
    <row r="1606" outlineLevel="3" ht="15.75" customHeight="1">
      <c r="A1606" s="10" t="n">
        <v>95</v>
      </c>
      <c r="B1606" s="10" t="inlineStr">
        <is>
          <t>Insumo</t>
        </is>
      </c>
      <c r="C1606" s="10" t="inlineStr">
        <is>
          <t>30_DRY 48 mm - 1 PLACA - 6,05cm  -</t>
        </is>
      </c>
      <c r="D1606" s="10" t="inlineStr">
        <is>
          <t>PINO DE ACO COM ARRUELA CONICA, DIAMETRO ARRUELA = *23* MM E COMP HASTE = *27* MM (ACAO INDIRETA)</t>
        </is>
      </c>
      <c r="E1606" s="11">
        <f t="array" ref="E1606">_xlfn.XLOOKUP(D1606,Insumos!B:B,Insumos!C:$C)</f>
        <v/>
      </c>
      <c r="F1606" s="14" t="n">
        <v>5.92</v>
      </c>
      <c r="G1606" s="92">
        <f t="array" ref="G1606">IF(B1606="insumo",_xlfn.XLOOKUP($D1606,Insumos!$B$1:$B$996,Insumos!$D$1:$D$996),"")</f>
        <v/>
      </c>
      <c r="H1606" s="92" t="n">
        <v>2.98368</v>
      </c>
      <c r="I1606" s="2162" t="n">
        <v>0</v>
      </c>
      <c r="J1606" s="2162" t="n">
        <v>0</v>
      </c>
      <c r="K1606" s="2162" t="n"/>
    </row>
    <row r="1607" outlineLevel="3" ht="15.75" customHeight="1">
      <c r="A1607" s="10" t="n">
        <v>26</v>
      </c>
      <c r="B1607" s="10" t="inlineStr">
        <is>
          <t>Insumo</t>
        </is>
      </c>
      <c r="C1607" s="10" t="inlineStr">
        <is>
          <t>30_DRY 48 mm - 1 PLACA - 6,05cm  -</t>
        </is>
      </c>
      <c r="D1607" s="10" t="inlineStr">
        <is>
          <t>PERFIL GUIA, FORMATO U, EM ACO ZINCADO, PARA ESTRUTURA PAREDE DRYWALL, E = 0,5 MM, 48 X 3000 MM (L X C)</t>
        </is>
      </c>
      <c r="E1607" s="11">
        <f t="array" ref="E1607">_xlfn.XLOOKUP(D1607,Insumos!B:B,Insumos!C:$C)</f>
        <v/>
      </c>
      <c r="F1607" s="14" t="n">
        <v>1.8234</v>
      </c>
      <c r="G1607" s="92">
        <f t="array" ref="G1607">IF(B1607="insumo",_xlfn.XLOOKUP($D1607,Insumos!$B$1:$B$996,Insumos!$D$1:$D$996),"")</f>
        <v/>
      </c>
      <c r="H1607" s="92" t="n">
        <v>12.818502</v>
      </c>
      <c r="I1607" s="2162" t="n">
        <v>0</v>
      </c>
      <c r="J1607" s="2162" t="n">
        <v>0</v>
      </c>
      <c r="K1607" s="2162" t="n"/>
    </row>
    <row r="1608" outlineLevel="3" ht="15.75" customHeight="1">
      <c r="A1608" s="10" t="n">
        <v>26</v>
      </c>
      <c r="B1608" s="10" t="inlineStr">
        <is>
          <t>Insumo</t>
        </is>
      </c>
      <c r="C1608" s="10" t="inlineStr">
        <is>
          <t>30_DRY 48 mm - 1 PLACA - 6,05cm  -</t>
        </is>
      </c>
      <c r="D1608" s="10" t="inlineStr">
        <is>
          <t>PERFIL MONTANTE, FORMATO C, EM ACO ZINCADO, PARA ESTRUTURA PAREDE DRYWALL, E = 0,5 MM, 48 X 3000 MM (L X C)</t>
        </is>
      </c>
      <c r="E1608" s="11">
        <f t="array" ref="E1608">_xlfn.XLOOKUP(D1608,Insumos!B:B,Insumos!C:$C)</f>
        <v/>
      </c>
      <c r="F1608" s="14" t="n">
        <v>5.8278</v>
      </c>
      <c r="G1608" s="92">
        <f t="array" ref="G1608">IF(B1608="insumo",_xlfn.XLOOKUP($D1608,Insumos!$B$1:$B$996,Insumos!$D$1:$D$996),"")</f>
        <v/>
      </c>
      <c r="H1608" s="92" t="n">
        <v>46.505844</v>
      </c>
      <c r="I1608" s="2162" t="n">
        <v>0</v>
      </c>
      <c r="J1608" s="2162" t="n">
        <v>0</v>
      </c>
      <c r="K1608" s="2162" t="n"/>
    </row>
    <row r="1609" outlineLevel="3" ht="15.75" customHeight="1">
      <c r="A1609" s="10" t="n">
        <v>95</v>
      </c>
      <c r="B1609" s="10" t="inlineStr">
        <is>
          <t>Insumo</t>
        </is>
      </c>
      <c r="C1609" s="10" t="inlineStr">
        <is>
          <t>30_DRY 48 mm - 1 PLACA - 6,05cm  -</t>
        </is>
      </c>
      <c r="D1609" s="10" t="inlineStr">
        <is>
          <t>MASSA DE REJUNTE EM PO PARA DRYWALL, A BASE DE GESSO, SECAGEM RAPIDA, PARA TRATAMENTO DE JUNTAS DE CHAPA DE GESSO (NECESSITA ADICAO DE AGUA)</t>
        </is>
      </c>
      <c r="E1609" s="11">
        <f t="array" ref="E1609">_xlfn.XLOOKUP(D1609,Insumos!B:B,Insumos!C:$C)</f>
        <v/>
      </c>
      <c r="F1609" s="14">
        <f>1.0978/2</f>
        <v/>
      </c>
      <c r="G1609" s="92">
        <f t="array" ref="G1609">IF(B1609="insumo",_xlfn.XLOOKUP($D1609,Insumos!$B$1:$B$996,Insumos!$D$1:$D$996),"")</f>
        <v/>
      </c>
      <c r="H1609" s="92" t="n">
        <v>1.882727</v>
      </c>
      <c r="I1609" s="2162" t="n">
        <v>0</v>
      </c>
      <c r="J1609" s="2162" t="n">
        <v>0</v>
      </c>
      <c r="K1609" s="2162" t="n"/>
    </row>
    <row r="1610" outlineLevel="3" ht="15.75" customHeight="1">
      <c r="A1610" s="10" t="n">
        <v>94</v>
      </c>
      <c r="B1610" s="10" t="inlineStr">
        <is>
          <t>Insumo</t>
        </is>
      </c>
      <c r="C1610" s="10" t="inlineStr">
        <is>
          <t>30_DRY 48 mm - 1 PLACA - 6,05cm  -</t>
        </is>
      </c>
      <c r="D1610" s="10" t="inlineStr">
        <is>
          <t>FITA DE PAPEL MICROPERFURADO, 50 X 150 MM, PARA TRATAMENTO DE JUNTAS DE CHAPA DE GESSO PARA DRYWALL</t>
        </is>
      </c>
      <c r="E1610" s="11">
        <f t="array" ref="E1610">_xlfn.XLOOKUP(D1610,Insumos!B:B,Insumos!C:$C)</f>
        <v/>
      </c>
      <c r="F1610" s="14">
        <f>2.5027/2</f>
        <v/>
      </c>
      <c r="G1610" s="92">
        <f t="array" ref="G1610">IF(B1610="insumo",_xlfn.XLOOKUP($D1610,Insumos!$B$1:$B$996,Insumos!$D$1:$D$996),"")</f>
        <v/>
      </c>
      <c r="H1610" s="92" t="n">
        <v>0.3879185</v>
      </c>
      <c r="I1610" s="2162" t="n">
        <v>0</v>
      </c>
      <c r="J1610" s="2162" t="n">
        <v>0</v>
      </c>
      <c r="K1610" s="2162" t="n"/>
    </row>
    <row r="1611" outlineLevel="3" ht="15.75" customHeight="1">
      <c r="A1611" s="10" t="n">
        <v>94</v>
      </c>
      <c r="B1611" s="10" t="inlineStr">
        <is>
          <t>Insumo</t>
        </is>
      </c>
      <c r="C1611" s="10" t="inlineStr">
        <is>
          <t>30_DRY 48 mm - 1 PLACA - 6,05cm  -</t>
        </is>
      </c>
      <c r="D1611" s="10" t="inlineStr">
        <is>
          <t>FITA DE PAPEL REFORCADA COM LAMINA DE METAL PARA REFORCO DE CANTOS DE CHAPA DE GESSO PARA DRYWALL</t>
        </is>
      </c>
      <c r="E1611" s="11">
        <f t="array" ref="E1611">_xlfn.XLOOKUP(D1611,Insumos!B:B,Insumos!C:$C)</f>
        <v/>
      </c>
      <c r="F1611" s="14">
        <f>1.5851/2</f>
        <v/>
      </c>
      <c r="G1611" s="92">
        <f t="array" ref="G1611">IF(B1611="insumo",_xlfn.XLOOKUP($D1611,Insumos!$B$1:$B$996,Insumos!$D$1:$D$996),"")</f>
        <v/>
      </c>
      <c r="H1611" s="92" t="n">
        <v>2.171587</v>
      </c>
      <c r="I1611" s="2162" t="n">
        <v>0</v>
      </c>
      <c r="J1611" s="2162" t="n">
        <v>0</v>
      </c>
      <c r="K1611" s="2162" t="n"/>
    </row>
    <row r="1612" outlineLevel="3" ht="15.75" customHeight="1">
      <c r="A1612" s="10" t="n">
        <v>97</v>
      </c>
      <c r="B1612" s="10" t="inlineStr">
        <is>
          <t>Insumo</t>
        </is>
      </c>
      <c r="C1612" s="10" t="inlineStr">
        <is>
          <t>30_DRY 48 mm - 1 PLACA - 6,05cm  -</t>
        </is>
      </c>
      <c r="D1612" s="10" t="inlineStr">
        <is>
          <t>PARAFUSO DRY WALL, EM ACO FOSFATIZADO, CABECA TROMBETA E PONTA AGULHA (TA), COMPRIMENTO 25 MM</t>
        </is>
      </c>
      <c r="E1612" s="11">
        <f t="array" ref="E1612">_xlfn.XLOOKUP(D1612,Insumos!B:B,Insumos!C:$C)</f>
        <v/>
      </c>
      <c r="F1612" s="14">
        <f>20.1868/2</f>
        <v/>
      </c>
      <c r="G1612" s="92">
        <f t="array" ref="G1612">IF(B1612="insumo",_xlfn.XLOOKUP($D1612,Insumos!$B$1:$B$996,Insumos!$D$1:$D$996),"")</f>
        <v/>
      </c>
      <c r="H1612" s="92" t="n">
        <v>0.908406</v>
      </c>
      <c r="I1612" s="2162" t="n">
        <v>0</v>
      </c>
      <c r="J1612" s="2162" t="n">
        <v>0</v>
      </c>
      <c r="K1612" s="2162" t="n"/>
    </row>
    <row r="1613" outlineLevel="3" ht="15.75" customHeight="1">
      <c r="A1613" s="10" t="n">
        <v>95</v>
      </c>
      <c r="B1613" s="10" t="inlineStr">
        <is>
          <t>Insumo</t>
        </is>
      </c>
      <c r="C1613" s="10" t="inlineStr">
        <is>
          <t>30_DRY 48 mm - 1 PLACA - 6,05cm  -</t>
        </is>
      </c>
      <c r="D1613" s="10" t="inlineStr">
        <is>
          <t>PARAFUSO DRY WALL, EM ACO ZINCADO, CABECA LENTILHA E PONTA BROCA (LB), LARGURA 4,2 MM, COMPRIMENTO 13 MM</t>
        </is>
      </c>
      <c r="E1613" s="11">
        <f t="array" ref="E1613">_xlfn.XLOOKUP(D1613,Insumos!B:B,Insumos!C:$C)</f>
        <v/>
      </c>
      <c r="F1613" s="14" t="n">
        <v>0.5441</v>
      </c>
      <c r="G1613" s="92">
        <f t="array" ref="G1613">IF(B1613="insumo",_xlfn.XLOOKUP($D1613,Insumos!$B$1:$B$996,Insumos!$D$1:$D$996),"")</f>
        <v/>
      </c>
      <c r="H1613" s="92" t="n">
        <v>0.10882</v>
      </c>
      <c r="I1613" s="2162" t="n">
        <v>0</v>
      </c>
      <c r="J1613" s="2162" t="n">
        <v>0</v>
      </c>
      <c r="K1613" s="2162" t="n"/>
    </row>
    <row r="1614" outlineLevel="2" ht="15.75" customHeight="1">
      <c r="A1614" s="1067" t="n">
        <v>1</v>
      </c>
      <c r="B1614" s="1067" t="inlineStr">
        <is>
          <t>Serviço</t>
        </is>
      </c>
      <c r="C1614" s="1067" t="inlineStr">
        <is>
          <t>34_DRY 48 mm LV - 1 PLACA - 6,05cm  -  Lado A: PLACA PERFORMANCE RU - Lado B: N/A</t>
        </is>
      </c>
      <c r="D1614" s="1067" t="inlineStr">
        <is>
          <t>34_DRY 48 mm LV - 1 PLACA - 6,05cm  -  Lado A: PLACA PERFORMANCE RU - Lado B: N/A</t>
        </is>
      </c>
      <c r="E1614" s="1068" t="inlineStr">
        <is>
          <t>M2</t>
        </is>
      </c>
      <c r="F1614" s="1067" t="n"/>
      <c r="G1614" s="1069">
        <f t="array" ref="G1614">IF(B1614="insumo",_xlfn.XLOOKUP($D1614,Insumos!$B$1:$B$996,Insumos!$D$1:$D$996),"")</f>
        <v/>
      </c>
      <c r="H1614" s="1069" t="n">
        <v>174.385711166667</v>
      </c>
      <c r="I1614" s="2161" t="n">
        <v>0</v>
      </c>
      <c r="J1614" s="2161" t="n">
        <v>0</v>
      </c>
      <c r="K1614" s="2161" t="n"/>
    </row>
    <row r="1615" outlineLevel="3" ht="15.75" customHeight="1">
      <c r="A1615" s="10" t="n">
        <v>86</v>
      </c>
      <c r="B1615" s="10" t="inlineStr">
        <is>
          <t>Insumo</t>
        </is>
      </c>
      <c r="C1615" s="10" t="inlineStr">
        <is>
          <t>34_DRY 48 mm LV - 1 PLACA - 6,05cm  -  Lado A: PLACA PERFORMANCE RU - Lado B: N/A</t>
        </is>
      </c>
      <c r="D1615" s="10" t="inlineStr">
        <is>
          <t>SERVICO - CONFECCAO SHAFT GESSO</t>
        </is>
      </c>
      <c r="E1615" s="11">
        <f t="array" ref="E1615">_xlfn.XLOOKUP(D1615,Insumos!B:B,Insumos!C:$C)</f>
        <v/>
      </c>
      <c r="F1615" s="14" t="n">
        <v>1</v>
      </c>
      <c r="G1615" s="92">
        <f t="array" ref="G1615">IF(B1615="insumo",_xlfn.XLOOKUP($D1615,Insumos!$B$1:$B$996,Insumos!$D$1:$D$996),"")</f>
        <v/>
      </c>
      <c r="H1615" s="92" t="n">
        <v>70</v>
      </c>
      <c r="I1615" s="2162" t="n">
        <v>0</v>
      </c>
      <c r="J1615" s="2162" t="n">
        <v>0</v>
      </c>
      <c r="K1615" s="2162" t="n"/>
    </row>
    <row r="1616" outlineLevel="3" ht="15.75" customHeight="1">
      <c r="A1616" s="10" t="n">
        <v>47</v>
      </c>
      <c r="B1616" s="10" t="inlineStr">
        <is>
          <t>Insumo</t>
        </is>
      </c>
      <c r="C1616" s="10" t="inlineStr">
        <is>
          <t>34_DRY 48 mm LV - 1 PLACA - 6,05cm  -  Lado A: PLACA PERFORMANCE RU - Lado B: N/A</t>
        </is>
      </c>
      <c r="D1616" s="10" t="inlineStr">
        <is>
          <t>PLACA / CHAPA DE GESSO ACARTONADO, STANDARD (ST), COR BRANCA, E = 12,5 MM, 1200 X 2400 MM (L X C)</t>
        </is>
      </c>
      <c r="E1616" s="11">
        <f t="array" ref="E1616">_xlfn.XLOOKUP(D1616,Insumos!B:B,Insumos!C:$C)</f>
        <v/>
      </c>
      <c r="F1616" s="14" t="n">
        <v>1.106</v>
      </c>
      <c r="G1616" s="92">
        <f t="array" ref="G1616">IF(B1616="insumo",_xlfn.XLOOKUP($D1616,Insumos!$B$1:$B$996,Insumos!$D$1:$D$996),"")</f>
        <v/>
      </c>
      <c r="H1616" s="92" t="n">
        <v>22.29696</v>
      </c>
      <c r="I1616" s="2162" t="n">
        <v>0</v>
      </c>
      <c r="J1616" s="2162" t="n">
        <v>0</v>
      </c>
      <c r="K1616" s="2162" t="n"/>
    </row>
    <row r="1617" outlineLevel="3" ht="15.75" customHeight="1">
      <c r="A1617" s="10" t="n">
        <v>95</v>
      </c>
      <c r="B1617" s="10" t="inlineStr">
        <is>
          <t>Insumo</t>
        </is>
      </c>
      <c r="C1617" s="10" t="inlineStr">
        <is>
          <t>34_DRY 48 mm LV - 1 PLACA - 6,05cm  -  Lado A: PLACA PERFORMANCE RU - Lado B: N/A</t>
        </is>
      </c>
      <c r="D1617" s="10" t="inlineStr">
        <is>
          <t>PINO DE ACO COM ARRUELA CONICA, DIAMETRO ARRUELA = *23* MM E COMP HASTE = *27* MM (ACAO INDIRETA)</t>
        </is>
      </c>
      <c r="E1617" s="11">
        <f t="array" ref="E1617">_xlfn.XLOOKUP(D1617,Insumos!B:B,Insumos!C:$C)</f>
        <v/>
      </c>
      <c r="F1617" s="14" t="n">
        <v>5.92</v>
      </c>
      <c r="G1617" s="92">
        <f t="array" ref="G1617">IF(B1617="insumo",_xlfn.XLOOKUP($D1617,Insumos!$B$1:$B$996,Insumos!$D$1:$D$996),"")</f>
        <v/>
      </c>
      <c r="H1617" s="92" t="n">
        <v>2.98368</v>
      </c>
      <c r="I1617" s="2162" t="n">
        <v>0</v>
      </c>
      <c r="J1617" s="2162" t="n">
        <v>0</v>
      </c>
      <c r="K1617" s="2162" t="n"/>
    </row>
    <row r="1618" outlineLevel="3" ht="15.75" customHeight="1">
      <c r="A1618" s="10" t="n">
        <v>26</v>
      </c>
      <c r="B1618" s="10" t="inlineStr">
        <is>
          <t>Insumo</t>
        </is>
      </c>
      <c r="C1618" s="10" t="inlineStr">
        <is>
          <t>34_DRY 48 mm LV - 1 PLACA - 6,05cm  -  Lado A: PLACA PERFORMANCE RU - Lado B: N/A</t>
        </is>
      </c>
      <c r="D1618" s="10" t="inlineStr">
        <is>
          <t>PERFIL GUIA, FORMATO U, EM ACO ZINCADO, PARA ESTRUTURA PAREDE DRYWALL, E = 0,5 MM, 48 X 3000 MM (L X C)</t>
        </is>
      </c>
      <c r="E1618" s="11">
        <f t="array" ref="E1618">_xlfn.XLOOKUP(D1618,Insumos!B:B,Insumos!C:$C)</f>
        <v/>
      </c>
      <c r="F1618" s="14" t="n">
        <v>1.8234</v>
      </c>
      <c r="G1618" s="92">
        <f t="array" ref="G1618">IF(B1618="insumo",_xlfn.XLOOKUP($D1618,Insumos!$B$1:$B$996,Insumos!$D$1:$D$996),"")</f>
        <v/>
      </c>
      <c r="H1618" s="92" t="n">
        <v>12.818502</v>
      </c>
      <c r="I1618" s="2162" t="n">
        <v>0</v>
      </c>
      <c r="J1618" s="2162" t="n">
        <v>0</v>
      </c>
      <c r="K1618" s="2162" t="n"/>
    </row>
    <row r="1619" outlineLevel="3" ht="15.75" customHeight="1">
      <c r="A1619" s="10" t="n">
        <v>26</v>
      </c>
      <c r="B1619" s="10" t="inlineStr">
        <is>
          <t>Insumo</t>
        </is>
      </c>
      <c r="C1619" s="10" t="inlineStr">
        <is>
          <t>34_DRY 48 mm LV - 1 PLACA - 6,05cm  -  Lado A: PLACA PERFORMANCE RU - Lado B: N/A</t>
        </is>
      </c>
      <c r="D1619" s="10" t="inlineStr">
        <is>
          <t>PERFIL MONTANTE, FORMATO C, EM ACO ZINCADO, PARA ESTRUTURA PAREDE DRYWALL, E = 0,5 MM, 48 X 3000 MM (L X C)</t>
        </is>
      </c>
      <c r="E1619" s="11">
        <f t="array" ref="E1619">_xlfn.XLOOKUP(D1619,Insumos!B:B,Insumos!C:$C)</f>
        <v/>
      </c>
      <c r="F1619" s="14" t="n">
        <v>5.8278</v>
      </c>
      <c r="G1619" s="92">
        <f t="array" ref="G1619">IF(B1619="insumo",_xlfn.XLOOKUP($D1619,Insumos!$B$1:$B$996,Insumos!$D$1:$D$996),"")</f>
        <v/>
      </c>
      <c r="H1619" s="92" t="n">
        <v>46.505844</v>
      </c>
      <c r="I1619" s="2162" t="n">
        <v>0</v>
      </c>
      <c r="J1619" s="2162" t="n">
        <v>0</v>
      </c>
      <c r="K1619" s="2162" t="n"/>
    </row>
    <row r="1620" outlineLevel="3" ht="15.75" customHeight="1">
      <c r="A1620" s="10" t="n">
        <v>95</v>
      </c>
      <c r="B1620" s="10" t="inlineStr">
        <is>
          <t>Insumo</t>
        </is>
      </c>
      <c r="C1620" s="10" t="inlineStr">
        <is>
          <t>34_DRY 48 mm LV - 1 PLACA - 6,05cm  -  Lado A: PLACA PERFORMANCE RU - Lado B: N/A</t>
        </is>
      </c>
      <c r="D1620" s="10" t="inlineStr">
        <is>
          <t>MASSA DE REJUNTE EM PO PARA DRYWALL, A BASE DE GESSO, SECAGEM RAPIDA, PARA TRATAMENTO DE JUNTAS DE CHAPA DE GESSO (NECESSITA ADICAO DE AGUA)</t>
        </is>
      </c>
      <c r="E1620" s="11">
        <f t="array" ref="E1620">_xlfn.XLOOKUP(D1620,Insumos!B:B,Insumos!C:$C)</f>
        <v/>
      </c>
      <c r="F1620" s="14">
        <f>1.0978/2</f>
        <v/>
      </c>
      <c r="G1620" s="92">
        <f t="array" ref="G1620">IF(B1620="insumo",_xlfn.XLOOKUP($D1620,Insumos!$B$1:$B$996,Insumos!$D$1:$D$996),"")</f>
        <v/>
      </c>
      <c r="H1620" s="92" t="n">
        <v>1.882727</v>
      </c>
      <c r="I1620" s="2162" t="n">
        <v>0</v>
      </c>
      <c r="J1620" s="2162" t="n">
        <v>0</v>
      </c>
      <c r="K1620" s="2162" t="n"/>
    </row>
    <row r="1621" outlineLevel="3" ht="15.75" customHeight="1">
      <c r="A1621" s="10" t="n">
        <v>94</v>
      </c>
      <c r="B1621" s="10" t="inlineStr">
        <is>
          <t>Insumo</t>
        </is>
      </c>
      <c r="C1621" s="10" t="inlineStr">
        <is>
          <t>34_DRY 48 mm LV - 1 PLACA - 6,05cm  -  Lado A: PLACA PERFORMANCE RU - Lado B: N/A</t>
        </is>
      </c>
      <c r="D1621" s="10" t="inlineStr">
        <is>
          <t>FITA DE PAPEL MICROPERFURADO, 50 X 150 MM, PARA TRATAMENTO DE JUNTAS DE CHAPA DE GESSO PARA DRYWALL</t>
        </is>
      </c>
      <c r="E1621" s="11">
        <f t="array" ref="E1621">_xlfn.XLOOKUP(D1621,Insumos!B:B,Insumos!C:$C)</f>
        <v/>
      </c>
      <c r="F1621" s="14">
        <f>2.5027/2</f>
        <v/>
      </c>
      <c r="G1621" s="92">
        <f t="array" ref="G1621">IF(B1621="insumo",_xlfn.XLOOKUP($D1621,Insumos!$B$1:$B$996,Insumos!$D$1:$D$996),"")</f>
        <v/>
      </c>
      <c r="H1621" s="92" t="n">
        <v>0.3879185</v>
      </c>
      <c r="I1621" s="2162" t="n">
        <v>0</v>
      </c>
      <c r="J1621" s="2162" t="n">
        <v>0</v>
      </c>
      <c r="K1621" s="2162" t="n"/>
    </row>
    <row r="1622" outlineLevel="3" ht="15.75" customHeight="1">
      <c r="A1622" s="10" t="n">
        <v>94</v>
      </c>
      <c r="B1622" s="10" t="inlineStr">
        <is>
          <t>Insumo</t>
        </is>
      </c>
      <c r="C1622" s="10" t="inlineStr">
        <is>
          <t>34_DRY 48 mm LV - 1 PLACA - 6,05cm  -  Lado A: PLACA PERFORMANCE RU - Lado B: N/A</t>
        </is>
      </c>
      <c r="D1622" s="10" t="inlineStr">
        <is>
          <t>FITA DE PAPEL REFORCADA COM LAMINA DE METAL PARA REFORCO DE CANTOS DE CHAPA DE GESSO PARA DRYWALL</t>
        </is>
      </c>
      <c r="E1622" s="11">
        <f t="array" ref="E1622">_xlfn.XLOOKUP(D1622,Insumos!B:B,Insumos!C:$C)</f>
        <v/>
      </c>
      <c r="F1622" s="14">
        <f>1.5851/2</f>
        <v/>
      </c>
      <c r="G1622" s="92">
        <f t="array" ref="G1622">IF(B1622="insumo",_xlfn.XLOOKUP($D1622,Insumos!$B$1:$B$996,Insumos!$D$1:$D$996),"")</f>
        <v/>
      </c>
      <c r="H1622" s="92" t="n">
        <v>2.171587</v>
      </c>
      <c r="I1622" s="2162" t="n">
        <v>0</v>
      </c>
      <c r="J1622" s="2162" t="n">
        <v>0</v>
      </c>
      <c r="K1622" s="2162" t="n"/>
    </row>
    <row r="1623" outlineLevel="3" ht="15.75" customHeight="1">
      <c r="A1623" s="10" t="n">
        <v>97</v>
      </c>
      <c r="B1623" s="10" t="inlineStr">
        <is>
          <t>Insumo</t>
        </is>
      </c>
      <c r="C1623" s="10" t="inlineStr">
        <is>
          <t>34_DRY 48 mm LV - 1 PLACA - 6,05cm  -  Lado A: PLACA PERFORMANCE RU - Lado B: N/A</t>
        </is>
      </c>
      <c r="D1623" s="10" t="inlineStr">
        <is>
          <t>PARAFUSO DRY WALL, EM ACO FOSFATIZADO, CABECA TROMBETA E PONTA AGULHA (TA), COMPRIMENTO 25 MM</t>
        </is>
      </c>
      <c r="E1623" s="11">
        <f t="array" ref="E1623">_xlfn.XLOOKUP(D1623,Insumos!B:B,Insumos!C:$C)</f>
        <v/>
      </c>
      <c r="F1623" s="14">
        <f>20.1868/2</f>
        <v/>
      </c>
      <c r="G1623" s="92">
        <f t="array" ref="G1623">IF(B1623="insumo",_xlfn.XLOOKUP($D1623,Insumos!$B$1:$B$996,Insumos!$D$1:$D$996),"")</f>
        <v/>
      </c>
      <c r="H1623" s="92" t="n">
        <v>0.908406</v>
      </c>
      <c r="I1623" s="2162" t="n">
        <v>0</v>
      </c>
      <c r="J1623" s="2162" t="n">
        <v>0</v>
      </c>
      <c r="K1623" s="2162" t="n"/>
    </row>
    <row r="1624" outlineLevel="3" ht="15.75" customHeight="1">
      <c r="A1624" s="10" t="n">
        <v>95</v>
      </c>
      <c r="B1624" s="10" t="inlineStr">
        <is>
          <t>Insumo</t>
        </is>
      </c>
      <c r="C1624" s="10" t="inlineStr">
        <is>
          <t>34_DRY 48 mm LV - 1 PLACA - 6,05cm  -  Lado A: PLACA PERFORMANCE RU - Lado B: N/A</t>
        </is>
      </c>
      <c r="D1624" s="10" t="inlineStr">
        <is>
          <t>PARAFUSO DRY WALL, EM ACO ZINCADO, CABECA LENTILHA E PONTA BROCA (LB), LARGURA 4,2 MM, COMPRIMENTO 13 MM</t>
        </is>
      </c>
      <c r="E1624" s="11">
        <f t="array" ref="E1624">_xlfn.XLOOKUP(D1624,Insumos!B:B,Insumos!C:$C)</f>
        <v/>
      </c>
      <c r="F1624" s="14" t="n">
        <v>0.5441</v>
      </c>
      <c r="G1624" s="92">
        <f t="array" ref="G1624">IF(B1624="insumo",_xlfn.XLOOKUP($D1624,Insumos!$B$1:$B$996,Insumos!$D$1:$D$996),"")</f>
        <v/>
      </c>
      <c r="H1624" s="92" t="n">
        <v>0.10882</v>
      </c>
      <c r="I1624" s="2162" t="n">
        <v>0</v>
      </c>
      <c r="J1624" s="2162" t="n">
        <v>0</v>
      </c>
      <c r="K1624" s="2162" t="n"/>
    </row>
    <row r="1625" outlineLevel="3" ht="15.75" customHeight="1">
      <c r="A1625" s="10" t="n">
        <v>35</v>
      </c>
      <c r="B1625" s="10" t="inlineStr">
        <is>
          <t>Insumo</t>
        </is>
      </c>
      <c r="C1625" s="10" t="inlineStr">
        <is>
          <t>34_DRY 48 mm LV - 1 PLACA - 6,05cm  -  Lado A: PLACA PERFORMANCE RU - Lado B: N/A</t>
        </is>
      </c>
      <c r="D1625" s="10" t="inlineStr">
        <is>
          <t>Lã de pet 50 X 1200 X 12500 MM</t>
        </is>
      </c>
      <c r="E1625" s="11">
        <f t="array" ref="E1625">_xlfn.XLOOKUP(D1625,Insumos!B:B,Insumos!C:$C)</f>
        <v/>
      </c>
      <c r="F1625" s="14" t="n">
        <v>1.1</v>
      </c>
      <c r="G1625" s="92">
        <f t="array" ref="G1625">IF(B1625="insumo",_xlfn.XLOOKUP($D1625,Insumos!$B$1:$B$996,Insumos!$D$1:$D$996),"")</f>
        <v/>
      </c>
      <c r="H1625" s="92" t="n">
        <v>14.3212666666667</v>
      </c>
      <c r="I1625" s="2162" t="n">
        <v>0</v>
      </c>
      <c r="J1625" s="2162" t="n">
        <v>0</v>
      </c>
      <c r="K1625" s="2162" t="n"/>
    </row>
    <row r="1626" outlineLevel="2" ht="15.75" customHeight="1">
      <c r="A1626" s="1067" t="n">
        <v>1</v>
      </c>
      <c r="B1626" s="1067" t="inlineStr">
        <is>
          <t>Serviço</t>
        </is>
      </c>
      <c r="C1626" s="1067" t="inlineStr">
        <is>
          <t>34_DRY 48 mm LV - 1 PLACA - 6,05cm  -  Lado A: PLACA RU - Lado B: N/A</t>
        </is>
      </c>
      <c r="D1626" s="1067" t="inlineStr">
        <is>
          <t>34_DRY 48 mm LV - 1 PLACA - 6,05cm  -  Lado A: PLACA RU - Lado B: N/A</t>
        </is>
      </c>
      <c r="E1626" s="1068" t="inlineStr">
        <is>
          <t>M2</t>
        </is>
      </c>
      <c r="F1626" s="1067" t="n"/>
      <c r="G1626" s="1069">
        <f t="array" ref="G1626">IF(B1626="insumo",_xlfn.XLOOKUP($D1626,Insumos!$B$1:$B$996,Insumos!$D$1:$D$996),"")</f>
        <v/>
      </c>
      <c r="H1626" s="1069" t="n">
        <v>182.061351166667</v>
      </c>
      <c r="I1626" s="2161" t="n">
        <v>0</v>
      </c>
      <c r="J1626" s="2161" t="n">
        <v>0</v>
      </c>
      <c r="K1626" s="2161" t="n"/>
    </row>
    <row r="1627" outlineLevel="3" ht="15.75" customHeight="1">
      <c r="A1627" s="10" t="n">
        <v>86</v>
      </c>
      <c r="B1627" s="10" t="inlineStr">
        <is>
          <t>Insumo</t>
        </is>
      </c>
      <c r="C1627" s="10" t="inlineStr">
        <is>
          <t>34_DRY 48 mm LV - 1 PLACA - 6,05cm  -  Lado A: PLACA RU - Lado B: N/A</t>
        </is>
      </c>
      <c r="D1627" s="10" t="inlineStr">
        <is>
          <t>SERVICO - CONFECCAO SHAFT GESSO</t>
        </is>
      </c>
      <c r="E1627" s="11">
        <f t="array" ref="E1627">_xlfn.XLOOKUP(D1627,Insumos!B:B,Insumos!C:$C)</f>
        <v/>
      </c>
      <c r="F1627" s="14" t="n">
        <v>1</v>
      </c>
      <c r="G1627" s="92">
        <f t="array" ref="G1627">IF(B1627="insumo",_xlfn.XLOOKUP($D1627,Insumos!$B$1:$B$996,Insumos!$D$1:$D$996),"")</f>
        <v/>
      </c>
      <c r="H1627" s="92" t="n">
        <v>70</v>
      </c>
      <c r="I1627" s="2162" t="n">
        <v>0</v>
      </c>
      <c r="J1627" s="2162" t="n">
        <v>0</v>
      </c>
      <c r="K1627" s="2162" t="n"/>
    </row>
    <row r="1628" outlineLevel="3" ht="15.75" customHeight="1">
      <c r="A1628" s="10" t="n">
        <v>49</v>
      </c>
      <c r="B1628" s="10" t="inlineStr">
        <is>
          <t>Insumo</t>
        </is>
      </c>
      <c r="C1628" s="10" t="inlineStr">
        <is>
          <t>34_DRY 48 mm LV - 1 PLACA - 6,05cm  -  Lado A: PLACA RU - Lado B: N/A</t>
        </is>
      </c>
      <c r="D1628" s="10" t="inlineStr">
        <is>
          <t>PLACA / CHAPA DE GESSO ACARTONADO, RESISTENTE A UMIDADE (RU), COR VERDE, E = 12,5 MM, 1200 X 2400 MM (L X C)</t>
        </is>
      </c>
      <c r="E1628" s="11">
        <f t="array" ref="E1628">_xlfn.XLOOKUP(D1628,Insumos!B:B,Insumos!C:$C)</f>
        <v/>
      </c>
      <c r="F1628" s="14" t="n">
        <v>1.106</v>
      </c>
      <c r="G1628" s="92">
        <f t="array" ref="G1628">IF(B1628="insumo",_xlfn.XLOOKUP($D1628,Insumos!$B$1:$B$996,Insumos!$D$1:$D$996),"")</f>
        <v/>
      </c>
      <c r="H1628" s="92" t="n">
        <v>29.9726</v>
      </c>
      <c r="I1628" s="2162" t="n">
        <v>0</v>
      </c>
      <c r="J1628" s="2162" t="n">
        <v>0</v>
      </c>
      <c r="K1628" s="2162" t="n"/>
    </row>
    <row r="1629" outlineLevel="3" ht="15.75" customHeight="1">
      <c r="A1629" s="10" t="n">
        <v>95</v>
      </c>
      <c r="B1629" s="10" t="inlineStr">
        <is>
          <t>Insumo</t>
        </is>
      </c>
      <c r="C1629" s="10" t="inlineStr">
        <is>
          <t>34_DRY 48 mm LV - 1 PLACA - 6,05cm  -  Lado A: PLACA RU - Lado B: N/A</t>
        </is>
      </c>
      <c r="D1629" s="10" t="inlineStr">
        <is>
          <t>PINO DE ACO COM ARRUELA CONICA, DIAMETRO ARRUELA = *23* MM E COMP HASTE = *27* MM (ACAO INDIRETA)</t>
        </is>
      </c>
      <c r="E1629" s="11">
        <f t="array" ref="E1629">_xlfn.XLOOKUP(D1629,Insumos!B:B,Insumos!C:$C)</f>
        <v/>
      </c>
      <c r="F1629" s="14" t="n">
        <v>5.92</v>
      </c>
      <c r="G1629" s="92">
        <f t="array" ref="G1629">IF(B1629="insumo",_xlfn.XLOOKUP($D1629,Insumos!$B$1:$B$996,Insumos!$D$1:$D$996),"")</f>
        <v/>
      </c>
      <c r="H1629" s="92" t="n">
        <v>2.98368</v>
      </c>
      <c r="I1629" s="2162" t="n">
        <v>0</v>
      </c>
      <c r="J1629" s="2162" t="n">
        <v>0</v>
      </c>
      <c r="K1629" s="2162" t="n"/>
    </row>
    <row r="1630" outlineLevel="3" ht="15.75" customHeight="1">
      <c r="A1630" s="10" t="n">
        <v>26</v>
      </c>
      <c r="B1630" s="10" t="inlineStr">
        <is>
          <t>Insumo</t>
        </is>
      </c>
      <c r="C1630" s="10" t="inlineStr">
        <is>
          <t>34_DRY 48 mm LV - 1 PLACA - 6,05cm  -  Lado A: PLACA RU - Lado B: N/A</t>
        </is>
      </c>
      <c r="D1630" s="10" t="inlineStr">
        <is>
          <t>PERFIL GUIA, FORMATO U, EM ACO ZINCADO, PARA ESTRUTURA PAREDE DRYWALL, E = 0,5 MM, 48 X 3000 MM (L X C)</t>
        </is>
      </c>
      <c r="E1630" s="11">
        <f t="array" ref="E1630">_xlfn.XLOOKUP(D1630,Insumos!B:B,Insumos!C:$C)</f>
        <v/>
      </c>
      <c r="F1630" s="14" t="n">
        <v>1.8234</v>
      </c>
      <c r="G1630" s="92">
        <f t="array" ref="G1630">IF(B1630="insumo",_xlfn.XLOOKUP($D1630,Insumos!$B$1:$B$996,Insumos!$D$1:$D$996),"")</f>
        <v/>
      </c>
      <c r="H1630" s="92" t="n">
        <v>12.818502</v>
      </c>
      <c r="I1630" s="2162" t="n">
        <v>0</v>
      </c>
      <c r="J1630" s="2162" t="n">
        <v>0</v>
      </c>
      <c r="K1630" s="2162" t="n"/>
    </row>
    <row r="1631" outlineLevel="3" ht="15.75" customHeight="1">
      <c r="A1631" s="10" t="n">
        <v>26</v>
      </c>
      <c r="B1631" s="10" t="inlineStr">
        <is>
          <t>Insumo</t>
        </is>
      </c>
      <c r="C1631" s="10" t="inlineStr">
        <is>
          <t>34_DRY 48 mm LV - 1 PLACA - 6,05cm  -  Lado A: PLACA RU - Lado B: N/A</t>
        </is>
      </c>
      <c r="D1631" s="10" t="inlineStr">
        <is>
          <t>PERFIL MONTANTE, FORMATO C, EM ACO ZINCADO, PARA ESTRUTURA PAREDE DRYWALL, E = 0,5 MM, 48 X 3000 MM (L X C)</t>
        </is>
      </c>
      <c r="E1631" s="11">
        <f t="array" ref="E1631">_xlfn.XLOOKUP(D1631,Insumos!B:B,Insumos!C:$C)</f>
        <v/>
      </c>
      <c r="F1631" s="14" t="n">
        <v>5.8278</v>
      </c>
      <c r="G1631" s="92">
        <f t="array" ref="G1631">IF(B1631="insumo",_xlfn.XLOOKUP($D1631,Insumos!$B$1:$B$996,Insumos!$D$1:$D$996),"")</f>
        <v/>
      </c>
      <c r="H1631" s="92" t="n">
        <v>46.505844</v>
      </c>
      <c r="I1631" s="2162" t="n">
        <v>0</v>
      </c>
      <c r="J1631" s="2162" t="n">
        <v>0</v>
      </c>
      <c r="K1631" s="2162" t="n"/>
    </row>
    <row r="1632" outlineLevel="3" ht="15.75" customHeight="1">
      <c r="A1632" s="10" t="n">
        <v>95</v>
      </c>
      <c r="B1632" s="10" t="inlineStr">
        <is>
          <t>Insumo</t>
        </is>
      </c>
      <c r="C1632" s="10" t="inlineStr">
        <is>
          <t>34_DRY 48 mm LV - 1 PLACA - 6,05cm  -  Lado A: PLACA RU - Lado B: N/A</t>
        </is>
      </c>
      <c r="D1632" s="10" t="inlineStr">
        <is>
          <t>MASSA DE REJUNTE EM PO PARA DRYWALL, A BASE DE GESSO, SECAGEM RAPIDA, PARA TRATAMENTO DE JUNTAS DE CHAPA DE GESSO (NECESSITA ADICAO DE AGUA)</t>
        </is>
      </c>
      <c r="E1632" s="11">
        <f t="array" ref="E1632">_xlfn.XLOOKUP(D1632,Insumos!B:B,Insumos!C:$C)</f>
        <v/>
      </c>
      <c r="F1632" s="14">
        <f>1.0978/2</f>
        <v/>
      </c>
      <c r="G1632" s="92">
        <f t="array" ref="G1632">IF(B1632="insumo",_xlfn.XLOOKUP($D1632,Insumos!$B$1:$B$996,Insumos!$D$1:$D$996),"")</f>
        <v/>
      </c>
      <c r="H1632" s="92" t="n">
        <v>1.882727</v>
      </c>
      <c r="I1632" s="2162" t="n">
        <v>0</v>
      </c>
      <c r="J1632" s="2162" t="n">
        <v>0</v>
      </c>
      <c r="K1632" s="2162" t="n"/>
    </row>
    <row r="1633" outlineLevel="3" ht="15.75" customHeight="1">
      <c r="A1633" s="10" t="n">
        <v>94</v>
      </c>
      <c r="B1633" s="10" t="inlineStr">
        <is>
          <t>Insumo</t>
        </is>
      </c>
      <c r="C1633" s="10" t="inlineStr">
        <is>
          <t>34_DRY 48 mm LV - 1 PLACA - 6,05cm  -  Lado A: PLACA RU - Lado B: N/A</t>
        </is>
      </c>
      <c r="D1633" s="10" t="inlineStr">
        <is>
          <t>FITA DE PAPEL MICROPERFURADO, 50 X 150 MM, PARA TRATAMENTO DE JUNTAS DE CHAPA DE GESSO PARA DRYWALL</t>
        </is>
      </c>
      <c r="E1633" s="11">
        <f t="array" ref="E1633">_xlfn.XLOOKUP(D1633,Insumos!B:B,Insumos!C:$C)</f>
        <v/>
      </c>
      <c r="F1633" s="14">
        <f>2.5027/2</f>
        <v/>
      </c>
      <c r="G1633" s="92">
        <f t="array" ref="G1633">IF(B1633="insumo",_xlfn.XLOOKUP($D1633,Insumos!$B$1:$B$996,Insumos!$D$1:$D$996),"")</f>
        <v/>
      </c>
      <c r="H1633" s="92" t="n">
        <v>0.3879185</v>
      </c>
      <c r="I1633" s="2162" t="n">
        <v>0</v>
      </c>
      <c r="J1633" s="2162" t="n">
        <v>0</v>
      </c>
      <c r="K1633" s="2162" t="n"/>
    </row>
    <row r="1634" outlineLevel="3" ht="15.75" customHeight="1">
      <c r="A1634" s="10" t="n">
        <v>94</v>
      </c>
      <c r="B1634" s="10" t="inlineStr">
        <is>
          <t>Insumo</t>
        </is>
      </c>
      <c r="C1634" s="10" t="inlineStr">
        <is>
          <t>34_DRY 48 mm LV - 1 PLACA - 6,05cm  -  Lado A: PLACA RU - Lado B: N/A</t>
        </is>
      </c>
      <c r="D1634" s="10" t="inlineStr">
        <is>
          <t>FITA DE PAPEL REFORCADA COM LAMINA DE METAL PARA REFORCO DE CANTOS DE CHAPA DE GESSO PARA DRYWALL</t>
        </is>
      </c>
      <c r="E1634" s="11">
        <f t="array" ref="E1634">_xlfn.XLOOKUP(D1634,Insumos!B:B,Insumos!C:$C)</f>
        <v/>
      </c>
      <c r="F1634" s="14">
        <f>1.5851/2</f>
        <v/>
      </c>
      <c r="G1634" s="92">
        <f t="array" ref="G1634">IF(B1634="insumo",_xlfn.XLOOKUP($D1634,Insumos!$B$1:$B$996,Insumos!$D$1:$D$996),"")</f>
        <v/>
      </c>
      <c r="H1634" s="92" t="n">
        <v>2.171587</v>
      </c>
      <c r="I1634" s="2162" t="n">
        <v>0</v>
      </c>
      <c r="J1634" s="2162" t="n">
        <v>0</v>
      </c>
      <c r="K1634" s="2162" t="n"/>
    </row>
    <row r="1635" outlineLevel="3" ht="15.75" customHeight="1">
      <c r="A1635" s="10" t="n">
        <v>97</v>
      </c>
      <c r="B1635" s="10" t="inlineStr">
        <is>
          <t>Insumo</t>
        </is>
      </c>
      <c r="C1635" s="10" t="inlineStr">
        <is>
          <t>34_DRY 48 mm LV - 1 PLACA - 6,05cm  -  Lado A: PLACA RU - Lado B: N/A</t>
        </is>
      </c>
      <c r="D1635" s="10" t="inlineStr">
        <is>
          <t>PARAFUSO DRY WALL, EM ACO FOSFATIZADO, CABECA TROMBETA E PONTA AGULHA (TA), COMPRIMENTO 25 MM</t>
        </is>
      </c>
      <c r="E1635" s="11">
        <f t="array" ref="E1635">_xlfn.XLOOKUP(D1635,Insumos!B:B,Insumos!C:$C)</f>
        <v/>
      </c>
      <c r="F1635" s="14">
        <f>20.1868/2</f>
        <v/>
      </c>
      <c r="G1635" s="92">
        <f t="array" ref="G1635">IF(B1635="insumo",_xlfn.XLOOKUP($D1635,Insumos!$B$1:$B$996,Insumos!$D$1:$D$996),"")</f>
        <v/>
      </c>
      <c r="H1635" s="92" t="n">
        <v>0.908406</v>
      </c>
      <c r="I1635" s="2162" t="n">
        <v>0</v>
      </c>
      <c r="J1635" s="2162" t="n">
        <v>0</v>
      </c>
      <c r="K1635" s="2162" t="n"/>
    </row>
    <row r="1636" outlineLevel="3" ht="15.75" customHeight="1">
      <c r="A1636" s="10" t="n">
        <v>95</v>
      </c>
      <c r="B1636" s="10" t="inlineStr">
        <is>
          <t>Insumo</t>
        </is>
      </c>
      <c r="C1636" s="10" t="inlineStr">
        <is>
          <t>34_DRY 48 mm LV - 1 PLACA - 6,05cm  -  Lado A: PLACA RU - Lado B: N/A</t>
        </is>
      </c>
      <c r="D1636" s="10" t="inlineStr">
        <is>
          <t>PARAFUSO DRY WALL, EM ACO ZINCADO, CABECA LENTILHA E PONTA BROCA (LB), LARGURA 4,2 MM, COMPRIMENTO 13 MM</t>
        </is>
      </c>
      <c r="E1636" s="11">
        <f t="array" ref="E1636">_xlfn.XLOOKUP(D1636,Insumos!B:B,Insumos!C:$C)</f>
        <v/>
      </c>
      <c r="F1636" s="14" t="n">
        <v>0.5441</v>
      </c>
      <c r="G1636" s="92">
        <f t="array" ref="G1636">IF(B1636="insumo",_xlfn.XLOOKUP($D1636,Insumos!$B$1:$B$996,Insumos!$D$1:$D$996),"")</f>
        <v/>
      </c>
      <c r="H1636" s="92" t="n">
        <v>0.10882</v>
      </c>
      <c r="I1636" s="2162" t="n">
        <v>0</v>
      </c>
      <c r="J1636" s="2162" t="n">
        <v>0</v>
      </c>
      <c r="K1636" s="2162" t="n"/>
    </row>
    <row r="1637" outlineLevel="3" ht="15.75" customHeight="1">
      <c r="A1637" s="10" t="n">
        <v>35</v>
      </c>
      <c r="B1637" s="10" t="inlineStr">
        <is>
          <t>Insumo</t>
        </is>
      </c>
      <c r="C1637" s="10" t="inlineStr">
        <is>
          <t>34_DRY 48 mm LV - 1 PLACA - 6,05cm  -  Lado A: PLACA RU - Lado B: N/A</t>
        </is>
      </c>
      <c r="D1637" s="10" t="inlineStr">
        <is>
          <t>Lã de pet 50 X 1200 X 12500 MM</t>
        </is>
      </c>
      <c r="E1637" s="11">
        <f t="array" ref="E1637">_xlfn.XLOOKUP(D1637,Insumos!B:B,Insumos!C:$C)</f>
        <v/>
      </c>
      <c r="F1637" s="14" t="n">
        <v>1.1</v>
      </c>
      <c r="G1637" s="92">
        <f t="array" ref="G1637">IF(B1637="insumo",_xlfn.XLOOKUP($D1637,Insumos!$B$1:$B$996,Insumos!$D$1:$D$996),"")</f>
        <v/>
      </c>
      <c r="H1637" s="92" t="n">
        <v>14.3212666666667</v>
      </c>
      <c r="I1637" s="2162" t="n">
        <v>0</v>
      </c>
      <c r="J1637" s="2162" t="n">
        <v>0</v>
      </c>
      <c r="K1637" s="2162" t="n"/>
    </row>
    <row r="1638" outlineLevel="2" ht="15.75" customHeight="1">
      <c r="A1638" s="1067" t="n">
        <v>1</v>
      </c>
      <c r="B1638" s="1067" t="inlineStr">
        <is>
          <t>Serviço</t>
        </is>
      </c>
      <c r="C1638" s="1067" t="inlineStr">
        <is>
          <t>43_DRY PEU/48 - 6.05 cm  -</t>
        </is>
      </c>
      <c r="D1638" s="1067" t="inlineStr">
        <is>
          <t>43_DRY PEU/48 - 6.05 cm  -</t>
        </is>
      </c>
      <c r="E1638" s="1068" t="inlineStr">
        <is>
          <t>M2</t>
        </is>
      </c>
      <c r="F1638" s="1067" t="n"/>
      <c r="G1638" s="1069">
        <f t="array" ref="G1638">IF(B1638="insumo",_xlfn.XLOOKUP($D1638,Insumos!$B$1:$B$996,Insumos!$D$1:$D$996),"")</f>
        <v/>
      </c>
      <c r="H1638" s="1069" t="n">
        <v>174.385711166667</v>
      </c>
      <c r="I1638" s="2161" t="n">
        <v>0</v>
      </c>
      <c r="J1638" s="2161" t="n">
        <v>0</v>
      </c>
      <c r="K1638" s="2161" t="n"/>
    </row>
    <row r="1639" outlineLevel="3" ht="15.75" customHeight="1">
      <c r="A1639" s="10" t="n">
        <v>86</v>
      </c>
      <c r="B1639" s="10" t="inlineStr">
        <is>
          <t>Insumo</t>
        </is>
      </c>
      <c r="C1639" s="10" t="inlineStr">
        <is>
          <t>43_DRY PEU/48 - 6.05 cm  -</t>
        </is>
      </c>
      <c r="D1639" s="10" t="inlineStr">
        <is>
          <t>SERVICO - CONFECCAO SHAFT GESSO</t>
        </is>
      </c>
      <c r="E1639" s="11">
        <f t="array" ref="E1639">_xlfn.XLOOKUP(D1639,Insumos!B:B,Insumos!C:$C)</f>
        <v/>
      </c>
      <c r="F1639" s="14" t="n">
        <v>1</v>
      </c>
      <c r="G1639" s="92">
        <f t="array" ref="G1639">IF(B1639="insumo",_xlfn.XLOOKUP($D1639,Insumos!$B$1:$B$996,Insumos!$D$1:$D$996),"")</f>
        <v/>
      </c>
      <c r="H1639" s="92" t="n">
        <v>70</v>
      </c>
      <c r="I1639" s="2162" t="n">
        <v>0</v>
      </c>
      <c r="J1639" s="2162" t="n">
        <v>0</v>
      </c>
      <c r="K1639" s="2162" t="n"/>
    </row>
    <row r="1640" outlineLevel="3" ht="15.75" customHeight="1">
      <c r="A1640" s="10" t="n">
        <v>47</v>
      </c>
      <c r="B1640" s="10" t="inlineStr">
        <is>
          <t>Insumo</t>
        </is>
      </c>
      <c r="C1640" s="10" t="inlineStr">
        <is>
          <t>43_DRY PEU/48 - 6.05 cm  -</t>
        </is>
      </c>
      <c r="D1640" s="10" t="inlineStr">
        <is>
          <t>PLACA / CHAPA DE GESSO ACARTONADO, STANDARD (ST), COR BRANCA, E = 12,5 MM, 1200 X 2400 MM (L X C)</t>
        </is>
      </c>
      <c r="E1640" s="11">
        <f t="array" ref="E1640">_xlfn.XLOOKUP(D1640,Insumos!B:B,Insumos!C:$C)</f>
        <v/>
      </c>
      <c r="F1640" s="14" t="n">
        <v>1.106</v>
      </c>
      <c r="G1640" s="92">
        <f t="array" ref="G1640">IF(B1640="insumo",_xlfn.XLOOKUP($D1640,Insumos!$B$1:$B$996,Insumos!$D$1:$D$996),"")</f>
        <v/>
      </c>
      <c r="H1640" s="92" t="n">
        <v>22.29696</v>
      </c>
      <c r="I1640" s="2162" t="n">
        <v>0</v>
      </c>
      <c r="J1640" s="2162" t="n">
        <v>0</v>
      </c>
      <c r="K1640" s="2162" t="n"/>
    </row>
    <row r="1641" outlineLevel="3" ht="15.75" customHeight="1">
      <c r="A1641" s="10" t="n">
        <v>95</v>
      </c>
      <c r="B1641" s="10" t="inlineStr">
        <is>
          <t>Insumo</t>
        </is>
      </c>
      <c r="C1641" s="10" t="inlineStr">
        <is>
          <t>43_DRY PEU/48 - 6.05 cm  -</t>
        </is>
      </c>
      <c r="D1641" s="10" t="inlineStr">
        <is>
          <t>PINO DE ACO COM ARRUELA CONICA, DIAMETRO ARRUELA = *23* MM E COMP HASTE = *27* MM (ACAO INDIRETA)</t>
        </is>
      </c>
      <c r="E1641" s="11">
        <f t="array" ref="E1641">_xlfn.XLOOKUP(D1641,Insumos!B:B,Insumos!C:$C)</f>
        <v/>
      </c>
      <c r="F1641" s="14" t="n">
        <v>5.92</v>
      </c>
      <c r="G1641" s="92">
        <f t="array" ref="G1641">IF(B1641="insumo",_xlfn.XLOOKUP($D1641,Insumos!$B$1:$B$996,Insumos!$D$1:$D$996),"")</f>
        <v/>
      </c>
      <c r="H1641" s="92" t="n">
        <v>2.98368</v>
      </c>
      <c r="I1641" s="2162" t="n">
        <v>0</v>
      </c>
      <c r="J1641" s="2162" t="n">
        <v>0</v>
      </c>
      <c r="K1641" s="2162" t="n"/>
    </row>
    <row r="1642" outlineLevel="3" ht="15.75" customHeight="1">
      <c r="A1642" s="10" t="n">
        <v>26</v>
      </c>
      <c r="B1642" s="10" t="inlineStr">
        <is>
          <t>Insumo</t>
        </is>
      </c>
      <c r="C1642" s="10" t="inlineStr">
        <is>
          <t>43_DRY PEU/48 - 6.05 cm  -</t>
        </is>
      </c>
      <c r="D1642" s="10" t="inlineStr">
        <is>
          <t>PERFIL GUIA, FORMATO U, EM ACO ZINCADO, PARA ESTRUTURA PAREDE DRYWALL, E = 0,5 MM, 48 X 3000 MM (L X C)</t>
        </is>
      </c>
      <c r="E1642" s="11">
        <f t="array" ref="E1642">_xlfn.XLOOKUP(D1642,Insumos!B:B,Insumos!C:$C)</f>
        <v/>
      </c>
      <c r="F1642" s="14" t="n">
        <v>1.8234</v>
      </c>
      <c r="G1642" s="92">
        <f t="array" ref="G1642">IF(B1642="insumo",_xlfn.XLOOKUP($D1642,Insumos!$B$1:$B$996,Insumos!$D$1:$D$996),"")</f>
        <v/>
      </c>
      <c r="H1642" s="92" t="n">
        <v>12.818502</v>
      </c>
      <c r="I1642" s="2162" t="n">
        <v>0</v>
      </c>
      <c r="J1642" s="2162" t="n">
        <v>0</v>
      </c>
      <c r="K1642" s="2162" t="n"/>
    </row>
    <row r="1643" outlineLevel="3" ht="15.75" customHeight="1">
      <c r="A1643" s="10" t="n">
        <v>26</v>
      </c>
      <c r="B1643" s="10" t="inlineStr">
        <is>
          <t>Insumo</t>
        </is>
      </c>
      <c r="C1643" s="10" t="inlineStr">
        <is>
          <t>43_DRY PEU/48 - 6.05 cm  -</t>
        </is>
      </c>
      <c r="D1643" s="10" t="inlineStr">
        <is>
          <t>PERFIL MONTANTE, FORMATO C, EM ACO ZINCADO, PARA ESTRUTURA PAREDE DRYWALL, E = 0,5 MM, 48 X 3000 MM (L X C)</t>
        </is>
      </c>
      <c r="E1643" s="11">
        <f t="array" ref="E1643">_xlfn.XLOOKUP(D1643,Insumos!B:B,Insumos!C:$C)</f>
        <v/>
      </c>
      <c r="F1643" s="14" t="n">
        <v>5.8278</v>
      </c>
      <c r="G1643" s="92">
        <f t="array" ref="G1643">IF(B1643="insumo",_xlfn.XLOOKUP($D1643,Insumos!$B$1:$B$996,Insumos!$D$1:$D$996),"")</f>
        <v/>
      </c>
      <c r="H1643" s="92" t="n">
        <v>46.505844</v>
      </c>
      <c r="I1643" s="2162" t="n">
        <v>0</v>
      </c>
      <c r="J1643" s="2162" t="n">
        <v>0</v>
      </c>
      <c r="K1643" s="2162" t="n"/>
    </row>
    <row r="1644" outlineLevel="3" ht="15.75" customHeight="1">
      <c r="A1644" s="10" t="n">
        <v>95</v>
      </c>
      <c r="B1644" s="10" t="inlineStr">
        <is>
          <t>Insumo</t>
        </is>
      </c>
      <c r="C1644" s="10" t="inlineStr">
        <is>
          <t>43_DRY PEU/48 - 6.05 cm  -</t>
        </is>
      </c>
      <c r="D1644" s="10" t="inlineStr">
        <is>
          <t>MASSA DE REJUNTE EM PO PARA DRYWALL, A BASE DE GESSO, SECAGEM RAPIDA, PARA TRATAMENTO DE JUNTAS DE CHAPA DE GESSO (NECESSITA ADICAO DE AGUA)</t>
        </is>
      </c>
      <c r="E1644" s="11">
        <f t="array" ref="E1644">_xlfn.XLOOKUP(D1644,Insumos!B:B,Insumos!C:$C)</f>
        <v/>
      </c>
      <c r="F1644" s="14">
        <f>1.0978/2</f>
        <v/>
      </c>
      <c r="G1644" s="92">
        <f t="array" ref="G1644">IF(B1644="insumo",_xlfn.XLOOKUP($D1644,Insumos!$B$1:$B$996,Insumos!$D$1:$D$996),"")</f>
        <v/>
      </c>
      <c r="H1644" s="92" t="n">
        <v>1.882727</v>
      </c>
      <c r="I1644" s="2162" t="n">
        <v>0</v>
      </c>
      <c r="J1644" s="2162" t="n">
        <v>0</v>
      </c>
      <c r="K1644" s="2162" t="n"/>
    </row>
    <row r="1645" outlineLevel="3" ht="15.75" customHeight="1">
      <c r="A1645" s="10" t="n">
        <v>94</v>
      </c>
      <c r="B1645" s="10" t="inlineStr">
        <is>
          <t>Insumo</t>
        </is>
      </c>
      <c r="C1645" s="10" t="inlineStr">
        <is>
          <t>43_DRY PEU/48 - 6.05 cm  -</t>
        </is>
      </c>
      <c r="D1645" s="10" t="inlineStr">
        <is>
          <t>FITA DE PAPEL MICROPERFURADO, 50 X 150 MM, PARA TRATAMENTO DE JUNTAS DE CHAPA DE GESSO PARA DRYWALL</t>
        </is>
      </c>
      <c r="E1645" s="11">
        <f t="array" ref="E1645">_xlfn.XLOOKUP(D1645,Insumos!B:B,Insumos!C:$C)</f>
        <v/>
      </c>
      <c r="F1645" s="14">
        <f>2.5027/2</f>
        <v/>
      </c>
      <c r="G1645" s="92">
        <f t="array" ref="G1645">IF(B1645="insumo",_xlfn.XLOOKUP($D1645,Insumos!$B$1:$B$996,Insumos!$D$1:$D$996),"")</f>
        <v/>
      </c>
      <c r="H1645" s="92" t="n">
        <v>0.3879185</v>
      </c>
      <c r="I1645" s="2162" t="n">
        <v>0</v>
      </c>
      <c r="J1645" s="2162" t="n">
        <v>0</v>
      </c>
      <c r="K1645" s="2162" t="n"/>
    </row>
    <row r="1646" outlineLevel="3" ht="15.75" customHeight="1">
      <c r="A1646" s="10" t="n">
        <v>94</v>
      </c>
      <c r="B1646" s="10" t="inlineStr">
        <is>
          <t>Insumo</t>
        </is>
      </c>
      <c r="C1646" s="10" t="inlineStr">
        <is>
          <t>43_DRY PEU/48 - 6.05 cm  -</t>
        </is>
      </c>
      <c r="D1646" s="10" t="inlineStr">
        <is>
          <t>FITA DE PAPEL REFORCADA COM LAMINA DE METAL PARA REFORCO DE CANTOS DE CHAPA DE GESSO PARA DRYWALL</t>
        </is>
      </c>
      <c r="E1646" s="11">
        <f t="array" ref="E1646">_xlfn.XLOOKUP(D1646,Insumos!B:B,Insumos!C:$C)</f>
        <v/>
      </c>
      <c r="F1646" s="14">
        <f>1.5851/2</f>
        <v/>
      </c>
      <c r="G1646" s="92">
        <f t="array" ref="G1646">IF(B1646="insumo",_xlfn.XLOOKUP($D1646,Insumos!$B$1:$B$996,Insumos!$D$1:$D$996),"")</f>
        <v/>
      </c>
      <c r="H1646" s="92" t="n">
        <v>2.171587</v>
      </c>
      <c r="I1646" s="2162" t="n">
        <v>0</v>
      </c>
      <c r="J1646" s="2162" t="n">
        <v>0</v>
      </c>
      <c r="K1646" s="2162" t="n"/>
    </row>
    <row r="1647" outlineLevel="3" ht="15.75" customHeight="1">
      <c r="A1647" s="10" t="n">
        <v>97</v>
      </c>
      <c r="B1647" s="10" t="inlineStr">
        <is>
          <t>Insumo</t>
        </is>
      </c>
      <c r="C1647" s="10" t="inlineStr">
        <is>
          <t>43_DRY PEU/48 - 6.05 cm  -</t>
        </is>
      </c>
      <c r="D1647" s="10" t="inlineStr">
        <is>
          <t>PARAFUSO DRY WALL, EM ACO FOSFATIZADO, CABECA TROMBETA E PONTA AGULHA (TA), COMPRIMENTO 25 MM</t>
        </is>
      </c>
      <c r="E1647" s="11">
        <f t="array" ref="E1647">_xlfn.XLOOKUP(D1647,Insumos!B:B,Insumos!C:$C)</f>
        <v/>
      </c>
      <c r="F1647" s="14">
        <f>20.1868/2</f>
        <v/>
      </c>
      <c r="G1647" s="92">
        <f t="array" ref="G1647">IF(B1647="insumo",_xlfn.XLOOKUP($D1647,Insumos!$B$1:$B$996,Insumos!$D$1:$D$996),"")</f>
        <v/>
      </c>
      <c r="H1647" s="92" t="n">
        <v>0.908406</v>
      </c>
      <c r="I1647" s="2162" t="n">
        <v>0</v>
      </c>
      <c r="J1647" s="2162" t="n">
        <v>0</v>
      </c>
      <c r="K1647" s="2162" t="n"/>
    </row>
    <row r="1648" outlineLevel="3" ht="15.75" customHeight="1">
      <c r="A1648" s="10" t="n">
        <v>95</v>
      </c>
      <c r="B1648" s="10" t="inlineStr">
        <is>
          <t>Insumo</t>
        </is>
      </c>
      <c r="C1648" s="10" t="inlineStr">
        <is>
          <t>43_DRY PEU/48 - 6.05 cm  -</t>
        </is>
      </c>
      <c r="D1648" s="10" t="inlineStr">
        <is>
          <t>PARAFUSO DRY WALL, EM ACO ZINCADO, CABECA LENTILHA E PONTA BROCA (LB), LARGURA 4,2 MM, COMPRIMENTO 13 MM</t>
        </is>
      </c>
      <c r="E1648" s="11">
        <f t="array" ref="E1648">_xlfn.XLOOKUP(D1648,Insumos!B:B,Insumos!C:$C)</f>
        <v/>
      </c>
      <c r="F1648" s="14" t="n">
        <v>0.5441</v>
      </c>
      <c r="G1648" s="92">
        <f t="array" ref="G1648">IF(B1648="insumo",_xlfn.XLOOKUP($D1648,Insumos!$B$1:$B$996,Insumos!$D$1:$D$996),"")</f>
        <v/>
      </c>
      <c r="H1648" s="92" t="n">
        <v>0.10882</v>
      </c>
      <c r="I1648" s="2162" t="n">
        <v>0</v>
      </c>
      <c r="J1648" s="2162" t="n">
        <v>0</v>
      </c>
      <c r="K1648" s="2162" t="n"/>
    </row>
    <row r="1649" outlineLevel="3" ht="15.75" customHeight="1">
      <c r="A1649" s="10" t="n">
        <v>35</v>
      </c>
      <c r="B1649" s="10" t="inlineStr">
        <is>
          <t>Insumo</t>
        </is>
      </c>
      <c r="C1649" s="10" t="inlineStr">
        <is>
          <t>43_DRY PEU/48 - 6.05 cm  -</t>
        </is>
      </c>
      <c r="D1649" s="10" t="inlineStr">
        <is>
          <t>Lã de pet 50 X 1200 X 12500 MM</t>
        </is>
      </c>
      <c r="E1649" s="11">
        <f t="array" ref="E1649">_xlfn.XLOOKUP(D1649,Insumos!B:B,Insumos!C:$C)</f>
        <v/>
      </c>
      <c r="F1649" s="14" t="n">
        <v>1.1</v>
      </c>
      <c r="G1649" s="92">
        <f t="array" ref="G1649">IF(B1649="insumo",_xlfn.XLOOKUP($D1649,Insumos!$B$1:$B$996,Insumos!$D$1:$D$996),"")</f>
        <v/>
      </c>
      <c r="H1649" s="92" t="n">
        <v>14.3212666666667</v>
      </c>
      <c r="I1649" s="2162" t="n">
        <v>0</v>
      </c>
      <c r="J1649" s="2162" t="n">
        <v>0</v>
      </c>
      <c r="K1649" s="2162" t="n"/>
    </row>
    <row r="1650" outlineLevel="2" ht="15.75" customHeight="1">
      <c r="A1650" s="1067" t="n">
        <v>1</v>
      </c>
      <c r="B1650" s="1067" t="inlineStr">
        <is>
          <t>Serviço</t>
        </is>
      </c>
      <c r="C1650" s="1067" t="inlineStr">
        <is>
          <t>Parede Com Sistema Em Chapas De Gesso Para Drywall, Uso Interno, Montante 70mm, Com Duas Face Simples Standart e isolamento com Lâ de Vidro (ST/70/ST)</t>
        </is>
      </c>
      <c r="D1650" s="1067" t="inlineStr">
        <is>
          <t>Parede Com Sistema Em Chapas De Gesso Para Drywall, Uso Interno, Montante 70mm, Com Duas Face Simples Standart e isolamento com Lâ de Vidro (ST/70/ST)</t>
        </is>
      </c>
      <c r="E1650" s="1068" t="inlineStr">
        <is>
          <t>M2</t>
        </is>
      </c>
      <c r="F1650" s="1067" t="n"/>
      <c r="G1650" s="1069">
        <f t="array" ref="G1650">IF(B1650="insumo",_xlfn.XLOOKUP($D1650,Insumos!$B$1:$B$996,Insumos!$D$1:$D$996),"")</f>
        <v/>
      </c>
      <c r="H1650" s="1069" t="n">
        <v>200.680411666667</v>
      </c>
      <c r="I1650" s="2161" t="n">
        <v>0</v>
      </c>
      <c r="J1650" s="2161" t="n">
        <v>0</v>
      </c>
      <c r="K1650" s="2161" t="n"/>
    </row>
    <row r="1651" outlineLevel="3" ht="15.75" customHeight="1">
      <c r="A1651" s="10" t="n">
        <v>86</v>
      </c>
      <c r="B1651" s="10" t="inlineStr">
        <is>
          <t>Insumo</t>
        </is>
      </c>
      <c r="C1651" s="10" t="inlineStr">
        <is>
          <t>Parede Com Sistema Em Chapas De Gesso Para Drywall, Uso Interno, Montante 70mm, Com Duas Face Simples Standart e isolamento com Lâ de Vidro (ST/70/ST)</t>
        </is>
      </c>
      <c r="D1651" s="10" t="inlineStr">
        <is>
          <t>SERVICO - CONFECCAO SHAFT GESSO</t>
        </is>
      </c>
      <c r="E1651" s="11">
        <f t="array" ref="E1651">_xlfn.XLOOKUP(D1651,Insumos!B:B,Insumos!C:$C)</f>
        <v/>
      </c>
      <c r="F1651" s="14" t="n">
        <v>1</v>
      </c>
      <c r="G1651" s="92">
        <f t="array" ref="G1651">IF(B1651="insumo",_xlfn.XLOOKUP($D1651,Insumos!$B$1:$B$996,Insumos!$D$1:$D$996),"")</f>
        <v/>
      </c>
      <c r="H1651" s="92" t="n">
        <v>70</v>
      </c>
      <c r="I1651" s="2162" t="n">
        <v>0</v>
      </c>
      <c r="J1651" s="2162" t="n">
        <v>0</v>
      </c>
      <c r="K1651" s="2162" t="n"/>
    </row>
    <row r="1652" outlineLevel="3" ht="15.75" customHeight="1">
      <c r="A1652" s="10" t="n">
        <v>47</v>
      </c>
      <c r="B1652" s="10" t="inlineStr">
        <is>
          <t>Insumo</t>
        </is>
      </c>
      <c r="C1652" s="10" t="inlineStr">
        <is>
          <t>Parede Com Sistema Em Chapas De Gesso Para Drywall, Uso Interno, Montante 70mm, Com Duas Face Simples Standart e isolamento com Lâ de Vidro (ST/70/ST)</t>
        </is>
      </c>
      <c r="D1652" s="10" t="inlineStr">
        <is>
          <t>PLACA / CHAPA DE GESSO ACARTONADO, STANDARD (ST), COR BRANCA, E = 12,5 MM, 1200 X 2400 MM (L X C)</t>
        </is>
      </c>
      <c r="E1652" s="11">
        <f t="array" ref="E1652">_xlfn.XLOOKUP(D1652,Insumos!B:B,Insumos!C:$C)</f>
        <v/>
      </c>
      <c r="F1652" s="14" t="n">
        <v>2.106</v>
      </c>
      <c r="G1652" s="92">
        <f t="array" ref="G1652">IF(B1652="insumo",_xlfn.XLOOKUP($D1652,Insumos!$B$1:$B$996,Insumos!$D$1:$D$996),"")</f>
        <v/>
      </c>
      <c r="H1652" s="92" t="n">
        <v>42.45696</v>
      </c>
      <c r="I1652" s="2162" t="n">
        <v>0</v>
      </c>
      <c r="J1652" s="2162" t="n">
        <v>0</v>
      </c>
      <c r="K1652" s="2162" t="n"/>
    </row>
    <row r="1653" outlineLevel="3" ht="15.75" customHeight="1">
      <c r="A1653" s="10" t="n">
        <v>95</v>
      </c>
      <c r="B1653" s="10" t="inlineStr">
        <is>
          <t>Insumo</t>
        </is>
      </c>
      <c r="C1653" s="10" t="inlineStr">
        <is>
          <t>Parede Com Sistema Em Chapas De Gesso Para Drywall, Uso Interno, Montante 70mm, Com Duas Face Simples Standart e isolamento com Lâ de Vidro (ST/70/ST)</t>
        </is>
      </c>
      <c r="D1653" s="10" t="inlineStr">
        <is>
          <t>PINO DE ACO COM ARRUELA CONICA, DIAMETRO ARRUELA = *23* MM E COMP HASTE = *27* MM (ACAO INDIRETA)</t>
        </is>
      </c>
      <c r="E1653" s="11">
        <f t="array" ref="E1653">_xlfn.XLOOKUP(D1653,Insumos!B:B,Insumos!C:$C)</f>
        <v/>
      </c>
      <c r="F1653" s="14" t="n">
        <v>5.92</v>
      </c>
      <c r="G1653" s="92">
        <f t="array" ref="G1653">IF(B1653="insumo",_xlfn.XLOOKUP($D1653,Insumos!$B$1:$B$996,Insumos!$D$1:$D$996),"")</f>
        <v/>
      </c>
      <c r="H1653" s="92" t="n">
        <v>2.98368</v>
      </c>
      <c r="I1653" s="2162" t="n">
        <v>0</v>
      </c>
      <c r="J1653" s="2162" t="n">
        <v>0</v>
      </c>
      <c r="K1653" s="2162" t="n"/>
    </row>
    <row r="1654" outlineLevel="3" ht="15.75" customHeight="1">
      <c r="A1654" s="10" t="n">
        <v>43</v>
      </c>
      <c r="B1654" s="10" t="inlineStr">
        <is>
          <t>Insumo</t>
        </is>
      </c>
      <c r="C1654" s="10" t="inlineStr">
        <is>
          <t>Parede Com Sistema Em Chapas De Gesso Para Drywall, Uso Interno, Montante 70mm, Com Duas Face Simples Standart e isolamento com Lâ de Vidro (ST/70/ST)</t>
        </is>
      </c>
      <c r="D1654" s="10" t="inlineStr">
        <is>
          <t>PERFIL GUIA, FORMATO U, EM ACO ZINCADO, PARA ESTRUTURA PAREDE DRYWALL, E = 0,5 MM, 70 X 3000 MM (L X C)</t>
        </is>
      </c>
      <c r="E1654" s="11">
        <f t="array" ref="E1654">_xlfn.XLOOKUP(D1654,Insumos!B:B,Insumos!C:$C)</f>
        <v/>
      </c>
      <c r="F1654" s="14" t="n">
        <v>1.8234</v>
      </c>
      <c r="G1654" s="92">
        <f t="array" ref="G1654">IF(B1654="insumo",_xlfn.XLOOKUP($D1654,Insumos!$B$1:$B$996,Insumos!$D$1:$D$996),"")</f>
        <v/>
      </c>
      <c r="H1654" s="92" t="n">
        <v>13.602564</v>
      </c>
      <c r="I1654" s="2162" t="n">
        <v>0</v>
      </c>
      <c r="J1654" s="2162" t="n">
        <v>0</v>
      </c>
      <c r="K1654" s="2162" t="n"/>
    </row>
    <row r="1655" outlineLevel="3" ht="15.75" customHeight="1">
      <c r="A1655" s="10" t="n">
        <v>43</v>
      </c>
      <c r="B1655" s="10" t="inlineStr">
        <is>
          <t>Insumo</t>
        </is>
      </c>
      <c r="C1655" s="10" t="inlineStr">
        <is>
          <t>Parede Com Sistema Em Chapas De Gesso Para Drywall, Uso Interno, Montante 70mm, Com Duas Face Simples Standart e isolamento com Lâ de Vidro (ST/70/ST)</t>
        </is>
      </c>
      <c r="D1655" s="10" t="inlineStr">
        <is>
          <t>PERFIL MONTANTE, FORMATO C, EM ACO ZINCADO, PARA ESTRUTURA PAREDE DRYWALL, E = 0,5 MM, 70 X 3000 MM (L X C)</t>
        </is>
      </c>
      <c r="E1655" s="11">
        <f t="array" ref="E1655">_xlfn.XLOOKUP(D1655,Insumos!B:B,Insumos!C:$C)</f>
        <v/>
      </c>
      <c r="F1655" s="14" t="n">
        <v>5.8278</v>
      </c>
      <c r="G1655" s="92">
        <f t="array" ref="G1655">IF(B1655="insumo",_xlfn.XLOOKUP($D1655,Insumos!$B$1:$B$996,Insumos!$D$1:$D$996),"")</f>
        <v/>
      </c>
      <c r="H1655" s="92" t="n">
        <v>46.505844</v>
      </c>
      <c r="I1655" s="2162" t="n">
        <v>0</v>
      </c>
      <c r="J1655" s="2162" t="n">
        <v>0</v>
      </c>
      <c r="K1655" s="2162" t="n"/>
    </row>
    <row r="1656" outlineLevel="3" ht="15.75" customHeight="1">
      <c r="A1656" s="10" t="n">
        <v>95</v>
      </c>
      <c r="B1656" s="10" t="inlineStr">
        <is>
          <t>Insumo</t>
        </is>
      </c>
      <c r="C1656" s="10" t="inlineStr">
        <is>
          <t>Parede Com Sistema Em Chapas De Gesso Para Drywall, Uso Interno, Montante 70mm, Com Duas Face Simples Standart e isolamento com Lâ de Vidro (ST/70/ST)</t>
        </is>
      </c>
      <c r="D1656" s="10" t="inlineStr">
        <is>
          <t>MASSA DE REJUNTE EM PO PARA DRYWALL, A BASE DE GESSO, SECAGEM RAPIDA, PARA TRATAMENTO DE JUNTAS DE CHAPA DE GESSO (NECESSITA ADICAO DE AGUA)</t>
        </is>
      </c>
      <c r="E1656" s="11">
        <f t="array" ref="E1656">_xlfn.XLOOKUP(D1656,Insumos!B:B,Insumos!C:$C)</f>
        <v/>
      </c>
      <c r="F1656" s="14" t="n">
        <v>1.0978</v>
      </c>
      <c r="G1656" s="92">
        <f t="array" ref="G1656">IF(B1656="insumo",_xlfn.XLOOKUP($D1656,Insumos!$B$1:$B$996,Insumos!$D$1:$D$996),"")</f>
        <v/>
      </c>
      <c r="H1656" s="92" t="n">
        <v>3.765454</v>
      </c>
      <c r="I1656" s="2162" t="n">
        <v>0</v>
      </c>
      <c r="J1656" s="2162" t="n">
        <v>0</v>
      </c>
      <c r="K1656" s="2162" t="n"/>
    </row>
    <row r="1657" outlineLevel="3" ht="15.75" customHeight="1">
      <c r="A1657" s="10" t="n">
        <v>94</v>
      </c>
      <c r="B1657" s="10" t="inlineStr">
        <is>
          <t>Insumo</t>
        </is>
      </c>
      <c r="C1657" s="10" t="inlineStr">
        <is>
          <t>Parede Com Sistema Em Chapas De Gesso Para Drywall, Uso Interno, Montante 70mm, Com Duas Face Simples Standart e isolamento com Lâ de Vidro (ST/70/ST)</t>
        </is>
      </c>
      <c r="D1657" s="10" t="inlineStr">
        <is>
          <t>FITA DE PAPEL MICROPERFURADO, 50 X 150 MM, PARA TRATAMENTO DE JUNTAS DE CHAPA DE GESSO PARA DRYWALL</t>
        </is>
      </c>
      <c r="E1657" s="11">
        <f t="array" ref="E1657">_xlfn.XLOOKUP(D1657,Insumos!B:B,Insumos!C:$C)</f>
        <v/>
      </c>
      <c r="F1657" s="14" t="n">
        <v>2.5027</v>
      </c>
      <c r="G1657" s="92">
        <f t="array" ref="G1657">IF(B1657="insumo",_xlfn.XLOOKUP($D1657,Insumos!$B$1:$B$996,Insumos!$D$1:$D$996),"")</f>
        <v/>
      </c>
      <c r="H1657" s="92" t="n">
        <v>0.775837</v>
      </c>
      <c r="I1657" s="2162" t="n">
        <v>0</v>
      </c>
      <c r="J1657" s="2162" t="n">
        <v>0</v>
      </c>
      <c r="K1657" s="2162" t="n"/>
    </row>
    <row r="1658" outlineLevel="3" ht="15.75" customHeight="1">
      <c r="A1658" s="10" t="n">
        <v>94</v>
      </c>
      <c r="B1658" s="10" t="inlineStr">
        <is>
          <t>Insumo</t>
        </is>
      </c>
      <c r="C1658" s="10" t="inlineStr">
        <is>
          <t>Parede Com Sistema Em Chapas De Gesso Para Drywall, Uso Interno, Montante 70mm, Com Duas Face Simples Standart e isolamento com Lâ de Vidro (ST/70/ST)</t>
        </is>
      </c>
      <c r="D1658" s="10" t="inlineStr">
        <is>
          <t>FITA DE PAPEL REFORCADA COM LAMINA DE METAL PARA REFORCO DE CANTOS DE CHAPA DE GESSO PARA DRYWALL</t>
        </is>
      </c>
      <c r="E1658" s="11">
        <f t="array" ref="E1658">_xlfn.XLOOKUP(D1658,Insumos!B:B,Insumos!C:$C)</f>
        <v/>
      </c>
      <c r="F1658" s="14" t="n">
        <v>1.5851</v>
      </c>
      <c r="G1658" s="92">
        <f t="array" ref="G1658">IF(B1658="insumo",_xlfn.XLOOKUP($D1658,Insumos!$B$1:$B$996,Insumos!$D$1:$D$996),"")</f>
        <v/>
      </c>
      <c r="H1658" s="92" t="n">
        <v>4.343174</v>
      </c>
      <c r="I1658" s="2162" t="n">
        <v>0</v>
      </c>
      <c r="J1658" s="2162" t="n">
        <v>0</v>
      </c>
      <c r="K1658" s="2162" t="n"/>
    </row>
    <row r="1659" outlineLevel="3" ht="15.75" customHeight="1">
      <c r="A1659" s="10" t="n">
        <v>97</v>
      </c>
      <c r="B1659" s="10" t="inlineStr">
        <is>
          <t>Insumo</t>
        </is>
      </c>
      <c r="C1659" s="10" t="inlineStr">
        <is>
          <t>Parede Com Sistema Em Chapas De Gesso Para Drywall, Uso Interno, Montante 70mm, Com Duas Face Simples Standart e isolamento com Lâ de Vidro (ST/70/ST)</t>
        </is>
      </c>
      <c r="D1659" s="10" t="inlineStr">
        <is>
          <t>PARAFUSO DRY WALL, EM ACO FOSFATIZADO, CABECA TROMBETA E PONTA AGULHA (TA), COMPRIMENTO 25 MM</t>
        </is>
      </c>
      <c r="E1659" s="11">
        <f t="array" ref="E1659">_xlfn.XLOOKUP(D1659,Insumos!B:B,Insumos!C:$C)</f>
        <v/>
      </c>
      <c r="F1659" s="14" t="n">
        <v>20.1868</v>
      </c>
      <c r="G1659" s="92">
        <f t="array" ref="G1659">IF(B1659="insumo",_xlfn.XLOOKUP($D1659,Insumos!$B$1:$B$996,Insumos!$D$1:$D$996),"")</f>
        <v/>
      </c>
      <c r="H1659" s="92" t="n">
        <v>1.816812</v>
      </c>
      <c r="I1659" s="2162" t="n">
        <v>0</v>
      </c>
      <c r="J1659" s="2162" t="n">
        <v>0</v>
      </c>
      <c r="K1659" s="2162" t="n"/>
    </row>
    <row r="1660" outlineLevel="3" ht="15.75" customHeight="1">
      <c r="A1660" s="10" t="n">
        <v>95</v>
      </c>
      <c r="B1660" s="10" t="inlineStr">
        <is>
          <t>Insumo</t>
        </is>
      </c>
      <c r="C1660" s="10" t="inlineStr">
        <is>
          <t>Parede Com Sistema Em Chapas De Gesso Para Drywall, Uso Interno, Montante 70mm, Com Duas Face Simples Standart e isolamento com Lâ de Vidro (ST/70/ST)</t>
        </is>
      </c>
      <c r="D1660" s="10" t="inlineStr">
        <is>
          <t>PARAFUSO DRY WALL, EM ACO ZINCADO, CABECA LENTILHA E PONTA BROCA (LB), LARGURA 4,2 MM, COMPRIMENTO 13 MM</t>
        </is>
      </c>
      <c r="E1660" s="11">
        <f t="array" ref="E1660">_xlfn.XLOOKUP(D1660,Insumos!B:B,Insumos!C:$C)</f>
        <v/>
      </c>
      <c r="F1660" s="14" t="n">
        <v>0.5441</v>
      </c>
      <c r="G1660" s="92">
        <f t="array" ref="G1660">IF(B1660="insumo",_xlfn.XLOOKUP($D1660,Insumos!$B$1:$B$996,Insumos!$D$1:$D$996),"")</f>
        <v/>
      </c>
      <c r="H1660" s="92" t="n">
        <v>0.10882</v>
      </c>
      <c r="I1660" s="2162" t="n">
        <v>0</v>
      </c>
      <c r="J1660" s="2162" t="n">
        <v>0</v>
      </c>
      <c r="K1660" s="2162" t="n"/>
    </row>
    <row r="1661" outlineLevel="3" ht="15.75" customHeight="1">
      <c r="A1661" s="10" t="n">
        <v>35</v>
      </c>
      <c r="B1661" s="10" t="inlineStr">
        <is>
          <t>Insumo</t>
        </is>
      </c>
      <c r="C1661" s="10" t="inlineStr">
        <is>
          <t>Parede Com Sistema Em Chapas De Gesso Para Drywall, Uso Interno, Montante 70mm, Com Duas Face Simples Standart e isolamento com Lâ de Vidro (ST/70/ST)</t>
        </is>
      </c>
      <c r="D1661" s="10" t="inlineStr">
        <is>
          <t>Lã de pet 50 X 1200 X 12500 MM</t>
        </is>
      </c>
      <c r="E1661" s="11">
        <f t="array" ref="E1661">_xlfn.XLOOKUP(D1661,Insumos!B:B,Insumos!C:$C)</f>
        <v/>
      </c>
      <c r="F1661" s="14" t="n">
        <v>1.1</v>
      </c>
      <c r="G1661" s="92">
        <f t="array" ref="G1661">IF(B1661="insumo",_xlfn.XLOOKUP($D1661,Insumos!$B$1:$B$996,Insumos!$D$1:$D$996),"")</f>
        <v/>
      </c>
      <c r="H1661" s="92" t="n">
        <v>14.3212666666667</v>
      </c>
      <c r="I1661" s="2162" t="n">
        <v>0</v>
      </c>
      <c r="J1661" s="2162" t="n">
        <v>0</v>
      </c>
      <c r="K1661" s="2162" t="n"/>
    </row>
    <row r="1662" outlineLevel="2" ht="15.75" customHeight="1">
      <c r="A1662" s="1067" t="n">
        <v>1</v>
      </c>
      <c r="B1662" s="1067" t="inlineStr">
        <is>
          <t>Serviço</t>
        </is>
      </c>
      <c r="C1662" s="1067" t="inlineStr">
        <is>
          <t>Parede Com Sistema Em Chapas De Gesso Para Drywall, Uso Interno, Montante 70mm, Com Uma Face Simples Resistente à Umidade e isolamento com Lâ de Vidro (RU/70)</t>
        </is>
      </c>
      <c r="D1662" s="1067" t="inlineStr">
        <is>
          <t>Parede Com Sistema Em Chapas De Gesso Para Drywall, Uso Interno, Montante 70mm, Com Uma Face Simples Resistente à Umidade e isolamento com Lâ de Vidro (RU/70)</t>
        </is>
      </c>
      <c r="E1662" s="1068" t="inlineStr">
        <is>
          <t>M2</t>
        </is>
      </c>
      <c r="F1662" s="1067" t="n"/>
      <c r="G1662" s="1069">
        <f t="array" ref="G1662">IF(B1662="insumo",_xlfn.XLOOKUP($D1662,Insumos!$B$1:$B$996,Insumos!$D$1:$D$996),"")</f>
        <v/>
      </c>
      <c r="H1662" s="1069" t="n">
        <v>181.354703166667</v>
      </c>
      <c r="I1662" s="2161" t="n">
        <v>0</v>
      </c>
      <c r="J1662" s="2161" t="n">
        <v>0</v>
      </c>
      <c r="K1662" s="2161" t="n"/>
    </row>
    <row r="1663" outlineLevel="3" ht="15.75" customHeight="1">
      <c r="A1663" s="10" t="n">
        <v>86</v>
      </c>
      <c r="B1663" s="10" t="inlineStr">
        <is>
          <t>Insumo</t>
        </is>
      </c>
      <c r="C1663" s="10" t="inlineStr">
        <is>
          <t>Parede Com Sistema Em Chapas De Gesso Para Drywall, Uso Interno, Montante 70mm, Com Uma Face Simples Resistente à Umidade e isolamento com Lâ de Vidro (RU/70)</t>
        </is>
      </c>
      <c r="D1663" s="10" t="inlineStr">
        <is>
          <t>SERVICO - CONFECCAO SHAFT GESSO</t>
        </is>
      </c>
      <c r="E1663" s="11">
        <f t="array" ref="E1663">_xlfn.XLOOKUP(D1663,Insumos!B:B,Insumos!C:$C)</f>
        <v/>
      </c>
      <c r="F1663" s="14" t="n">
        <v>1</v>
      </c>
      <c r="G1663" s="92">
        <f t="array" ref="G1663">IF(B1663="insumo",_xlfn.XLOOKUP($D1663,Insumos!$B$1:$B$996,Insumos!$D$1:$D$996),"")</f>
        <v/>
      </c>
      <c r="H1663" s="92" t="n">
        <v>70</v>
      </c>
      <c r="I1663" s="2162" t="n">
        <v>0</v>
      </c>
      <c r="J1663" s="2162" t="n">
        <v>0</v>
      </c>
      <c r="K1663" s="2162" t="n"/>
    </row>
    <row r="1664" outlineLevel="3" ht="15.75" customHeight="1">
      <c r="A1664" s="10" t="n">
        <v>49</v>
      </c>
      <c r="B1664" s="10" t="inlineStr">
        <is>
          <t>Insumo</t>
        </is>
      </c>
      <c r="C1664" s="10" t="inlineStr">
        <is>
          <t>Parede Com Sistema Em Chapas De Gesso Para Drywall, Uso Interno, Montante 70mm, Com Uma Face Simples Resistente à Umidade e isolamento com Lâ de Vidro (RU/70)</t>
        </is>
      </c>
      <c r="D1664" s="10" t="inlineStr">
        <is>
          <t>PLACA / CHAPA DE GESSO ACARTONADO, RESISTENTE A UMIDADE (RU), COR VERDE, E = 12,5 MM, 1200 X 2400 MM (L X C)</t>
        </is>
      </c>
      <c r="E1664" s="11">
        <f t="array" ref="E1664">_xlfn.XLOOKUP(D1664,Insumos!B:B,Insumos!C:$C)</f>
        <v/>
      </c>
      <c r="F1664" s="14" t="n">
        <v>1.053</v>
      </c>
      <c r="G1664" s="92">
        <f t="array" ref="G1664">IF(B1664="insumo",_xlfn.XLOOKUP($D1664,Insumos!$B$1:$B$996,Insumos!$D$1:$D$996),"")</f>
        <v/>
      </c>
      <c r="H1664" s="92" t="n">
        <v>28.5363</v>
      </c>
      <c r="I1664" s="2162" t="n">
        <v>0</v>
      </c>
      <c r="J1664" s="2162" t="n">
        <v>0</v>
      </c>
      <c r="K1664" s="2162" t="n"/>
    </row>
    <row r="1665" outlineLevel="3" ht="15.75" customHeight="1">
      <c r="A1665" s="10" t="n">
        <v>95</v>
      </c>
      <c r="B1665" s="10" t="inlineStr">
        <is>
          <t>Insumo</t>
        </is>
      </c>
      <c r="C1665" s="10" t="inlineStr">
        <is>
          <t>Parede Com Sistema Em Chapas De Gesso Para Drywall, Uso Interno, Montante 70mm, Com Uma Face Simples Resistente à Umidade e isolamento com Lâ de Vidro (RU/70)</t>
        </is>
      </c>
      <c r="D1665" s="10" t="inlineStr">
        <is>
          <t>PINO DE ACO COM ARRUELA CONICA, DIAMETRO ARRUELA = *23* MM E COMP HASTE = *27* MM (ACAO INDIRETA)</t>
        </is>
      </c>
      <c r="E1665" s="11">
        <f t="array" ref="E1665">_xlfn.XLOOKUP(D1665,Insumos!B:B,Insumos!C:$C)</f>
        <v/>
      </c>
      <c r="F1665" s="14" t="n">
        <v>5.92</v>
      </c>
      <c r="G1665" s="92">
        <f t="array" ref="G1665">IF(B1665="insumo",_xlfn.XLOOKUP($D1665,Insumos!$B$1:$B$996,Insumos!$D$1:$D$996),"")</f>
        <v/>
      </c>
      <c r="H1665" s="92" t="n">
        <v>2.98368</v>
      </c>
      <c r="I1665" s="2162" t="n">
        <v>0</v>
      </c>
      <c r="J1665" s="2162" t="n">
        <v>0</v>
      </c>
      <c r="K1665" s="2162" t="n"/>
    </row>
    <row r="1666" outlineLevel="3" ht="15.75" customHeight="1">
      <c r="A1666" s="10" t="n">
        <v>43</v>
      </c>
      <c r="B1666" s="10" t="inlineStr">
        <is>
          <t>Insumo</t>
        </is>
      </c>
      <c r="C1666" s="10" t="inlineStr">
        <is>
          <t>Parede Com Sistema Em Chapas De Gesso Para Drywall, Uso Interno, Montante 70mm, Com Uma Face Simples Resistente à Umidade e isolamento com Lâ de Vidro (RU/70)</t>
        </is>
      </c>
      <c r="D1666" s="10" t="inlineStr">
        <is>
          <t>PERFIL GUIA, FORMATO U, EM ACO ZINCADO, PARA ESTRUTURA PAREDE DRYWALL, E = 0,5 MM, 70 X 3000 MM (L X C)</t>
        </is>
      </c>
      <c r="E1666" s="11">
        <f t="array" ref="E1666">_xlfn.XLOOKUP(D1666,Insumos!B:B,Insumos!C:$C)</f>
        <v/>
      </c>
      <c r="F1666" s="14" t="n">
        <v>1.8234</v>
      </c>
      <c r="G1666" s="92">
        <f t="array" ref="G1666">IF(B1666="insumo",_xlfn.XLOOKUP($D1666,Insumos!$B$1:$B$996,Insumos!$D$1:$D$996),"")</f>
        <v/>
      </c>
      <c r="H1666" s="92" t="n">
        <v>13.602564</v>
      </c>
      <c r="I1666" s="2162" t="n">
        <v>0</v>
      </c>
      <c r="J1666" s="2162" t="n">
        <v>0</v>
      </c>
      <c r="K1666" s="2162" t="n"/>
    </row>
    <row r="1667" outlineLevel="3" ht="15.75" customHeight="1">
      <c r="A1667" s="10" t="n">
        <v>43</v>
      </c>
      <c r="B1667" s="10" t="inlineStr">
        <is>
          <t>Insumo</t>
        </is>
      </c>
      <c r="C1667" s="10" t="inlineStr">
        <is>
          <t>Parede Com Sistema Em Chapas De Gesso Para Drywall, Uso Interno, Montante 70mm, Com Uma Face Simples Resistente à Umidade e isolamento com Lâ de Vidro (RU/70)</t>
        </is>
      </c>
      <c r="D1667" s="10" t="inlineStr">
        <is>
          <t>PERFIL MONTANTE, FORMATO C, EM ACO ZINCADO, PARA ESTRUTURA PAREDE DRYWALL, E = 0,5 MM, 70 X 3000 MM (L X C)</t>
        </is>
      </c>
      <c r="E1667" s="11">
        <f t="array" ref="E1667">_xlfn.XLOOKUP(D1667,Insumos!B:B,Insumos!C:$C)</f>
        <v/>
      </c>
      <c r="F1667" s="14" t="n">
        <v>5.8278</v>
      </c>
      <c r="G1667" s="92">
        <f t="array" ref="G1667">IF(B1667="insumo",_xlfn.XLOOKUP($D1667,Insumos!$B$1:$B$996,Insumos!$D$1:$D$996),"")</f>
        <v/>
      </c>
      <c r="H1667" s="92" t="n">
        <v>46.505844</v>
      </c>
      <c r="I1667" s="2162" t="n">
        <v>0</v>
      </c>
      <c r="J1667" s="2162" t="n">
        <v>0</v>
      </c>
      <c r="K1667" s="2162" t="n"/>
    </row>
    <row r="1668" outlineLevel="3" ht="15.75" customHeight="1">
      <c r="A1668" s="10" t="n">
        <v>95</v>
      </c>
      <c r="B1668" s="10" t="inlineStr">
        <is>
          <t>Insumo</t>
        </is>
      </c>
      <c r="C1668" s="10" t="inlineStr">
        <is>
          <t>Parede Com Sistema Em Chapas De Gesso Para Drywall, Uso Interno, Montante 70mm, Com Uma Face Simples Resistente à Umidade e isolamento com Lâ de Vidro (RU/70)</t>
        </is>
      </c>
      <c r="D1668" s="10" t="inlineStr">
        <is>
          <t>MASSA DE REJUNTE EM PO PARA DRYWALL, A BASE DE GESSO, SECAGEM RAPIDA, PARA TRATAMENTO DE JUNTAS DE CHAPA DE GESSO (NECESSITA ADICAO DE AGUA)</t>
        </is>
      </c>
      <c r="E1668" s="11">
        <f t="array" ref="E1668">_xlfn.XLOOKUP(D1668,Insumos!B:B,Insumos!C:$C)</f>
        <v/>
      </c>
      <c r="F1668" s="14" t="n">
        <v>0.5489000000000001</v>
      </c>
      <c r="G1668" s="92">
        <f t="array" ref="G1668">IF(B1668="insumo",_xlfn.XLOOKUP($D1668,Insumos!$B$1:$B$996,Insumos!$D$1:$D$996),"")</f>
        <v/>
      </c>
      <c r="H1668" s="92" t="n">
        <v>1.882727</v>
      </c>
      <c r="I1668" s="2162" t="n">
        <v>0</v>
      </c>
      <c r="J1668" s="2162" t="n">
        <v>0</v>
      </c>
      <c r="K1668" s="2162" t="n"/>
    </row>
    <row r="1669" outlineLevel="3" ht="15.75" customHeight="1">
      <c r="A1669" s="10" t="n">
        <v>94</v>
      </c>
      <c r="B1669" s="10" t="inlineStr">
        <is>
          <t>Insumo</t>
        </is>
      </c>
      <c r="C1669" s="10" t="inlineStr">
        <is>
          <t>Parede Com Sistema Em Chapas De Gesso Para Drywall, Uso Interno, Montante 70mm, Com Uma Face Simples Resistente à Umidade e isolamento com Lâ de Vidro (RU/70)</t>
        </is>
      </c>
      <c r="D1669" s="10" t="inlineStr">
        <is>
          <t>FITA DE PAPEL MICROPERFURADO, 50 X 150 MM, PARA TRATAMENTO DE JUNTAS DE CHAPA DE GESSO PARA DRYWALL</t>
        </is>
      </c>
      <c r="E1669" s="11">
        <f t="array" ref="E1669">_xlfn.XLOOKUP(D1669,Insumos!B:B,Insumos!C:$C)</f>
        <v/>
      </c>
      <c r="F1669" s="14" t="n">
        <v>1.25135</v>
      </c>
      <c r="G1669" s="92">
        <f t="array" ref="G1669">IF(B1669="insumo",_xlfn.XLOOKUP($D1669,Insumos!$B$1:$B$996,Insumos!$D$1:$D$996),"")</f>
        <v/>
      </c>
      <c r="H1669" s="92" t="n">
        <v>0.3879185</v>
      </c>
      <c r="I1669" s="2162" t="n">
        <v>0</v>
      </c>
      <c r="J1669" s="2162" t="n">
        <v>0</v>
      </c>
      <c r="K1669" s="2162" t="n"/>
    </row>
    <row r="1670" outlineLevel="3" ht="15.75" customHeight="1">
      <c r="A1670" s="10" t="n">
        <v>94</v>
      </c>
      <c r="B1670" s="10" t="inlineStr">
        <is>
          <t>Insumo</t>
        </is>
      </c>
      <c r="C1670" s="10" t="inlineStr">
        <is>
          <t>Parede Com Sistema Em Chapas De Gesso Para Drywall, Uso Interno, Montante 70mm, Com Uma Face Simples Resistente à Umidade e isolamento com Lâ de Vidro (RU/70)</t>
        </is>
      </c>
      <c r="D1670" s="10" t="inlineStr">
        <is>
          <t>FITA DE PAPEL REFORCADA COM LAMINA DE METAL PARA REFORCO DE CANTOS DE CHAPA DE GESSO PARA DRYWALL</t>
        </is>
      </c>
      <c r="E1670" s="11">
        <f t="array" ref="E1670">_xlfn.XLOOKUP(D1670,Insumos!B:B,Insumos!C:$C)</f>
        <v/>
      </c>
      <c r="F1670" s="14" t="n">
        <v>0.79255</v>
      </c>
      <c r="G1670" s="92">
        <f t="array" ref="G1670">IF(B1670="insumo",_xlfn.XLOOKUP($D1670,Insumos!$B$1:$B$996,Insumos!$D$1:$D$996),"")</f>
        <v/>
      </c>
      <c r="H1670" s="92" t="n">
        <v>2.171587</v>
      </c>
      <c r="I1670" s="2162" t="n">
        <v>0</v>
      </c>
      <c r="J1670" s="2162" t="n">
        <v>0</v>
      </c>
      <c r="K1670" s="2162" t="n"/>
    </row>
    <row r="1671" outlineLevel="3" ht="15.75" customHeight="1">
      <c r="A1671" s="10" t="n">
        <v>97</v>
      </c>
      <c r="B1671" s="10" t="inlineStr">
        <is>
          <t>Insumo</t>
        </is>
      </c>
      <c r="C1671" s="10" t="inlineStr">
        <is>
          <t>Parede Com Sistema Em Chapas De Gesso Para Drywall, Uso Interno, Montante 70mm, Com Uma Face Simples Resistente à Umidade e isolamento com Lâ de Vidro (RU/70)</t>
        </is>
      </c>
      <c r="D1671" s="10" t="inlineStr">
        <is>
          <t>PARAFUSO DRY WALL, EM ACO FOSFATIZADO, CABECA TROMBETA E PONTA AGULHA (TA), COMPRIMENTO 25 MM</t>
        </is>
      </c>
      <c r="E1671" s="11">
        <f t="array" ref="E1671">_xlfn.XLOOKUP(D1671,Insumos!B:B,Insumos!C:$C)</f>
        <v/>
      </c>
      <c r="F1671" s="14" t="n">
        <v>10.0934</v>
      </c>
      <c r="G1671" s="92">
        <f t="array" ref="G1671">IF(B1671="insumo",_xlfn.XLOOKUP($D1671,Insumos!$B$1:$B$996,Insumos!$D$1:$D$996),"")</f>
        <v/>
      </c>
      <c r="H1671" s="92" t="n">
        <v>0.908406</v>
      </c>
      <c r="I1671" s="2162" t="n">
        <v>0</v>
      </c>
      <c r="J1671" s="2162" t="n">
        <v>0</v>
      </c>
      <c r="K1671" s="2162" t="n"/>
    </row>
    <row r="1672" outlineLevel="3" ht="15.75" customHeight="1">
      <c r="A1672" s="10" t="n">
        <v>95</v>
      </c>
      <c r="B1672" s="10" t="inlineStr">
        <is>
          <t>Insumo</t>
        </is>
      </c>
      <c r="C1672" s="10" t="inlineStr">
        <is>
          <t>Parede Com Sistema Em Chapas De Gesso Para Drywall, Uso Interno, Montante 70mm, Com Uma Face Simples Resistente à Umidade e isolamento com Lâ de Vidro (RU/70)</t>
        </is>
      </c>
      <c r="D1672" s="10" t="inlineStr">
        <is>
          <t>PARAFUSO DRY WALL, EM ACO ZINCADO, CABECA LENTILHA E PONTA BROCA (LB), LARGURA 4,2 MM, COMPRIMENTO 13 MM</t>
        </is>
      </c>
      <c r="E1672" s="11">
        <f t="array" ref="E1672">_xlfn.XLOOKUP(D1672,Insumos!B:B,Insumos!C:$C)</f>
        <v/>
      </c>
      <c r="F1672" s="14" t="n">
        <v>0.27205</v>
      </c>
      <c r="G1672" s="92">
        <f t="array" ref="G1672">IF(B1672="insumo",_xlfn.XLOOKUP($D1672,Insumos!$B$1:$B$996,Insumos!$D$1:$D$996),"")</f>
        <v/>
      </c>
      <c r="H1672" s="92" t="n">
        <v>0.05441</v>
      </c>
      <c r="I1672" s="2162" t="n">
        <v>0</v>
      </c>
      <c r="J1672" s="2162" t="n">
        <v>0</v>
      </c>
      <c r="K1672" s="2162" t="n"/>
    </row>
    <row r="1673" outlineLevel="3" ht="15.75" customHeight="1">
      <c r="A1673" s="10" t="n">
        <v>35</v>
      </c>
      <c r="B1673" s="10" t="inlineStr">
        <is>
          <t>Insumo</t>
        </is>
      </c>
      <c r="C1673" s="10" t="inlineStr">
        <is>
          <t>Parede Com Sistema Em Chapas De Gesso Para Drywall, Uso Interno, Montante 70mm, Com Uma Face Simples Resistente à Umidade e isolamento com Lâ de Vidro (RU/70)</t>
        </is>
      </c>
      <c r="D1673" s="10" t="inlineStr">
        <is>
          <t>Lã de pet 50 X 1200 X 12500 MM</t>
        </is>
      </c>
      <c r="E1673" s="11">
        <f t="array" ref="E1673">_xlfn.XLOOKUP(D1673,Insumos!B:B,Insumos!C:$C)</f>
        <v/>
      </c>
      <c r="F1673" s="14" t="n">
        <v>1.1</v>
      </c>
      <c r="G1673" s="92">
        <f t="array" ref="G1673">IF(B1673="insumo",_xlfn.XLOOKUP($D1673,Insumos!$B$1:$B$996,Insumos!$D$1:$D$996),"")</f>
        <v/>
      </c>
      <c r="H1673" s="92" t="n">
        <v>14.3212666666667</v>
      </c>
      <c r="I1673" s="2162" t="n">
        <v>0</v>
      </c>
      <c r="J1673" s="2162" t="n">
        <v>0</v>
      </c>
      <c r="K1673" s="2162" t="n"/>
    </row>
    <row r="1674" outlineLevel="2" ht="15.75" customHeight="1">
      <c r="A1674" s="1067" t="n">
        <v>1</v>
      </c>
      <c r="B1674" s="1067" t="inlineStr">
        <is>
          <t>Serviço</t>
        </is>
      </c>
      <c r="C1674" s="1067" t="inlineStr">
        <is>
          <t>Enchimento de parede em Chapas De Gesso Para Drywall, Uso Interno, Montante 70mm, Com Uma Face Simples Resistente à Umidade e isolamento com Lâ de Vidro (RU/70)</t>
        </is>
      </c>
      <c r="D1674" s="1067" t="inlineStr">
        <is>
          <t>Enchimento de parede em Chapas De Gesso Para Drywall, Uso Interno, Montante 70mm, Com Uma Face Simples Resistente à Umidade e isolamento com Lâ de Vidro (RU/70)</t>
        </is>
      </c>
      <c r="E1674" s="1068" t="inlineStr">
        <is>
          <t>M2</t>
        </is>
      </c>
      <c r="F1674" s="1067" t="n"/>
      <c r="G1674" s="1069">
        <f t="array" ref="G1674">IF(B1674="insumo",_xlfn.XLOOKUP($D1674,Insumos!$B$1:$B$996,Insumos!$D$1:$D$996),"")</f>
        <v/>
      </c>
      <c r="H1674" s="1069" t="n">
        <v>181.354703166667</v>
      </c>
      <c r="I1674" s="2161" t="n">
        <v>0</v>
      </c>
      <c r="J1674" s="2161" t="n">
        <v>0</v>
      </c>
      <c r="K1674" s="2161" t="n"/>
    </row>
    <row r="1675" outlineLevel="3" ht="15.75" customHeight="1">
      <c r="A1675" s="10" t="n">
        <v>86</v>
      </c>
      <c r="B1675" s="10" t="inlineStr">
        <is>
          <t>Insumo</t>
        </is>
      </c>
      <c r="C1675" s="10" t="inlineStr">
        <is>
          <t>Enchimento de parede em Chapas De Gesso Para Drywall, Uso Interno, Montante 70mm, Com Uma Face Simples Resistente à Umidade e isolamento com Lâ de Vidro (RU/70)</t>
        </is>
      </c>
      <c r="D1675" s="10" t="inlineStr">
        <is>
          <t>SERVICO - CONFECCAO SHAFT GESSO</t>
        </is>
      </c>
      <c r="E1675" s="11">
        <f t="array" ref="E1675">_xlfn.XLOOKUP(D1675,Insumos!B:B,Insumos!C:$C)</f>
        <v/>
      </c>
      <c r="F1675" s="14" t="n">
        <v>1</v>
      </c>
      <c r="G1675" s="92">
        <f t="array" ref="G1675">IF(B1675="insumo",_xlfn.XLOOKUP($D1675,Insumos!$B$1:$B$996,Insumos!$D$1:$D$996),"")</f>
        <v/>
      </c>
      <c r="H1675" s="92" t="n">
        <v>70</v>
      </c>
      <c r="I1675" s="2162" t="n">
        <v>0</v>
      </c>
      <c r="J1675" s="2162" t="n">
        <v>0</v>
      </c>
      <c r="K1675" s="2162" t="n"/>
    </row>
    <row r="1676" outlineLevel="3" ht="15.75" customHeight="1">
      <c r="A1676" s="10" t="n">
        <v>49</v>
      </c>
      <c r="B1676" s="10" t="inlineStr">
        <is>
          <t>Insumo</t>
        </is>
      </c>
      <c r="C1676" s="10" t="inlineStr">
        <is>
          <t>Enchimento de parede em Chapas De Gesso Para Drywall, Uso Interno, Montante 70mm, Com Uma Face Simples Resistente à Umidade e isolamento com Lâ de Vidro (RU/70)</t>
        </is>
      </c>
      <c r="D1676" s="10" t="inlineStr">
        <is>
          <t>PLACA / CHAPA DE GESSO ACARTONADO, RESISTENTE A UMIDADE (RU), COR VERDE, E = 12,5 MM, 1200 X 2400 MM (L X C)</t>
        </is>
      </c>
      <c r="E1676" s="11">
        <f t="array" ref="E1676">_xlfn.XLOOKUP(D1676,Insumos!B:B,Insumos!C:$C)</f>
        <v/>
      </c>
      <c r="F1676" s="14" t="n">
        <v>1.053</v>
      </c>
      <c r="G1676" s="92">
        <f t="array" ref="G1676">IF(B1676="insumo",_xlfn.XLOOKUP($D1676,Insumos!$B$1:$B$996,Insumos!$D$1:$D$996),"")</f>
        <v/>
      </c>
      <c r="H1676" s="92" t="n">
        <v>28.5363</v>
      </c>
      <c r="I1676" s="2162" t="n">
        <v>0</v>
      </c>
      <c r="J1676" s="2162" t="n">
        <v>0</v>
      </c>
      <c r="K1676" s="2162" t="n"/>
    </row>
    <row r="1677" outlineLevel="3" ht="15.75" customHeight="1">
      <c r="A1677" s="10" t="n">
        <v>95</v>
      </c>
      <c r="B1677" s="10" t="inlineStr">
        <is>
          <t>Insumo</t>
        </is>
      </c>
      <c r="C1677" s="10" t="inlineStr">
        <is>
          <t>Enchimento de parede em Chapas De Gesso Para Drywall, Uso Interno, Montante 70mm, Com Uma Face Simples Resistente à Umidade e isolamento com Lâ de Vidro (RU/70)</t>
        </is>
      </c>
      <c r="D1677" s="10" t="inlineStr">
        <is>
          <t>PINO DE ACO COM ARRUELA CONICA, DIAMETRO ARRUELA = *23* MM E COMP HASTE = *27* MM (ACAO INDIRETA)</t>
        </is>
      </c>
      <c r="E1677" s="11">
        <f t="array" ref="E1677">_xlfn.XLOOKUP(D1677,Insumos!B:B,Insumos!C:$C)</f>
        <v/>
      </c>
      <c r="F1677" s="14" t="n">
        <v>5.92</v>
      </c>
      <c r="G1677" s="92">
        <f t="array" ref="G1677">IF(B1677="insumo",_xlfn.XLOOKUP($D1677,Insumos!$B$1:$B$996,Insumos!$D$1:$D$996),"")</f>
        <v/>
      </c>
      <c r="H1677" s="92" t="n">
        <v>2.98368</v>
      </c>
      <c r="I1677" s="2162" t="n">
        <v>0</v>
      </c>
      <c r="J1677" s="2162" t="n">
        <v>0</v>
      </c>
      <c r="K1677" s="2162" t="n"/>
    </row>
    <row r="1678" outlineLevel="3" ht="15.75" customHeight="1">
      <c r="A1678" s="10" t="n">
        <v>43</v>
      </c>
      <c r="B1678" s="10" t="inlineStr">
        <is>
          <t>Insumo</t>
        </is>
      </c>
      <c r="C1678" s="10" t="inlineStr">
        <is>
          <t>Enchimento de parede em Chapas De Gesso Para Drywall, Uso Interno, Montante 70mm, Com Uma Face Simples Resistente à Umidade e isolamento com Lâ de Vidro (RU/70)</t>
        </is>
      </c>
      <c r="D1678" s="10" t="inlineStr">
        <is>
          <t>PERFIL GUIA, FORMATO U, EM ACO ZINCADO, PARA ESTRUTURA PAREDE DRYWALL, E = 0,5 MM, 70 X 3000 MM (L X C)</t>
        </is>
      </c>
      <c r="E1678" s="11">
        <f t="array" ref="E1678">_xlfn.XLOOKUP(D1678,Insumos!B:B,Insumos!C:$C)</f>
        <v/>
      </c>
      <c r="F1678" s="14" t="n">
        <v>1.8234</v>
      </c>
      <c r="G1678" s="92">
        <f t="array" ref="G1678">IF(B1678="insumo",_xlfn.XLOOKUP($D1678,Insumos!$B$1:$B$996,Insumos!$D$1:$D$996),"")</f>
        <v/>
      </c>
      <c r="H1678" s="92" t="n">
        <v>13.602564</v>
      </c>
      <c r="I1678" s="2162" t="n">
        <v>0</v>
      </c>
      <c r="J1678" s="2162" t="n">
        <v>0</v>
      </c>
      <c r="K1678" s="2162" t="n"/>
    </row>
    <row r="1679" outlineLevel="3" ht="15.75" customHeight="1">
      <c r="A1679" s="10" t="n">
        <v>43</v>
      </c>
      <c r="B1679" s="10" t="inlineStr">
        <is>
          <t>Insumo</t>
        </is>
      </c>
      <c r="C1679" s="10" t="inlineStr">
        <is>
          <t>Enchimento de parede em Chapas De Gesso Para Drywall, Uso Interno, Montante 70mm, Com Uma Face Simples Resistente à Umidade e isolamento com Lâ de Vidro (RU/70)</t>
        </is>
      </c>
      <c r="D1679" s="10" t="inlineStr">
        <is>
          <t>PERFIL MONTANTE, FORMATO C, EM ACO ZINCADO, PARA ESTRUTURA PAREDE DRYWALL, E = 0,5 MM, 70 X 3000 MM (L X C)</t>
        </is>
      </c>
      <c r="E1679" s="11">
        <f t="array" ref="E1679">_xlfn.XLOOKUP(D1679,Insumos!B:B,Insumos!C:$C)</f>
        <v/>
      </c>
      <c r="F1679" s="14" t="n">
        <v>5.8278</v>
      </c>
      <c r="G1679" s="92">
        <f t="array" ref="G1679">IF(B1679="insumo",_xlfn.XLOOKUP($D1679,Insumos!$B$1:$B$996,Insumos!$D$1:$D$996),"")</f>
        <v/>
      </c>
      <c r="H1679" s="92" t="n">
        <v>46.505844</v>
      </c>
      <c r="I1679" s="2162" t="n">
        <v>0</v>
      </c>
      <c r="J1679" s="2162" t="n">
        <v>0</v>
      </c>
      <c r="K1679" s="2162" t="n"/>
    </row>
    <row r="1680" outlineLevel="3" ht="15.75" customHeight="1">
      <c r="A1680" s="10" t="n">
        <v>95</v>
      </c>
      <c r="B1680" s="10" t="inlineStr">
        <is>
          <t>Insumo</t>
        </is>
      </c>
      <c r="C1680" s="10" t="inlineStr">
        <is>
          <t>Enchimento de parede em Chapas De Gesso Para Drywall, Uso Interno, Montante 70mm, Com Uma Face Simples Resistente à Umidade e isolamento com Lâ de Vidro (RU/70)</t>
        </is>
      </c>
      <c r="D1680" s="10" t="inlineStr">
        <is>
          <t>MASSA DE REJUNTE EM PO PARA DRYWALL, A BASE DE GESSO, SECAGEM RAPIDA, PARA TRATAMENTO DE JUNTAS DE CHAPA DE GESSO (NECESSITA ADICAO DE AGUA)</t>
        </is>
      </c>
      <c r="E1680" s="11">
        <f t="array" ref="E1680">_xlfn.XLOOKUP(D1680,Insumos!B:B,Insumos!C:$C)</f>
        <v/>
      </c>
      <c r="F1680" s="14" t="n">
        <v>0.5489000000000001</v>
      </c>
      <c r="G1680" s="92">
        <f t="array" ref="G1680">IF(B1680="insumo",_xlfn.XLOOKUP($D1680,Insumos!$B$1:$B$996,Insumos!$D$1:$D$996),"")</f>
        <v/>
      </c>
      <c r="H1680" s="92" t="n">
        <v>1.882727</v>
      </c>
      <c r="I1680" s="2162" t="n">
        <v>0</v>
      </c>
      <c r="J1680" s="2162" t="n">
        <v>0</v>
      </c>
      <c r="K1680" s="2162" t="n"/>
    </row>
    <row r="1681" outlineLevel="3" ht="15.75" customHeight="1">
      <c r="A1681" s="10" t="n">
        <v>94</v>
      </c>
      <c r="B1681" s="10" t="inlineStr">
        <is>
          <t>Insumo</t>
        </is>
      </c>
      <c r="C1681" s="10" t="inlineStr">
        <is>
          <t>Enchimento de parede em Chapas De Gesso Para Drywall, Uso Interno, Montante 70mm, Com Uma Face Simples Resistente à Umidade e isolamento com Lâ de Vidro (RU/70)</t>
        </is>
      </c>
      <c r="D1681" s="10" t="inlineStr">
        <is>
          <t>FITA DE PAPEL MICROPERFURADO, 50 X 150 MM, PARA TRATAMENTO DE JUNTAS DE CHAPA DE GESSO PARA DRYWALL</t>
        </is>
      </c>
      <c r="E1681" s="11">
        <f t="array" ref="E1681">_xlfn.XLOOKUP(D1681,Insumos!B:B,Insumos!C:$C)</f>
        <v/>
      </c>
      <c r="F1681" s="14" t="n">
        <v>1.25135</v>
      </c>
      <c r="G1681" s="92">
        <f t="array" ref="G1681">IF(B1681="insumo",_xlfn.XLOOKUP($D1681,Insumos!$B$1:$B$996,Insumos!$D$1:$D$996),"")</f>
        <v/>
      </c>
      <c r="H1681" s="92" t="n">
        <v>0.3879185</v>
      </c>
      <c r="I1681" s="2162" t="n">
        <v>0</v>
      </c>
      <c r="J1681" s="2162" t="n">
        <v>0</v>
      </c>
      <c r="K1681" s="2162" t="n"/>
    </row>
    <row r="1682" outlineLevel="3" ht="15.75" customHeight="1">
      <c r="A1682" s="10" t="n">
        <v>94</v>
      </c>
      <c r="B1682" s="10" t="inlineStr">
        <is>
          <t>Insumo</t>
        </is>
      </c>
      <c r="C1682" s="10" t="inlineStr">
        <is>
          <t>Enchimento de parede em Chapas De Gesso Para Drywall, Uso Interno, Montante 70mm, Com Uma Face Simples Resistente à Umidade e isolamento com Lâ de Vidro (RU/70)</t>
        </is>
      </c>
      <c r="D1682" s="10" t="inlineStr">
        <is>
          <t>FITA DE PAPEL REFORCADA COM LAMINA DE METAL PARA REFORCO DE CANTOS DE CHAPA DE GESSO PARA DRYWALL</t>
        </is>
      </c>
      <c r="E1682" s="11">
        <f t="array" ref="E1682">_xlfn.XLOOKUP(D1682,Insumos!B:B,Insumos!C:$C)</f>
        <v/>
      </c>
      <c r="F1682" s="14" t="n">
        <v>0.79255</v>
      </c>
      <c r="G1682" s="92">
        <f t="array" ref="G1682">IF(B1682="insumo",_xlfn.XLOOKUP($D1682,Insumos!$B$1:$B$996,Insumos!$D$1:$D$996),"")</f>
        <v/>
      </c>
      <c r="H1682" s="92" t="n">
        <v>2.171587</v>
      </c>
      <c r="I1682" s="2162" t="n">
        <v>0</v>
      </c>
      <c r="J1682" s="2162" t="n">
        <v>0</v>
      </c>
      <c r="K1682" s="2162" t="n"/>
    </row>
    <row r="1683" outlineLevel="3" ht="15.75" customHeight="1">
      <c r="A1683" s="10" t="n">
        <v>97</v>
      </c>
      <c r="B1683" s="10" t="inlineStr">
        <is>
          <t>Insumo</t>
        </is>
      </c>
      <c r="C1683" s="10" t="inlineStr">
        <is>
          <t>Enchimento de parede em Chapas De Gesso Para Drywall, Uso Interno, Montante 70mm, Com Uma Face Simples Resistente à Umidade e isolamento com Lâ de Vidro (RU/70)</t>
        </is>
      </c>
      <c r="D1683" s="10" t="inlineStr">
        <is>
          <t>PARAFUSO DRY WALL, EM ACO FOSFATIZADO, CABECA TROMBETA E PONTA AGULHA (TA), COMPRIMENTO 25 MM</t>
        </is>
      </c>
      <c r="E1683" s="11">
        <f t="array" ref="E1683">_xlfn.XLOOKUP(D1683,Insumos!B:B,Insumos!C:$C)</f>
        <v/>
      </c>
      <c r="F1683" s="14" t="n">
        <v>10.0934</v>
      </c>
      <c r="G1683" s="92">
        <f t="array" ref="G1683">IF(B1683="insumo",_xlfn.XLOOKUP($D1683,Insumos!$B$1:$B$996,Insumos!$D$1:$D$996),"")</f>
        <v/>
      </c>
      <c r="H1683" s="92" t="n">
        <v>0.908406</v>
      </c>
      <c r="I1683" s="2162" t="n">
        <v>0</v>
      </c>
      <c r="J1683" s="2162" t="n">
        <v>0</v>
      </c>
      <c r="K1683" s="2162" t="n"/>
    </row>
    <row r="1684" outlineLevel="3" ht="15.75" customHeight="1">
      <c r="A1684" s="10" t="n">
        <v>95</v>
      </c>
      <c r="B1684" s="10" t="inlineStr">
        <is>
          <t>Insumo</t>
        </is>
      </c>
      <c r="C1684" s="10" t="inlineStr">
        <is>
          <t>Enchimento de parede em Chapas De Gesso Para Drywall, Uso Interno, Montante 70mm, Com Uma Face Simples Resistente à Umidade e isolamento com Lâ de Vidro (RU/70)</t>
        </is>
      </c>
      <c r="D1684" s="10" t="inlineStr">
        <is>
          <t>PARAFUSO DRY WALL, EM ACO ZINCADO, CABECA LENTILHA E PONTA BROCA (LB), LARGURA 4,2 MM, COMPRIMENTO 13 MM</t>
        </is>
      </c>
      <c r="E1684" s="11">
        <f t="array" ref="E1684">_xlfn.XLOOKUP(D1684,Insumos!B:B,Insumos!C:$C)</f>
        <v/>
      </c>
      <c r="F1684" s="14" t="n">
        <v>0.27205</v>
      </c>
      <c r="G1684" s="92">
        <f t="array" ref="G1684">IF(B1684="insumo",_xlfn.XLOOKUP($D1684,Insumos!$B$1:$B$996,Insumos!$D$1:$D$996),"")</f>
        <v/>
      </c>
      <c r="H1684" s="92" t="n">
        <v>0.05441</v>
      </c>
      <c r="I1684" s="2162" t="n">
        <v>0</v>
      </c>
      <c r="J1684" s="2162" t="n">
        <v>0</v>
      </c>
      <c r="K1684" s="2162" t="n"/>
    </row>
    <row r="1685" outlineLevel="3" ht="15.75" customHeight="1">
      <c r="A1685" s="10" t="n">
        <v>35</v>
      </c>
      <c r="B1685" s="10" t="inlineStr">
        <is>
          <t>Insumo</t>
        </is>
      </c>
      <c r="C1685" s="10" t="inlineStr">
        <is>
          <t>Enchimento de parede em Chapas De Gesso Para Drywall, Uso Interno, Montante 70mm, Com Uma Face Simples Resistente à Umidade e isolamento com Lâ de Vidro (RU/70)</t>
        </is>
      </c>
      <c r="D1685" s="10" t="inlineStr">
        <is>
          <t>Lã de pet 50 X 1200 X 12500 MM</t>
        </is>
      </c>
      <c r="E1685" s="11">
        <f t="array" ref="E1685">_xlfn.XLOOKUP(D1685,Insumos!B:B,Insumos!C:$C)</f>
        <v/>
      </c>
      <c r="F1685" s="14" t="n">
        <v>1.1</v>
      </c>
      <c r="G1685" s="92">
        <f t="array" ref="G1685">IF(B1685="insumo",_xlfn.XLOOKUP($D1685,Insumos!$B$1:$B$996,Insumos!$D$1:$D$996),"")</f>
        <v/>
      </c>
      <c r="H1685" s="92" t="n">
        <v>14.3212666666667</v>
      </c>
      <c r="I1685" s="2162" t="n">
        <v>0</v>
      </c>
      <c r="J1685" s="2162" t="n">
        <v>0</v>
      </c>
      <c r="K1685" s="2162" t="n"/>
    </row>
    <row r="1686" outlineLevel="2" ht="15.75" customHeight="1">
      <c r="A1686" s="1067" t="n">
        <v>1</v>
      </c>
      <c r="B1686" s="1067" t="inlineStr">
        <is>
          <t>Serviço</t>
        </is>
      </c>
      <c r="C1686" s="1067" t="inlineStr">
        <is>
          <t>Enchimento de parede em Chapas De Gesso Para Drywall, Uso Interno, Montante 70mm, Com Uma Face SimplesStandart e isolamento com Lâ de Vidro (ST/70/ST)</t>
        </is>
      </c>
      <c r="D1686" s="1067" t="inlineStr">
        <is>
          <t>Enchimento de parede em Chapas De Gesso Para Drywall, Uso Interno, Montante 70mm, Com Uma Face SimplesStandart e isolamento com Lâ de Vidro (ST/70/ST)</t>
        </is>
      </c>
      <c r="E1686" s="1068" t="inlineStr">
        <is>
          <t>M2</t>
        </is>
      </c>
      <c r="F1686" s="1067" t="n"/>
      <c r="G1686" s="1069">
        <f t="array" ref="G1686">IF(B1686="insumo",_xlfn.XLOOKUP($D1686,Insumos!$B$1:$B$996,Insumos!$D$1:$D$996),"")</f>
        <v/>
      </c>
      <c r="H1686" s="1069" t="n">
        <v>200.680411666667</v>
      </c>
      <c r="I1686" s="2161" t="n">
        <v>0</v>
      </c>
      <c r="J1686" s="2161" t="n">
        <v>0</v>
      </c>
      <c r="K1686" s="2161" t="n"/>
    </row>
    <row r="1687" outlineLevel="3" ht="15.75" customHeight="1">
      <c r="A1687" s="10" t="n">
        <v>86</v>
      </c>
      <c r="B1687" s="10" t="inlineStr">
        <is>
          <t>Insumo</t>
        </is>
      </c>
      <c r="C1687" s="10" t="inlineStr">
        <is>
          <t>Enchimento de parede em Chapas De Gesso Para Drywall, Uso Interno, Montante 70mm, Com Uma Face SimplesStandart e isolamento com Lâ de Vidro (ST/70/ST)</t>
        </is>
      </c>
      <c r="D1687" s="10" t="inlineStr">
        <is>
          <t>SERVICO - CONFECCAO SHAFT GESSO</t>
        </is>
      </c>
      <c r="E1687" s="11">
        <f t="array" ref="E1687">_xlfn.XLOOKUP(D1687,Insumos!B:B,Insumos!C:$C)</f>
        <v/>
      </c>
      <c r="F1687" s="14" t="n">
        <v>1</v>
      </c>
      <c r="G1687" s="92">
        <f t="array" ref="G1687">IF(B1687="insumo",_xlfn.XLOOKUP($D1687,Insumos!$B$1:$B$996,Insumos!$D$1:$D$996),"")</f>
        <v/>
      </c>
      <c r="H1687" s="92" t="n">
        <v>70</v>
      </c>
      <c r="I1687" s="2162" t="n">
        <v>0</v>
      </c>
      <c r="J1687" s="2162" t="n">
        <v>0</v>
      </c>
      <c r="K1687" s="2162" t="n"/>
    </row>
    <row r="1688" outlineLevel="3" ht="15.75" customHeight="1">
      <c r="A1688" s="10" t="n">
        <v>47</v>
      </c>
      <c r="B1688" s="10" t="inlineStr">
        <is>
          <t>Insumo</t>
        </is>
      </c>
      <c r="C1688" s="10" t="inlineStr">
        <is>
          <t>Enchimento de parede em Chapas De Gesso Para Drywall, Uso Interno, Montante 70mm, Com Uma Face SimplesStandart e isolamento com Lâ de Vidro (ST/70/ST)</t>
        </is>
      </c>
      <c r="D1688" s="10" t="inlineStr">
        <is>
          <t>PLACA / CHAPA DE GESSO ACARTONADO, STANDARD (ST), COR BRANCA, E = 12,5 MM, 1200 X 2400 MM (L X C)</t>
        </is>
      </c>
      <c r="E1688" s="11">
        <f t="array" ref="E1688">_xlfn.XLOOKUP(D1688,Insumos!B:B,Insumos!C:$C)</f>
        <v/>
      </c>
      <c r="F1688" s="14" t="n">
        <v>2.106</v>
      </c>
      <c r="G1688" s="92">
        <f t="array" ref="G1688">IF(B1688="insumo",_xlfn.XLOOKUP($D1688,Insumos!$B$1:$B$996,Insumos!$D$1:$D$996),"")</f>
        <v/>
      </c>
      <c r="H1688" s="92" t="n">
        <v>42.45696</v>
      </c>
      <c r="I1688" s="2162" t="n">
        <v>0</v>
      </c>
      <c r="J1688" s="2162" t="n">
        <v>0</v>
      </c>
      <c r="K1688" s="2162" t="n"/>
    </row>
    <row r="1689" outlineLevel="3" ht="15.75" customHeight="1">
      <c r="A1689" s="10" t="n">
        <v>95</v>
      </c>
      <c r="B1689" s="10" t="inlineStr">
        <is>
          <t>Insumo</t>
        </is>
      </c>
      <c r="C1689" s="10" t="inlineStr">
        <is>
          <t>Enchimento de parede em Chapas De Gesso Para Drywall, Uso Interno, Montante 70mm, Com Uma Face SimplesStandart e isolamento com Lâ de Vidro (ST/70/ST)</t>
        </is>
      </c>
      <c r="D1689" s="10" t="inlineStr">
        <is>
          <t>PINO DE ACO COM ARRUELA CONICA, DIAMETRO ARRUELA = *23* MM E COMP HASTE = *27* MM (ACAO INDIRETA)</t>
        </is>
      </c>
      <c r="E1689" s="11">
        <f t="array" ref="E1689">_xlfn.XLOOKUP(D1689,Insumos!B:B,Insumos!C:$C)</f>
        <v/>
      </c>
      <c r="F1689" s="14" t="n">
        <v>5.92</v>
      </c>
      <c r="G1689" s="92">
        <f t="array" ref="G1689">IF(B1689="insumo",_xlfn.XLOOKUP($D1689,Insumos!$B$1:$B$996,Insumos!$D$1:$D$996),"")</f>
        <v/>
      </c>
      <c r="H1689" s="92" t="n">
        <v>2.98368</v>
      </c>
      <c r="I1689" s="2162" t="n">
        <v>0</v>
      </c>
      <c r="J1689" s="2162" t="n">
        <v>0</v>
      </c>
      <c r="K1689" s="2162" t="n"/>
    </row>
    <row r="1690" outlineLevel="3" ht="15.75" customHeight="1">
      <c r="A1690" s="10" t="n">
        <v>43</v>
      </c>
      <c r="B1690" s="10" t="inlineStr">
        <is>
          <t>Insumo</t>
        </is>
      </c>
      <c r="C1690" s="10" t="inlineStr">
        <is>
          <t>Enchimento de parede em Chapas De Gesso Para Drywall, Uso Interno, Montante 70mm, Com Uma Face SimplesStandart e isolamento com Lâ de Vidro (ST/70/ST)</t>
        </is>
      </c>
      <c r="D1690" s="10" t="inlineStr">
        <is>
          <t>PERFIL GUIA, FORMATO U, EM ACO ZINCADO, PARA ESTRUTURA PAREDE DRYWALL, E = 0,5 MM, 70 X 3000 MM (L X C)</t>
        </is>
      </c>
      <c r="E1690" s="11">
        <f t="array" ref="E1690">_xlfn.XLOOKUP(D1690,Insumos!B:B,Insumos!C:$C)</f>
        <v/>
      </c>
      <c r="F1690" s="14" t="n">
        <v>1.8234</v>
      </c>
      <c r="G1690" s="92">
        <f t="array" ref="G1690">IF(B1690="insumo",_xlfn.XLOOKUP($D1690,Insumos!$B$1:$B$996,Insumos!$D$1:$D$996),"")</f>
        <v/>
      </c>
      <c r="H1690" s="92" t="n">
        <v>13.602564</v>
      </c>
      <c r="I1690" s="2162" t="n">
        <v>0</v>
      </c>
      <c r="J1690" s="2162" t="n">
        <v>0</v>
      </c>
      <c r="K1690" s="2162" t="n"/>
    </row>
    <row r="1691" outlineLevel="3" ht="15.75" customHeight="1">
      <c r="A1691" s="10" t="n">
        <v>43</v>
      </c>
      <c r="B1691" s="10" t="inlineStr">
        <is>
          <t>Insumo</t>
        </is>
      </c>
      <c r="C1691" s="10" t="inlineStr">
        <is>
          <t>Enchimento de parede em Chapas De Gesso Para Drywall, Uso Interno, Montante 70mm, Com Uma Face SimplesStandart e isolamento com Lâ de Vidro (ST/70/ST)</t>
        </is>
      </c>
      <c r="D1691" s="10" t="inlineStr">
        <is>
          <t>PERFIL MONTANTE, FORMATO C, EM ACO ZINCADO, PARA ESTRUTURA PAREDE DRYWALL, E = 0,5 MM, 70 X 3000 MM (L X C)</t>
        </is>
      </c>
      <c r="E1691" s="11">
        <f t="array" ref="E1691">_xlfn.XLOOKUP(D1691,Insumos!B:B,Insumos!C:$C)</f>
        <v/>
      </c>
      <c r="F1691" s="14" t="n">
        <v>5.8278</v>
      </c>
      <c r="G1691" s="92">
        <f t="array" ref="G1691">IF(B1691="insumo",_xlfn.XLOOKUP($D1691,Insumos!$B$1:$B$996,Insumos!$D$1:$D$996),"")</f>
        <v/>
      </c>
      <c r="H1691" s="92" t="n">
        <v>46.505844</v>
      </c>
      <c r="I1691" s="2162" t="n">
        <v>0</v>
      </c>
      <c r="J1691" s="2162" t="n">
        <v>0</v>
      </c>
      <c r="K1691" s="2162" t="n"/>
    </row>
    <row r="1692" outlineLevel="3" ht="15.75" customHeight="1">
      <c r="A1692" s="10" t="n">
        <v>95</v>
      </c>
      <c r="B1692" s="10" t="inlineStr">
        <is>
          <t>Insumo</t>
        </is>
      </c>
      <c r="C1692" s="10" t="inlineStr">
        <is>
          <t>Enchimento de parede em Chapas De Gesso Para Drywall, Uso Interno, Montante 70mm, Com Uma Face SimplesStandart e isolamento com Lâ de Vidro (ST/70/ST)</t>
        </is>
      </c>
      <c r="D1692" s="10" t="inlineStr">
        <is>
          <t>MASSA DE REJUNTE EM PO PARA DRYWALL, A BASE DE GESSO, SECAGEM RAPIDA, PARA TRATAMENTO DE JUNTAS DE CHAPA DE GESSO (NECESSITA ADICAO DE AGUA)</t>
        </is>
      </c>
      <c r="E1692" s="11">
        <f t="array" ref="E1692">_xlfn.XLOOKUP(D1692,Insumos!B:B,Insumos!C:$C)</f>
        <v/>
      </c>
      <c r="F1692" s="14" t="n">
        <v>1.0978</v>
      </c>
      <c r="G1692" s="92">
        <f t="array" ref="G1692">IF(B1692="insumo",_xlfn.XLOOKUP($D1692,Insumos!$B$1:$B$996,Insumos!$D$1:$D$996),"")</f>
        <v/>
      </c>
      <c r="H1692" s="92" t="n">
        <v>3.765454</v>
      </c>
      <c r="I1692" s="2162" t="n">
        <v>0</v>
      </c>
      <c r="J1692" s="2162" t="n">
        <v>0</v>
      </c>
      <c r="K1692" s="2162" t="n"/>
    </row>
    <row r="1693" outlineLevel="3" ht="15.75" customHeight="1">
      <c r="A1693" s="10" t="n">
        <v>94</v>
      </c>
      <c r="B1693" s="10" t="inlineStr">
        <is>
          <t>Insumo</t>
        </is>
      </c>
      <c r="C1693" s="10" t="inlineStr">
        <is>
          <t>Enchimento de parede em Chapas De Gesso Para Drywall, Uso Interno, Montante 70mm, Com Uma Face SimplesStandart e isolamento com Lâ de Vidro (ST/70/ST)</t>
        </is>
      </c>
      <c r="D1693" s="10" t="inlineStr">
        <is>
          <t>FITA DE PAPEL MICROPERFURADO, 50 X 150 MM, PARA TRATAMENTO DE JUNTAS DE CHAPA DE GESSO PARA DRYWALL</t>
        </is>
      </c>
      <c r="E1693" s="11">
        <f t="array" ref="E1693">_xlfn.XLOOKUP(D1693,Insumos!B:B,Insumos!C:$C)</f>
        <v/>
      </c>
      <c r="F1693" s="14" t="n">
        <v>2.5027</v>
      </c>
      <c r="G1693" s="92">
        <f t="array" ref="G1693">IF(B1693="insumo",_xlfn.XLOOKUP($D1693,Insumos!$B$1:$B$996,Insumos!$D$1:$D$996),"")</f>
        <v/>
      </c>
      <c r="H1693" s="92" t="n">
        <v>0.775837</v>
      </c>
      <c r="I1693" s="2162" t="n">
        <v>0</v>
      </c>
      <c r="J1693" s="2162" t="n">
        <v>0</v>
      </c>
      <c r="K1693" s="2162" t="n"/>
    </row>
    <row r="1694" outlineLevel="3" ht="15.75" customHeight="1">
      <c r="A1694" s="10" t="n">
        <v>94</v>
      </c>
      <c r="B1694" s="10" t="inlineStr">
        <is>
          <t>Insumo</t>
        </is>
      </c>
      <c r="C1694" s="10" t="inlineStr">
        <is>
          <t>Enchimento de parede em Chapas De Gesso Para Drywall, Uso Interno, Montante 70mm, Com Uma Face SimplesStandart e isolamento com Lâ de Vidro (ST/70/ST)</t>
        </is>
      </c>
      <c r="D1694" s="10" t="inlineStr">
        <is>
          <t>FITA DE PAPEL REFORCADA COM LAMINA DE METAL PARA REFORCO DE CANTOS DE CHAPA DE GESSO PARA DRYWALL</t>
        </is>
      </c>
      <c r="E1694" s="11">
        <f t="array" ref="E1694">_xlfn.XLOOKUP(D1694,Insumos!B:B,Insumos!C:$C)</f>
        <v/>
      </c>
      <c r="F1694" s="14" t="n">
        <v>1.5851</v>
      </c>
      <c r="G1694" s="92">
        <f t="array" ref="G1694">IF(B1694="insumo",_xlfn.XLOOKUP($D1694,Insumos!$B$1:$B$996,Insumos!$D$1:$D$996),"")</f>
        <v/>
      </c>
      <c r="H1694" s="92" t="n">
        <v>4.343174</v>
      </c>
      <c r="I1694" s="2162" t="n">
        <v>0</v>
      </c>
      <c r="J1694" s="2162" t="n">
        <v>0</v>
      </c>
      <c r="K1694" s="2162" t="n"/>
    </row>
    <row r="1695" outlineLevel="3" ht="15.75" customHeight="1">
      <c r="A1695" s="10" t="n">
        <v>97</v>
      </c>
      <c r="B1695" s="10" t="inlineStr">
        <is>
          <t>Insumo</t>
        </is>
      </c>
      <c r="C1695" s="10" t="inlineStr">
        <is>
          <t>Enchimento de parede em Chapas De Gesso Para Drywall, Uso Interno, Montante 70mm, Com Uma Face SimplesStandart e isolamento com Lâ de Vidro (ST/70/ST)</t>
        </is>
      </c>
      <c r="D1695" s="10" t="inlineStr">
        <is>
          <t>PARAFUSO DRY WALL, EM ACO FOSFATIZADO, CABECA TROMBETA E PONTA AGULHA (TA), COMPRIMENTO 25 MM</t>
        </is>
      </c>
      <c r="E1695" s="11">
        <f t="array" ref="E1695">_xlfn.XLOOKUP(D1695,Insumos!B:B,Insumos!C:$C)</f>
        <v/>
      </c>
      <c r="F1695" s="14" t="n">
        <v>20.1868</v>
      </c>
      <c r="G1695" s="92">
        <f t="array" ref="G1695">IF(B1695="insumo",_xlfn.XLOOKUP($D1695,Insumos!$B$1:$B$996,Insumos!$D$1:$D$996),"")</f>
        <v/>
      </c>
      <c r="H1695" s="92" t="n">
        <v>1.816812</v>
      </c>
      <c r="I1695" s="2162" t="n">
        <v>0</v>
      </c>
      <c r="J1695" s="2162" t="n">
        <v>0</v>
      </c>
      <c r="K1695" s="2162" t="n"/>
    </row>
    <row r="1696" outlineLevel="3" ht="15.75" customHeight="1">
      <c r="A1696" s="10" t="n">
        <v>95</v>
      </c>
      <c r="B1696" s="10" t="inlineStr">
        <is>
          <t>Insumo</t>
        </is>
      </c>
      <c r="C1696" s="10" t="inlineStr">
        <is>
          <t>Enchimento de parede em Chapas De Gesso Para Drywall, Uso Interno, Montante 70mm, Com Uma Face SimplesStandart e isolamento com Lâ de Vidro (ST/70/ST)</t>
        </is>
      </c>
      <c r="D1696" s="10" t="inlineStr">
        <is>
          <t>PARAFUSO DRY WALL, EM ACO ZINCADO, CABECA LENTILHA E PONTA BROCA (LB), LARGURA 4,2 MM, COMPRIMENTO 13 MM</t>
        </is>
      </c>
      <c r="E1696" s="11">
        <f t="array" ref="E1696">_xlfn.XLOOKUP(D1696,Insumos!B:B,Insumos!C:$C)</f>
        <v/>
      </c>
      <c r="F1696" s="14" t="n">
        <v>0.5441</v>
      </c>
      <c r="G1696" s="92">
        <f t="array" ref="G1696">IF(B1696="insumo",_xlfn.XLOOKUP($D1696,Insumos!$B$1:$B$996,Insumos!$D$1:$D$996),"")</f>
        <v/>
      </c>
      <c r="H1696" s="92" t="n">
        <v>0.10882</v>
      </c>
      <c r="I1696" s="2162" t="n">
        <v>0</v>
      </c>
      <c r="J1696" s="2162" t="n">
        <v>0</v>
      </c>
      <c r="K1696" s="2162" t="n"/>
    </row>
    <row r="1697" outlineLevel="3" ht="15.75" customHeight="1">
      <c r="A1697" s="10" t="n">
        <v>35</v>
      </c>
      <c r="B1697" s="10" t="inlineStr">
        <is>
          <t>Insumo</t>
        </is>
      </c>
      <c r="C1697" s="10" t="inlineStr">
        <is>
          <t>Enchimento de parede em Chapas De Gesso Para Drywall, Uso Interno, Montante 70mm, Com Uma Face SimplesStandart e isolamento com Lâ de Vidro (ST/70/ST)</t>
        </is>
      </c>
      <c r="D1697" s="10" t="inlineStr">
        <is>
          <t>Lã de pet 50 X 1200 X 12500 MM</t>
        </is>
      </c>
      <c r="E1697" s="11">
        <f t="array" ref="E1697">_xlfn.XLOOKUP(D1697,Insumos!B:B,Insumos!C:$C)</f>
        <v/>
      </c>
      <c r="F1697" s="14" t="n">
        <v>1.1</v>
      </c>
      <c r="G1697" s="92">
        <f t="array" ref="G1697">IF(B1697="insumo",_xlfn.XLOOKUP($D1697,Insumos!$B$1:$B$996,Insumos!$D$1:$D$996),"")</f>
        <v/>
      </c>
      <c r="H1697" s="92" t="n">
        <v>14.3212666666667</v>
      </c>
      <c r="I1697" s="2162" t="n">
        <v>0</v>
      </c>
      <c r="J1697" s="2162" t="n">
        <v>0</v>
      </c>
      <c r="K1697" s="2162" t="n"/>
    </row>
    <row r="1698" outlineLevel="2" ht="15.75" customHeight="1">
      <c r="A1698" s="1067" t="n">
        <v>1</v>
      </c>
      <c r="B1698" s="1067" t="inlineStr">
        <is>
          <t>Serviço</t>
        </is>
      </c>
      <c r="C1698" s="1067" t="inlineStr">
        <is>
          <t>31_DRY 70 mm - 1 PLACA - 8,25cm  -</t>
        </is>
      </c>
      <c r="D1698" s="1067" t="inlineStr">
        <is>
          <t>31_DRY 70 mm - 1 PLACA - 8,25cm  -</t>
        </is>
      </c>
      <c r="E1698" s="1068" t="inlineStr">
        <is>
          <t>M2</t>
        </is>
      </c>
      <c r="F1698" s="1067" t="n"/>
      <c r="G1698" s="1069">
        <f t="array" ref="G1698">IF(B1698="insumo",_xlfn.XLOOKUP($D1698,Insumos!$B$1:$B$996,Insumos!$D$1:$D$996),"")</f>
        <v/>
      </c>
      <c r="H1698" s="1069" t="n">
        <v>167.0334365</v>
      </c>
      <c r="I1698" s="2161" t="n">
        <v>0</v>
      </c>
      <c r="J1698" s="2161" t="n">
        <v>0</v>
      </c>
      <c r="K1698" s="2161" t="n"/>
    </row>
    <row r="1699" outlineLevel="3" ht="15.75" customHeight="1">
      <c r="A1699" s="10" t="n">
        <v>86</v>
      </c>
      <c r="B1699" s="10" t="inlineStr">
        <is>
          <t>Insumo</t>
        </is>
      </c>
      <c r="C1699" s="10" t="inlineStr">
        <is>
          <t>31_DRY 70 mm - 1 PLACA - 8,25cm  -</t>
        </is>
      </c>
      <c r="D1699" s="10" t="inlineStr">
        <is>
          <t>SERVICO - CONFECCAO SHAFT GESSO</t>
        </is>
      </c>
      <c r="E1699" s="11">
        <f t="array" ref="E1699">_xlfn.XLOOKUP(D1699,Insumos!B:B,Insumos!C:$C)</f>
        <v/>
      </c>
      <c r="F1699" s="14" t="n">
        <v>1</v>
      </c>
      <c r="G1699" s="92">
        <f t="array" ref="G1699">IF(B1699="insumo",_xlfn.XLOOKUP($D1699,Insumos!$B$1:$B$996,Insumos!$D$1:$D$996),"")</f>
        <v/>
      </c>
      <c r="H1699" s="92" t="n">
        <v>70</v>
      </c>
      <c r="I1699" s="2162" t="n">
        <v>0</v>
      </c>
      <c r="J1699" s="2162" t="n">
        <v>0</v>
      </c>
      <c r="K1699" s="2162" t="n"/>
    </row>
    <row r="1700" outlineLevel="3" ht="15.75" customHeight="1">
      <c r="A1700" s="10" t="n">
        <v>49</v>
      </c>
      <c r="B1700" s="10" t="inlineStr">
        <is>
          <t>Insumo</t>
        </is>
      </c>
      <c r="C1700" s="10" t="inlineStr">
        <is>
          <t>31_DRY 70 mm - 1 PLACA - 8,25cm  -</t>
        </is>
      </c>
      <c r="D1700" s="10" t="inlineStr">
        <is>
          <t>PLACA / CHAPA DE GESSO ACARTONADO, RESISTENTE A UMIDADE (RU), COR VERDE, E = 12,5 MM, 1200 X 2400 MM (L X C)</t>
        </is>
      </c>
      <c r="E1700" s="11">
        <f t="array" ref="E1700">_xlfn.XLOOKUP(D1700,Insumos!B:B,Insumos!C:$C)</f>
        <v/>
      </c>
      <c r="F1700" s="14" t="n">
        <v>1.053</v>
      </c>
      <c r="G1700" s="92">
        <f t="array" ref="G1700">IF(B1700="insumo",_xlfn.XLOOKUP($D1700,Insumos!$B$1:$B$996,Insumos!$D$1:$D$996),"")</f>
        <v/>
      </c>
      <c r="H1700" s="92" t="n">
        <v>28.5363</v>
      </c>
      <c r="I1700" s="2162" t="n">
        <v>0</v>
      </c>
      <c r="J1700" s="2162" t="n">
        <v>0</v>
      </c>
      <c r="K1700" s="2162" t="n"/>
    </row>
    <row r="1701" outlineLevel="3" ht="15.75" customHeight="1">
      <c r="A1701" s="10" t="n">
        <v>95</v>
      </c>
      <c r="B1701" s="10" t="inlineStr">
        <is>
          <t>Insumo</t>
        </is>
      </c>
      <c r="C1701" s="10" t="inlineStr">
        <is>
          <t>31_DRY 70 mm - 1 PLACA - 8,25cm  -</t>
        </is>
      </c>
      <c r="D1701" s="10" t="inlineStr">
        <is>
          <t>PINO DE ACO COM ARRUELA CONICA, DIAMETRO ARRUELA = *23* MM E COMP HASTE = *27* MM (ACAO INDIRETA)</t>
        </is>
      </c>
      <c r="E1701" s="11">
        <f t="array" ref="E1701">_xlfn.XLOOKUP(D1701,Insumos!B:B,Insumos!C:$C)</f>
        <v/>
      </c>
      <c r="F1701" s="14" t="n">
        <v>5.92</v>
      </c>
      <c r="G1701" s="92">
        <f t="array" ref="G1701">IF(B1701="insumo",_xlfn.XLOOKUP($D1701,Insumos!$B$1:$B$996,Insumos!$D$1:$D$996),"")</f>
        <v/>
      </c>
      <c r="H1701" s="92" t="n">
        <v>2.98368</v>
      </c>
      <c r="I1701" s="2162" t="n">
        <v>0</v>
      </c>
      <c r="J1701" s="2162" t="n">
        <v>0</v>
      </c>
      <c r="K1701" s="2162" t="n"/>
    </row>
    <row r="1702" outlineLevel="3" ht="15.75" customHeight="1">
      <c r="A1702" s="10" t="n">
        <v>43</v>
      </c>
      <c r="B1702" s="10" t="inlineStr">
        <is>
          <t>Insumo</t>
        </is>
      </c>
      <c r="C1702" s="10" t="inlineStr">
        <is>
          <t>31_DRY 70 mm - 1 PLACA - 8,25cm  -</t>
        </is>
      </c>
      <c r="D1702" s="10" t="inlineStr">
        <is>
          <t>PERFIL GUIA, FORMATO U, EM ACO ZINCADO, PARA ESTRUTURA PAREDE DRYWALL, E = 0,5 MM, 70 X 3000 MM (L X C)</t>
        </is>
      </c>
      <c r="E1702" s="11">
        <f t="array" ref="E1702">_xlfn.XLOOKUP(D1702,Insumos!B:B,Insumos!C:$C)</f>
        <v/>
      </c>
      <c r="F1702" s="14" t="n">
        <v>1.8234</v>
      </c>
      <c r="G1702" s="92">
        <f t="array" ref="G1702">IF(B1702="insumo",_xlfn.XLOOKUP($D1702,Insumos!$B$1:$B$996,Insumos!$D$1:$D$996),"")</f>
        <v/>
      </c>
      <c r="H1702" s="92" t="n">
        <v>13.602564</v>
      </c>
      <c r="I1702" s="2162" t="n">
        <v>0</v>
      </c>
      <c r="J1702" s="2162" t="n">
        <v>0</v>
      </c>
      <c r="K1702" s="2162" t="n"/>
    </row>
    <row r="1703" outlineLevel="3" ht="15.75" customHeight="1">
      <c r="A1703" s="10" t="n">
        <v>43</v>
      </c>
      <c r="B1703" s="10" t="inlineStr">
        <is>
          <t>Insumo</t>
        </is>
      </c>
      <c r="C1703" s="10" t="inlineStr">
        <is>
          <t>31_DRY 70 mm - 1 PLACA - 8,25cm  -</t>
        </is>
      </c>
      <c r="D1703" s="10" t="inlineStr">
        <is>
          <t>PERFIL MONTANTE, FORMATO C, EM ACO ZINCADO, PARA ESTRUTURA PAREDE DRYWALL, E = 0,5 MM, 70 X 3000 MM (L X C)</t>
        </is>
      </c>
      <c r="E1703" s="11">
        <f t="array" ref="E1703">_xlfn.XLOOKUP(D1703,Insumos!B:B,Insumos!C:$C)</f>
        <v/>
      </c>
      <c r="F1703" s="14" t="n">
        <v>5.8278</v>
      </c>
      <c r="G1703" s="92">
        <f t="array" ref="G1703">IF(B1703="insumo",_xlfn.XLOOKUP($D1703,Insumos!$B$1:$B$996,Insumos!$D$1:$D$996),"")</f>
        <v/>
      </c>
      <c r="H1703" s="92" t="n">
        <v>46.505844</v>
      </c>
      <c r="I1703" s="2162" t="n">
        <v>0</v>
      </c>
      <c r="J1703" s="2162" t="n">
        <v>0</v>
      </c>
      <c r="K1703" s="2162" t="n"/>
    </row>
    <row r="1704" outlineLevel="3" ht="15.75" customHeight="1">
      <c r="A1704" s="10" t="n">
        <v>95</v>
      </c>
      <c r="B1704" s="10" t="inlineStr">
        <is>
          <t>Insumo</t>
        </is>
      </c>
      <c r="C1704" s="10" t="inlineStr">
        <is>
          <t>31_DRY 70 mm - 1 PLACA - 8,25cm  -</t>
        </is>
      </c>
      <c r="D1704" s="10" t="inlineStr">
        <is>
          <t>MASSA DE REJUNTE EM PO PARA DRYWALL, A BASE DE GESSO, SECAGEM RAPIDA, PARA TRATAMENTO DE JUNTAS DE CHAPA DE GESSO (NECESSITA ADICAO DE AGUA)</t>
        </is>
      </c>
      <c r="E1704" s="11">
        <f t="array" ref="E1704">_xlfn.XLOOKUP(D1704,Insumos!B:B,Insumos!C:$C)</f>
        <v/>
      </c>
      <c r="F1704" s="14" t="n">
        <v>0.5489000000000001</v>
      </c>
      <c r="G1704" s="92">
        <f t="array" ref="G1704">IF(B1704="insumo",_xlfn.XLOOKUP($D1704,Insumos!$B$1:$B$996,Insumos!$D$1:$D$996),"")</f>
        <v/>
      </c>
      <c r="H1704" s="92" t="n">
        <v>1.882727</v>
      </c>
      <c r="I1704" s="2162" t="n">
        <v>0</v>
      </c>
      <c r="J1704" s="2162" t="n">
        <v>0</v>
      </c>
      <c r="K1704" s="2162" t="n"/>
    </row>
    <row r="1705" outlineLevel="3" ht="15.75" customHeight="1">
      <c r="A1705" s="10" t="n">
        <v>94</v>
      </c>
      <c r="B1705" s="10" t="inlineStr">
        <is>
          <t>Insumo</t>
        </is>
      </c>
      <c r="C1705" s="10" t="inlineStr">
        <is>
          <t>31_DRY 70 mm - 1 PLACA - 8,25cm  -</t>
        </is>
      </c>
      <c r="D1705" s="10" t="inlineStr">
        <is>
          <t>FITA DE PAPEL MICROPERFURADO, 50 X 150 MM, PARA TRATAMENTO DE JUNTAS DE CHAPA DE GESSO PARA DRYWALL</t>
        </is>
      </c>
      <c r="E1705" s="11">
        <f t="array" ref="E1705">_xlfn.XLOOKUP(D1705,Insumos!B:B,Insumos!C:$C)</f>
        <v/>
      </c>
      <c r="F1705" s="14" t="n">
        <v>1.25135</v>
      </c>
      <c r="G1705" s="92">
        <f t="array" ref="G1705">IF(B1705="insumo",_xlfn.XLOOKUP($D1705,Insumos!$B$1:$B$996,Insumos!$D$1:$D$996),"")</f>
        <v/>
      </c>
      <c r="H1705" s="92" t="n">
        <v>0.3879185</v>
      </c>
      <c r="I1705" s="2162" t="n">
        <v>0</v>
      </c>
      <c r="J1705" s="2162" t="n">
        <v>0</v>
      </c>
      <c r="K1705" s="2162" t="n"/>
    </row>
    <row r="1706" outlineLevel="3" ht="15.75" customHeight="1">
      <c r="A1706" s="10" t="n">
        <v>94</v>
      </c>
      <c r="B1706" s="10" t="inlineStr">
        <is>
          <t>Insumo</t>
        </is>
      </c>
      <c r="C1706" s="10" t="inlineStr">
        <is>
          <t>31_DRY 70 mm - 1 PLACA - 8,25cm  -</t>
        </is>
      </c>
      <c r="D1706" s="10" t="inlineStr">
        <is>
          <t>FITA DE PAPEL REFORCADA COM LAMINA DE METAL PARA REFORCO DE CANTOS DE CHAPA DE GESSO PARA DRYWALL</t>
        </is>
      </c>
      <c r="E1706" s="11">
        <f t="array" ref="E1706">_xlfn.XLOOKUP(D1706,Insumos!B:B,Insumos!C:$C)</f>
        <v/>
      </c>
      <c r="F1706" s="14" t="n">
        <v>0.79255</v>
      </c>
      <c r="G1706" s="92">
        <f t="array" ref="G1706">IF(B1706="insumo",_xlfn.XLOOKUP($D1706,Insumos!$B$1:$B$996,Insumos!$D$1:$D$996),"")</f>
        <v/>
      </c>
      <c r="H1706" s="92" t="n">
        <v>2.171587</v>
      </c>
      <c r="I1706" s="2162" t="n">
        <v>0</v>
      </c>
      <c r="J1706" s="2162" t="n">
        <v>0</v>
      </c>
      <c r="K1706" s="2162" t="n"/>
    </row>
    <row r="1707" outlineLevel="3" ht="15.75" customHeight="1">
      <c r="A1707" s="10" t="n">
        <v>97</v>
      </c>
      <c r="B1707" s="10" t="inlineStr">
        <is>
          <t>Insumo</t>
        </is>
      </c>
      <c r="C1707" s="10" t="inlineStr">
        <is>
          <t>31_DRY 70 mm - 1 PLACA - 8,25cm  -</t>
        </is>
      </c>
      <c r="D1707" s="10" t="inlineStr">
        <is>
          <t>PARAFUSO DRY WALL, EM ACO FOSFATIZADO, CABECA TROMBETA E PONTA AGULHA (TA), COMPRIMENTO 25 MM</t>
        </is>
      </c>
      <c r="E1707" s="11">
        <f t="array" ref="E1707">_xlfn.XLOOKUP(D1707,Insumos!B:B,Insumos!C:$C)</f>
        <v/>
      </c>
      <c r="F1707" s="14" t="n">
        <v>10.0934</v>
      </c>
      <c r="G1707" s="92">
        <f t="array" ref="G1707">IF(B1707="insumo",_xlfn.XLOOKUP($D1707,Insumos!$B$1:$B$996,Insumos!$D$1:$D$996),"")</f>
        <v/>
      </c>
      <c r="H1707" s="92" t="n">
        <v>0.908406</v>
      </c>
      <c r="I1707" s="2162" t="n">
        <v>0</v>
      </c>
      <c r="J1707" s="2162" t="n">
        <v>0</v>
      </c>
      <c r="K1707" s="2162" t="n"/>
    </row>
    <row r="1708" outlineLevel="3" ht="15.75" customHeight="1">
      <c r="A1708" s="10" t="n">
        <v>95</v>
      </c>
      <c r="B1708" s="10" t="inlineStr">
        <is>
          <t>Insumo</t>
        </is>
      </c>
      <c r="C1708" s="10" t="inlineStr">
        <is>
          <t>31_DRY 70 mm - 1 PLACA - 8,25cm  -</t>
        </is>
      </c>
      <c r="D1708" s="10" t="inlineStr">
        <is>
          <t>PARAFUSO DRY WALL, EM ACO ZINCADO, CABECA LENTILHA E PONTA BROCA (LB), LARGURA 4,2 MM, COMPRIMENTO 13 MM</t>
        </is>
      </c>
      <c r="E1708" s="11">
        <f t="array" ref="E1708">_xlfn.XLOOKUP(D1708,Insumos!B:B,Insumos!C:$C)</f>
        <v/>
      </c>
      <c r="F1708" s="14" t="n">
        <v>0.27205</v>
      </c>
      <c r="G1708" s="92">
        <f t="array" ref="G1708">IF(B1708="insumo",_xlfn.XLOOKUP($D1708,Insumos!$B$1:$B$996,Insumos!$D$1:$D$996),"")</f>
        <v/>
      </c>
      <c r="H1708" s="92" t="n">
        <v>0.05441</v>
      </c>
      <c r="I1708" s="2162" t="n">
        <v>0</v>
      </c>
      <c r="J1708" s="2162" t="n">
        <v>0</v>
      </c>
      <c r="K1708" s="2162" t="n"/>
    </row>
    <row r="1709" outlineLevel="2" ht="15.75" customHeight="1">
      <c r="A1709" s="1067" t="n">
        <v>1</v>
      </c>
      <c r="B1709" s="1067" t="inlineStr">
        <is>
          <t>Serviço</t>
        </is>
      </c>
      <c r="C1709" s="1067" t="inlineStr">
        <is>
          <t>31_DRY 70 mm - 1 PLACA - 8,25cm  -  Lado A: PLACA PERFORMANCE RU - Lado B: N/A</t>
        </is>
      </c>
      <c r="D1709" s="1067" t="inlineStr">
        <is>
          <t>31_DRY 70 mm - 1 PLACA - 8,25cm  -  Lado A: PLACA PERFORMANCE RU - Lado B: N/A</t>
        </is>
      </c>
      <c r="E1709" s="1068" t="inlineStr">
        <is>
          <t>M2</t>
        </is>
      </c>
      <c r="F1709" s="1067" t="n"/>
      <c r="G1709" s="1069">
        <f t="array" ref="G1709">IF(B1709="insumo",_xlfn.XLOOKUP($D1709,Insumos!$B$1:$B$996,Insumos!$D$1:$D$996),"")</f>
        <v/>
      </c>
      <c r="H1709" s="1069" t="n">
        <v>167.0334365</v>
      </c>
      <c r="I1709" s="2161" t="n">
        <v>0</v>
      </c>
      <c r="J1709" s="2161" t="n">
        <v>0</v>
      </c>
      <c r="K1709" s="2161" t="n"/>
    </row>
    <row r="1710" outlineLevel="3" ht="15.75" customHeight="1">
      <c r="A1710" s="10" t="n">
        <v>86</v>
      </c>
      <c r="B1710" s="10" t="inlineStr">
        <is>
          <t>Insumo</t>
        </is>
      </c>
      <c r="C1710" s="10" t="inlineStr">
        <is>
          <t>31_DRY 70 mm - 1 PLACA - 8,25cm  -  Lado A: PLACA PERFORMANCE RU - Lado B: N/A</t>
        </is>
      </c>
      <c r="D1710" s="10" t="inlineStr">
        <is>
          <t>SERVICO - CONFECCAO SHAFT GESSO</t>
        </is>
      </c>
      <c r="E1710" s="11">
        <f t="array" ref="E1710">_xlfn.XLOOKUP(D1710,Insumos!B:B,Insumos!C:$C)</f>
        <v/>
      </c>
      <c r="F1710" s="14" t="n">
        <v>1</v>
      </c>
      <c r="G1710" s="92">
        <f t="array" ref="G1710">IF(B1710="insumo",_xlfn.XLOOKUP($D1710,Insumos!$B$1:$B$996,Insumos!$D$1:$D$996),"")</f>
        <v/>
      </c>
      <c r="H1710" s="92" t="n">
        <v>70</v>
      </c>
      <c r="I1710" s="2162" t="n">
        <v>0</v>
      </c>
      <c r="J1710" s="2162" t="n">
        <v>0</v>
      </c>
      <c r="K1710" s="2162" t="n"/>
    </row>
    <row r="1711" outlineLevel="3" ht="15.75" customHeight="1">
      <c r="A1711" s="10" t="n">
        <v>49</v>
      </c>
      <c r="B1711" s="10" t="inlineStr">
        <is>
          <t>Insumo</t>
        </is>
      </c>
      <c r="C1711" s="10" t="inlineStr">
        <is>
          <t>31_DRY 70 mm - 1 PLACA - 8,25cm  -  Lado A: PLACA PERFORMANCE RU - Lado B: N/A</t>
        </is>
      </c>
      <c r="D1711" s="10" t="inlineStr">
        <is>
          <t>PLACA / CHAPA DE GESSO ACARTONADO, RESISTENTE A UMIDADE (RU), COR VERDE, E = 12,5 MM, 1200 X 2400 MM (L X C)</t>
        </is>
      </c>
      <c r="E1711" s="11">
        <f t="array" ref="E1711">_xlfn.XLOOKUP(D1711,Insumos!B:B,Insumos!C:$C)</f>
        <v/>
      </c>
      <c r="F1711" s="14" t="n">
        <v>1.053</v>
      </c>
      <c r="G1711" s="92">
        <f t="array" ref="G1711">IF(B1711="insumo",_xlfn.XLOOKUP($D1711,Insumos!$B$1:$B$996,Insumos!$D$1:$D$996),"")</f>
        <v/>
      </c>
      <c r="H1711" s="92" t="n">
        <v>28.5363</v>
      </c>
      <c r="I1711" s="2162" t="n">
        <v>0</v>
      </c>
      <c r="J1711" s="2162" t="n">
        <v>0</v>
      </c>
      <c r="K1711" s="2162" t="n"/>
    </row>
    <row r="1712" outlineLevel="3" ht="15.75" customHeight="1">
      <c r="A1712" s="10" t="n">
        <v>95</v>
      </c>
      <c r="B1712" s="10" t="inlineStr">
        <is>
          <t>Insumo</t>
        </is>
      </c>
      <c r="C1712" s="10" t="inlineStr">
        <is>
          <t>31_DRY 70 mm - 1 PLACA - 8,25cm  -  Lado A: PLACA PERFORMANCE RU - Lado B: N/A</t>
        </is>
      </c>
      <c r="D1712" s="10" t="inlineStr">
        <is>
          <t>PINO DE ACO COM ARRUELA CONICA, DIAMETRO ARRUELA = *23* MM E COMP HASTE = *27* MM (ACAO INDIRETA)</t>
        </is>
      </c>
      <c r="E1712" s="11">
        <f t="array" ref="E1712">_xlfn.XLOOKUP(D1712,Insumos!B:B,Insumos!C:$C)</f>
        <v/>
      </c>
      <c r="F1712" s="14" t="n">
        <v>5.92</v>
      </c>
      <c r="G1712" s="92">
        <f t="array" ref="G1712">IF(B1712="insumo",_xlfn.XLOOKUP($D1712,Insumos!$B$1:$B$996,Insumos!$D$1:$D$996),"")</f>
        <v/>
      </c>
      <c r="H1712" s="92" t="n">
        <v>2.98368</v>
      </c>
      <c r="I1712" s="2162" t="n">
        <v>0</v>
      </c>
      <c r="J1712" s="2162" t="n">
        <v>0</v>
      </c>
      <c r="K1712" s="2162" t="n"/>
    </row>
    <row r="1713" outlineLevel="3" ht="15.75" customHeight="1">
      <c r="A1713" s="10" t="n">
        <v>43</v>
      </c>
      <c r="B1713" s="10" t="inlineStr">
        <is>
          <t>Insumo</t>
        </is>
      </c>
      <c r="C1713" s="10" t="inlineStr">
        <is>
          <t>31_DRY 70 mm - 1 PLACA - 8,25cm  -  Lado A: PLACA PERFORMANCE RU - Lado B: N/A</t>
        </is>
      </c>
      <c r="D1713" s="10" t="inlineStr">
        <is>
          <t>PERFIL GUIA, FORMATO U, EM ACO ZINCADO, PARA ESTRUTURA PAREDE DRYWALL, E = 0,5 MM, 70 X 3000 MM (L X C)</t>
        </is>
      </c>
      <c r="E1713" s="11">
        <f t="array" ref="E1713">_xlfn.XLOOKUP(D1713,Insumos!B:B,Insumos!C:$C)</f>
        <v/>
      </c>
      <c r="F1713" s="14" t="n">
        <v>1.8234</v>
      </c>
      <c r="G1713" s="92">
        <f t="array" ref="G1713">IF(B1713="insumo",_xlfn.XLOOKUP($D1713,Insumos!$B$1:$B$996,Insumos!$D$1:$D$996),"")</f>
        <v/>
      </c>
      <c r="H1713" s="92" t="n">
        <v>13.602564</v>
      </c>
      <c r="I1713" s="2162" t="n">
        <v>0</v>
      </c>
      <c r="J1713" s="2162" t="n">
        <v>0</v>
      </c>
      <c r="K1713" s="2162" t="n"/>
    </row>
    <row r="1714" outlineLevel="3" ht="15.75" customHeight="1">
      <c r="A1714" s="10" t="n">
        <v>43</v>
      </c>
      <c r="B1714" s="10" t="inlineStr">
        <is>
          <t>Insumo</t>
        </is>
      </c>
      <c r="C1714" s="10" t="inlineStr">
        <is>
          <t>31_DRY 70 mm - 1 PLACA - 8,25cm  -  Lado A: PLACA PERFORMANCE RU - Lado B: N/A</t>
        </is>
      </c>
      <c r="D1714" s="10" t="inlineStr">
        <is>
          <t>PERFIL MONTANTE, FORMATO C, EM ACO ZINCADO, PARA ESTRUTURA PAREDE DRYWALL, E = 0,5 MM, 70 X 3000 MM (L X C)</t>
        </is>
      </c>
      <c r="E1714" s="11">
        <f t="array" ref="E1714">_xlfn.XLOOKUP(D1714,Insumos!B:B,Insumos!C:$C)</f>
        <v/>
      </c>
      <c r="F1714" s="14" t="n">
        <v>5.8278</v>
      </c>
      <c r="G1714" s="92">
        <f t="array" ref="G1714">IF(B1714="insumo",_xlfn.XLOOKUP($D1714,Insumos!$B$1:$B$996,Insumos!$D$1:$D$996),"")</f>
        <v/>
      </c>
      <c r="H1714" s="92" t="n">
        <v>46.505844</v>
      </c>
      <c r="I1714" s="2162" t="n">
        <v>0</v>
      </c>
      <c r="J1714" s="2162" t="n">
        <v>0</v>
      </c>
      <c r="K1714" s="2162" t="n"/>
    </row>
    <row r="1715" outlineLevel="3" ht="15.75" customHeight="1">
      <c r="A1715" s="10" t="n">
        <v>95</v>
      </c>
      <c r="B1715" s="10" t="inlineStr">
        <is>
          <t>Insumo</t>
        </is>
      </c>
      <c r="C1715" s="10" t="inlineStr">
        <is>
          <t>31_DRY 70 mm - 1 PLACA - 8,25cm  -  Lado A: PLACA PERFORMANCE RU - Lado B: N/A</t>
        </is>
      </c>
      <c r="D1715" s="10" t="inlineStr">
        <is>
          <t>MASSA DE REJUNTE EM PO PARA DRYWALL, A BASE DE GESSO, SECAGEM RAPIDA, PARA TRATAMENTO DE JUNTAS DE CHAPA DE GESSO (NECESSITA ADICAO DE AGUA)</t>
        </is>
      </c>
      <c r="E1715" s="11">
        <f t="array" ref="E1715">_xlfn.XLOOKUP(D1715,Insumos!B:B,Insumos!C:$C)</f>
        <v/>
      </c>
      <c r="F1715" s="14" t="n">
        <v>0.5489000000000001</v>
      </c>
      <c r="G1715" s="92">
        <f t="array" ref="G1715">IF(B1715="insumo",_xlfn.XLOOKUP($D1715,Insumos!$B$1:$B$996,Insumos!$D$1:$D$996),"")</f>
        <v/>
      </c>
      <c r="H1715" s="92" t="n">
        <v>1.882727</v>
      </c>
      <c r="I1715" s="2162" t="n">
        <v>0</v>
      </c>
      <c r="J1715" s="2162" t="n">
        <v>0</v>
      </c>
      <c r="K1715" s="2162" t="n"/>
    </row>
    <row r="1716" outlineLevel="3" ht="15.75" customHeight="1">
      <c r="A1716" s="10" t="n">
        <v>94</v>
      </c>
      <c r="B1716" s="10" t="inlineStr">
        <is>
          <t>Insumo</t>
        </is>
      </c>
      <c r="C1716" s="10" t="inlineStr">
        <is>
          <t>31_DRY 70 mm - 1 PLACA - 8,25cm  -  Lado A: PLACA PERFORMANCE RU - Lado B: N/A</t>
        </is>
      </c>
      <c r="D1716" s="10" t="inlineStr">
        <is>
          <t>FITA DE PAPEL MICROPERFURADO, 50 X 150 MM, PARA TRATAMENTO DE JUNTAS DE CHAPA DE GESSO PARA DRYWALL</t>
        </is>
      </c>
      <c r="E1716" s="11">
        <f t="array" ref="E1716">_xlfn.XLOOKUP(D1716,Insumos!B:B,Insumos!C:$C)</f>
        <v/>
      </c>
      <c r="F1716" s="14" t="n">
        <v>1.25135</v>
      </c>
      <c r="G1716" s="92">
        <f t="array" ref="G1716">IF(B1716="insumo",_xlfn.XLOOKUP($D1716,Insumos!$B$1:$B$996,Insumos!$D$1:$D$996),"")</f>
        <v/>
      </c>
      <c r="H1716" s="92" t="n">
        <v>0.3879185</v>
      </c>
      <c r="I1716" s="2162" t="n">
        <v>0</v>
      </c>
      <c r="J1716" s="2162" t="n">
        <v>0</v>
      </c>
      <c r="K1716" s="2162" t="n"/>
    </row>
    <row r="1717" outlineLevel="3" ht="15.75" customHeight="1">
      <c r="A1717" s="10" t="n">
        <v>94</v>
      </c>
      <c r="B1717" s="10" t="inlineStr">
        <is>
          <t>Insumo</t>
        </is>
      </c>
      <c r="C1717" s="10" t="inlineStr">
        <is>
          <t>31_DRY 70 mm - 1 PLACA - 8,25cm  -  Lado A: PLACA PERFORMANCE RU - Lado B: N/A</t>
        </is>
      </c>
      <c r="D1717" s="10" t="inlineStr">
        <is>
          <t>FITA DE PAPEL REFORCADA COM LAMINA DE METAL PARA REFORCO DE CANTOS DE CHAPA DE GESSO PARA DRYWALL</t>
        </is>
      </c>
      <c r="E1717" s="11">
        <f t="array" ref="E1717">_xlfn.XLOOKUP(D1717,Insumos!B:B,Insumos!C:$C)</f>
        <v/>
      </c>
      <c r="F1717" s="14" t="n">
        <v>0.79255</v>
      </c>
      <c r="G1717" s="92">
        <f t="array" ref="G1717">IF(B1717="insumo",_xlfn.XLOOKUP($D1717,Insumos!$B$1:$B$996,Insumos!$D$1:$D$996),"")</f>
        <v/>
      </c>
      <c r="H1717" s="92" t="n">
        <v>2.171587</v>
      </c>
      <c r="I1717" s="2162" t="n">
        <v>0</v>
      </c>
      <c r="J1717" s="2162" t="n">
        <v>0</v>
      </c>
      <c r="K1717" s="2162" t="n"/>
    </row>
    <row r="1718" outlineLevel="3" ht="15.75" customHeight="1">
      <c r="A1718" s="10" t="n">
        <v>97</v>
      </c>
      <c r="B1718" s="10" t="inlineStr">
        <is>
          <t>Insumo</t>
        </is>
      </c>
      <c r="C1718" s="10" t="inlineStr">
        <is>
          <t>31_DRY 70 mm - 1 PLACA - 8,25cm  -  Lado A: PLACA PERFORMANCE RU - Lado B: N/A</t>
        </is>
      </c>
      <c r="D1718" s="10" t="inlineStr">
        <is>
          <t>PARAFUSO DRY WALL, EM ACO FOSFATIZADO, CABECA TROMBETA E PONTA AGULHA (TA), COMPRIMENTO 25 MM</t>
        </is>
      </c>
      <c r="E1718" s="11">
        <f t="array" ref="E1718">_xlfn.XLOOKUP(D1718,Insumos!B:B,Insumos!C:$C)</f>
        <v/>
      </c>
      <c r="F1718" s="14" t="n">
        <v>10.0934</v>
      </c>
      <c r="G1718" s="92">
        <f t="array" ref="G1718">IF(B1718="insumo",_xlfn.XLOOKUP($D1718,Insumos!$B$1:$B$996,Insumos!$D$1:$D$996),"")</f>
        <v/>
      </c>
      <c r="H1718" s="92" t="n">
        <v>0.908406</v>
      </c>
      <c r="I1718" s="2162" t="n">
        <v>0</v>
      </c>
      <c r="J1718" s="2162" t="n">
        <v>0</v>
      </c>
      <c r="K1718" s="2162" t="n"/>
    </row>
    <row r="1719" outlineLevel="3" ht="15.75" customHeight="1">
      <c r="A1719" s="10" t="n">
        <v>95</v>
      </c>
      <c r="B1719" s="10" t="inlineStr">
        <is>
          <t>Insumo</t>
        </is>
      </c>
      <c r="C1719" s="10" t="inlineStr">
        <is>
          <t>31_DRY 70 mm - 1 PLACA - 8,25cm  -  Lado A: PLACA PERFORMANCE RU - Lado B: N/A</t>
        </is>
      </c>
      <c r="D1719" s="10" t="inlineStr">
        <is>
          <t>PARAFUSO DRY WALL, EM ACO ZINCADO, CABECA LENTILHA E PONTA BROCA (LB), LARGURA 4,2 MM, COMPRIMENTO 13 MM</t>
        </is>
      </c>
      <c r="E1719" s="11">
        <f t="array" ref="E1719">_xlfn.XLOOKUP(D1719,Insumos!B:B,Insumos!C:$C)</f>
        <v/>
      </c>
      <c r="F1719" s="14" t="n">
        <v>0.27205</v>
      </c>
      <c r="G1719" s="92">
        <f t="array" ref="G1719">IF(B1719="insumo",_xlfn.XLOOKUP($D1719,Insumos!$B$1:$B$996,Insumos!$D$1:$D$996),"")</f>
        <v/>
      </c>
      <c r="H1719" s="92" t="n">
        <v>0.05441</v>
      </c>
      <c r="I1719" s="2162" t="n">
        <v>0</v>
      </c>
      <c r="J1719" s="2162" t="n">
        <v>0</v>
      </c>
      <c r="K1719" s="2162" t="n"/>
    </row>
    <row r="1720" outlineLevel="2" ht="15.75" customHeight="1">
      <c r="A1720" s="1067" t="n">
        <v>1</v>
      </c>
      <c r="B1720" s="1067" t="inlineStr">
        <is>
          <t>Serviço</t>
        </is>
      </c>
      <c r="C1720" s="1067" t="inlineStr">
        <is>
          <t>31_DRY 70 mm - 1 PLACA - 8,25cm  -  Lado A: PLACA PERFORMANCE ST - Lado B: N/A</t>
        </is>
      </c>
      <c r="D1720" s="1067" t="inlineStr">
        <is>
          <t>31_DRY 70 mm - 1 PLACA - 8,25cm  -  Lado A: PLACA PERFORMANCE ST - Lado B: N/A</t>
        </is>
      </c>
      <c r="E1720" s="1068" t="inlineStr">
        <is>
          <t>M2</t>
        </is>
      </c>
      <c r="F1720" s="1067" t="n"/>
      <c r="G1720" s="1069">
        <f t="array" ref="G1720">IF(B1720="insumo",_xlfn.XLOOKUP($D1720,Insumos!$B$1:$B$996,Insumos!$D$1:$D$996),"")</f>
        <v/>
      </c>
      <c r="H1720" s="1069" t="n">
        <v>159.7256165</v>
      </c>
      <c r="I1720" s="2161" t="n">
        <v>0</v>
      </c>
      <c r="J1720" s="2161" t="n">
        <v>0</v>
      </c>
      <c r="K1720" s="2161" t="n"/>
    </row>
    <row r="1721" outlineLevel="3" ht="15.75" customHeight="1">
      <c r="A1721" s="10" t="n">
        <v>86</v>
      </c>
      <c r="B1721" s="10" t="inlineStr">
        <is>
          <t>Insumo</t>
        </is>
      </c>
      <c r="C1721" s="10" t="inlineStr">
        <is>
          <t>31_DRY 70 mm - 1 PLACA - 8,25cm  -  Lado A: PLACA PERFORMANCE ST - Lado B: N/A</t>
        </is>
      </c>
      <c r="D1721" s="10" t="inlineStr">
        <is>
          <t>SERVICO - CONFECCAO SHAFT GESSO</t>
        </is>
      </c>
      <c r="E1721" s="11">
        <f t="array" ref="E1721">_xlfn.XLOOKUP(D1721,Insumos!B:B,Insumos!C:$C)</f>
        <v/>
      </c>
      <c r="F1721" s="14" t="n">
        <v>1</v>
      </c>
      <c r="G1721" s="92">
        <f t="array" ref="G1721">IF(B1721="insumo",_xlfn.XLOOKUP($D1721,Insumos!$B$1:$B$996,Insumos!$D$1:$D$996),"")</f>
        <v/>
      </c>
      <c r="H1721" s="92" t="n">
        <v>70</v>
      </c>
      <c r="I1721" s="2162" t="n">
        <v>0</v>
      </c>
      <c r="J1721" s="2162" t="n">
        <v>0</v>
      </c>
      <c r="K1721" s="2162" t="n"/>
    </row>
    <row r="1722" outlineLevel="3" ht="15.75" customHeight="1">
      <c r="A1722" s="10" t="n">
        <v>47</v>
      </c>
      <c r="B1722" s="10" t="inlineStr">
        <is>
          <t>Insumo</t>
        </is>
      </c>
      <c r="C1722" s="10" t="inlineStr">
        <is>
          <t>31_DRY 70 mm - 1 PLACA - 8,25cm  -  Lado A: PLACA PERFORMANCE ST - Lado B: N/A</t>
        </is>
      </c>
      <c r="D1722" s="10" t="inlineStr">
        <is>
          <t>PLACA / CHAPA DE GESSO ACARTONADO, STANDARD (ST), COR BRANCA, E = 12,5 MM, 1200 X 2400 MM (L X C)</t>
        </is>
      </c>
      <c r="E1722" s="11">
        <f t="array" ref="E1722">_xlfn.XLOOKUP(D1722,Insumos!B:B,Insumos!C:$C)</f>
        <v/>
      </c>
      <c r="F1722" s="14" t="n">
        <v>1.053</v>
      </c>
      <c r="G1722" s="92">
        <f t="array" ref="G1722">IF(B1722="insumo",_xlfn.XLOOKUP($D1722,Insumos!$B$1:$B$996,Insumos!$D$1:$D$996),"")</f>
        <v/>
      </c>
      <c r="H1722" s="92" t="n">
        <v>21.22848</v>
      </c>
      <c r="I1722" s="2162" t="n">
        <v>0</v>
      </c>
      <c r="J1722" s="2162" t="n">
        <v>0</v>
      </c>
      <c r="K1722" s="2162" t="n"/>
    </row>
    <row r="1723" outlineLevel="3" ht="15.75" customHeight="1">
      <c r="A1723" s="10" t="n">
        <v>95</v>
      </c>
      <c r="B1723" s="10" t="inlineStr">
        <is>
          <t>Insumo</t>
        </is>
      </c>
      <c r="C1723" s="10" t="inlineStr">
        <is>
          <t>31_DRY 70 mm - 1 PLACA - 8,25cm  -  Lado A: PLACA PERFORMANCE ST - Lado B: N/A</t>
        </is>
      </c>
      <c r="D1723" s="10" t="inlineStr">
        <is>
          <t>PINO DE ACO COM ARRUELA CONICA, DIAMETRO ARRUELA = *23* MM E COMP HASTE = *27* MM (ACAO INDIRETA)</t>
        </is>
      </c>
      <c r="E1723" s="11">
        <f t="array" ref="E1723">_xlfn.XLOOKUP(D1723,Insumos!B:B,Insumos!C:$C)</f>
        <v/>
      </c>
      <c r="F1723" s="14" t="n">
        <v>5.92</v>
      </c>
      <c r="G1723" s="92">
        <f t="array" ref="G1723">IF(B1723="insumo",_xlfn.XLOOKUP($D1723,Insumos!$B$1:$B$996,Insumos!$D$1:$D$996),"")</f>
        <v/>
      </c>
      <c r="H1723" s="92" t="n">
        <v>2.98368</v>
      </c>
      <c r="I1723" s="2162" t="n">
        <v>0</v>
      </c>
      <c r="J1723" s="2162" t="n">
        <v>0</v>
      </c>
      <c r="K1723" s="2162" t="n"/>
    </row>
    <row r="1724" outlineLevel="3" ht="15.75" customHeight="1">
      <c r="A1724" s="10" t="n">
        <v>43</v>
      </c>
      <c r="B1724" s="10" t="inlineStr">
        <is>
          <t>Insumo</t>
        </is>
      </c>
      <c r="C1724" s="10" t="inlineStr">
        <is>
          <t>31_DRY 70 mm - 1 PLACA - 8,25cm  -  Lado A: PLACA PERFORMANCE ST - Lado B: N/A</t>
        </is>
      </c>
      <c r="D1724" s="10" t="inlineStr">
        <is>
          <t>PERFIL GUIA, FORMATO U, EM ACO ZINCADO, PARA ESTRUTURA PAREDE DRYWALL, E = 0,5 MM, 70 X 3000 MM (L X C)</t>
        </is>
      </c>
      <c r="E1724" s="11">
        <f t="array" ref="E1724">_xlfn.XLOOKUP(D1724,Insumos!B:B,Insumos!C:$C)</f>
        <v/>
      </c>
      <c r="F1724" s="14" t="n">
        <v>1.8234</v>
      </c>
      <c r="G1724" s="92">
        <f t="array" ref="G1724">IF(B1724="insumo",_xlfn.XLOOKUP($D1724,Insumos!$B$1:$B$996,Insumos!$D$1:$D$996),"")</f>
        <v/>
      </c>
      <c r="H1724" s="92" t="n">
        <v>13.602564</v>
      </c>
      <c r="I1724" s="2162" t="n">
        <v>0</v>
      </c>
      <c r="J1724" s="2162" t="n">
        <v>0</v>
      </c>
      <c r="K1724" s="2162" t="n"/>
    </row>
    <row r="1725" outlineLevel="3" ht="15.75" customHeight="1">
      <c r="A1725" s="10" t="n">
        <v>43</v>
      </c>
      <c r="B1725" s="10" t="inlineStr">
        <is>
          <t>Insumo</t>
        </is>
      </c>
      <c r="C1725" s="10" t="inlineStr">
        <is>
          <t>31_DRY 70 mm - 1 PLACA - 8,25cm  -  Lado A: PLACA PERFORMANCE ST - Lado B: N/A</t>
        </is>
      </c>
      <c r="D1725" s="10" t="inlineStr">
        <is>
          <t>PERFIL MONTANTE, FORMATO C, EM ACO ZINCADO, PARA ESTRUTURA PAREDE DRYWALL, E = 0,5 MM, 70 X 3000 MM (L X C)</t>
        </is>
      </c>
      <c r="E1725" s="11">
        <f t="array" ref="E1725">_xlfn.XLOOKUP(D1725,Insumos!B:B,Insumos!C:$C)</f>
        <v/>
      </c>
      <c r="F1725" s="14" t="n">
        <v>5.8278</v>
      </c>
      <c r="G1725" s="92">
        <f t="array" ref="G1725">IF(B1725="insumo",_xlfn.XLOOKUP($D1725,Insumos!$B$1:$B$996,Insumos!$D$1:$D$996),"")</f>
        <v/>
      </c>
      <c r="H1725" s="92" t="n">
        <v>46.505844</v>
      </c>
      <c r="I1725" s="2162" t="n">
        <v>0</v>
      </c>
      <c r="J1725" s="2162" t="n">
        <v>0</v>
      </c>
      <c r="K1725" s="2162" t="n"/>
    </row>
    <row r="1726" outlineLevel="3" ht="15.75" customHeight="1">
      <c r="A1726" s="10" t="n">
        <v>95</v>
      </c>
      <c r="B1726" s="10" t="inlineStr">
        <is>
          <t>Insumo</t>
        </is>
      </c>
      <c r="C1726" s="10" t="inlineStr">
        <is>
          <t>31_DRY 70 mm - 1 PLACA - 8,25cm  -  Lado A: PLACA PERFORMANCE ST - Lado B: N/A</t>
        </is>
      </c>
      <c r="D1726" s="10" t="inlineStr">
        <is>
          <t>MASSA DE REJUNTE EM PO PARA DRYWALL, A BASE DE GESSO, SECAGEM RAPIDA, PARA TRATAMENTO DE JUNTAS DE CHAPA DE GESSO (NECESSITA ADICAO DE AGUA)</t>
        </is>
      </c>
      <c r="E1726" s="11">
        <f t="array" ref="E1726">_xlfn.XLOOKUP(D1726,Insumos!B:B,Insumos!C:$C)</f>
        <v/>
      </c>
      <c r="F1726" s="14" t="n">
        <v>0.5489000000000001</v>
      </c>
      <c r="G1726" s="92">
        <f t="array" ref="G1726">IF(B1726="insumo",_xlfn.XLOOKUP($D1726,Insumos!$B$1:$B$996,Insumos!$D$1:$D$996),"")</f>
        <v/>
      </c>
      <c r="H1726" s="92" t="n">
        <v>1.882727</v>
      </c>
      <c r="I1726" s="2162" t="n">
        <v>0</v>
      </c>
      <c r="J1726" s="2162" t="n">
        <v>0</v>
      </c>
      <c r="K1726" s="2162" t="n"/>
    </row>
    <row r="1727" outlineLevel="3" ht="15.75" customHeight="1">
      <c r="A1727" s="10" t="n">
        <v>94</v>
      </c>
      <c r="B1727" s="10" t="inlineStr">
        <is>
          <t>Insumo</t>
        </is>
      </c>
      <c r="C1727" s="10" t="inlineStr">
        <is>
          <t>31_DRY 70 mm - 1 PLACA - 8,25cm  -  Lado A: PLACA PERFORMANCE ST - Lado B: N/A</t>
        </is>
      </c>
      <c r="D1727" s="10" t="inlineStr">
        <is>
          <t>FITA DE PAPEL MICROPERFURADO, 50 X 150 MM, PARA TRATAMENTO DE JUNTAS DE CHAPA DE GESSO PARA DRYWALL</t>
        </is>
      </c>
      <c r="E1727" s="11">
        <f t="array" ref="E1727">_xlfn.XLOOKUP(D1727,Insumos!B:B,Insumos!C:$C)</f>
        <v/>
      </c>
      <c r="F1727" s="14" t="n">
        <v>1.25135</v>
      </c>
      <c r="G1727" s="92">
        <f t="array" ref="G1727">IF(B1727="insumo",_xlfn.XLOOKUP($D1727,Insumos!$B$1:$B$996,Insumos!$D$1:$D$996),"")</f>
        <v/>
      </c>
      <c r="H1727" s="92" t="n">
        <v>0.3879185</v>
      </c>
      <c r="I1727" s="2162" t="n">
        <v>0</v>
      </c>
      <c r="J1727" s="2162" t="n">
        <v>0</v>
      </c>
      <c r="K1727" s="2162" t="n"/>
    </row>
    <row r="1728" outlineLevel="3" ht="15.75" customHeight="1">
      <c r="A1728" s="10" t="n">
        <v>94</v>
      </c>
      <c r="B1728" s="10" t="inlineStr">
        <is>
          <t>Insumo</t>
        </is>
      </c>
      <c r="C1728" s="10" t="inlineStr">
        <is>
          <t>31_DRY 70 mm - 1 PLACA - 8,25cm  -  Lado A: PLACA PERFORMANCE ST - Lado B: N/A</t>
        </is>
      </c>
      <c r="D1728" s="10" t="inlineStr">
        <is>
          <t>FITA DE PAPEL REFORCADA COM LAMINA DE METAL PARA REFORCO DE CANTOS DE CHAPA DE GESSO PARA DRYWALL</t>
        </is>
      </c>
      <c r="E1728" s="11">
        <f t="array" ref="E1728">_xlfn.XLOOKUP(D1728,Insumos!B:B,Insumos!C:$C)</f>
        <v/>
      </c>
      <c r="F1728" s="14" t="n">
        <v>0.79255</v>
      </c>
      <c r="G1728" s="92">
        <f t="array" ref="G1728">IF(B1728="insumo",_xlfn.XLOOKUP($D1728,Insumos!$B$1:$B$996,Insumos!$D$1:$D$996),"")</f>
        <v/>
      </c>
      <c r="H1728" s="92" t="n">
        <v>2.171587</v>
      </c>
      <c r="I1728" s="2162" t="n">
        <v>0</v>
      </c>
      <c r="J1728" s="2162" t="n">
        <v>0</v>
      </c>
      <c r="K1728" s="2162" t="n"/>
    </row>
    <row r="1729" outlineLevel="3" ht="15.75" customHeight="1">
      <c r="A1729" s="10" t="n">
        <v>97</v>
      </c>
      <c r="B1729" s="10" t="inlineStr">
        <is>
          <t>Insumo</t>
        </is>
      </c>
      <c r="C1729" s="10" t="inlineStr">
        <is>
          <t>31_DRY 70 mm - 1 PLACA - 8,25cm  -  Lado A: PLACA PERFORMANCE ST - Lado B: N/A</t>
        </is>
      </c>
      <c r="D1729" s="10" t="inlineStr">
        <is>
          <t>PARAFUSO DRY WALL, EM ACO FOSFATIZADO, CABECA TROMBETA E PONTA AGULHA (TA), COMPRIMENTO 25 MM</t>
        </is>
      </c>
      <c r="E1729" s="11">
        <f t="array" ref="E1729">_xlfn.XLOOKUP(D1729,Insumos!B:B,Insumos!C:$C)</f>
        <v/>
      </c>
      <c r="F1729" s="14" t="n">
        <v>10.0934</v>
      </c>
      <c r="G1729" s="92">
        <f t="array" ref="G1729">IF(B1729="insumo",_xlfn.XLOOKUP($D1729,Insumos!$B$1:$B$996,Insumos!$D$1:$D$996),"")</f>
        <v/>
      </c>
      <c r="H1729" s="92" t="n">
        <v>0.908406</v>
      </c>
      <c r="I1729" s="2162" t="n">
        <v>0</v>
      </c>
      <c r="J1729" s="2162" t="n">
        <v>0</v>
      </c>
      <c r="K1729" s="2162" t="n"/>
    </row>
    <row r="1730" outlineLevel="3" ht="15.75" customHeight="1">
      <c r="A1730" s="10" t="n">
        <v>95</v>
      </c>
      <c r="B1730" s="10" t="inlineStr">
        <is>
          <t>Insumo</t>
        </is>
      </c>
      <c r="C1730" s="10" t="inlineStr">
        <is>
          <t>31_DRY 70 mm - 1 PLACA - 8,25cm  -  Lado A: PLACA PERFORMANCE ST - Lado B: N/A</t>
        </is>
      </c>
      <c r="D1730" s="10" t="inlineStr">
        <is>
          <t>PARAFUSO DRY WALL, EM ACO ZINCADO, CABECA LENTILHA E PONTA BROCA (LB), LARGURA 4,2 MM, COMPRIMENTO 13 MM</t>
        </is>
      </c>
      <c r="E1730" s="11">
        <f t="array" ref="E1730">_xlfn.XLOOKUP(D1730,Insumos!B:B,Insumos!C:$C)</f>
        <v/>
      </c>
      <c r="F1730" s="14" t="n">
        <v>0.27205</v>
      </c>
      <c r="G1730" s="92">
        <f t="array" ref="G1730">IF(B1730="insumo",_xlfn.XLOOKUP($D1730,Insumos!$B$1:$B$996,Insumos!$D$1:$D$996),"")</f>
        <v/>
      </c>
      <c r="H1730" s="92" t="n">
        <v>0.05441</v>
      </c>
      <c r="I1730" s="2162" t="n">
        <v>0</v>
      </c>
      <c r="J1730" s="2162" t="n">
        <v>0</v>
      </c>
      <c r="K1730" s="2162" t="n"/>
    </row>
    <row r="1731" outlineLevel="2" ht="15.75" customHeight="1">
      <c r="A1731" s="1067" t="n">
        <v>1</v>
      </c>
      <c r="B1731" s="1067" t="inlineStr">
        <is>
          <t>Serviço</t>
        </is>
      </c>
      <c r="C1731" s="1067" t="inlineStr">
        <is>
          <t>31_DRY 70 mm - 1 PLACA - 8,25cm  -  Lado A: PLACA ST - Lado B: N/A</t>
        </is>
      </c>
      <c r="D1731" s="1067" t="inlineStr">
        <is>
          <t>31_DRY 70 mm - 1 PLACA - 8,25cm  -  Lado A: PLACA ST - Lado B: N/A</t>
        </is>
      </c>
      <c r="E1731" s="1068" t="inlineStr">
        <is>
          <t>M2</t>
        </is>
      </c>
      <c r="F1731" s="1067" t="n"/>
      <c r="G1731" s="1069">
        <f t="array" ref="G1731">IF(B1731="insumo",_xlfn.XLOOKUP($D1731,Insumos!$B$1:$B$996,Insumos!$D$1:$D$996),"")</f>
        <v/>
      </c>
      <c r="H1731" s="1069" t="n">
        <v>159.7256165</v>
      </c>
      <c r="I1731" s="2161" t="n">
        <v>0</v>
      </c>
      <c r="J1731" s="2161" t="n">
        <v>0</v>
      </c>
      <c r="K1731" s="2161" t="n"/>
    </row>
    <row r="1732" outlineLevel="3" ht="15.75" customHeight="1">
      <c r="A1732" s="10" t="n">
        <v>86</v>
      </c>
      <c r="B1732" s="10" t="inlineStr">
        <is>
          <t>Insumo</t>
        </is>
      </c>
      <c r="C1732" s="10" t="inlineStr">
        <is>
          <t>31_DRY 70 mm - 1 PLACA - 8,25cm  -  Lado A: PLACA ST - Lado B: N/A</t>
        </is>
      </c>
      <c r="D1732" s="10" t="inlineStr">
        <is>
          <t>SERVICO - CONFECCAO SHAFT GESSO</t>
        </is>
      </c>
      <c r="E1732" s="11">
        <f t="array" ref="E1732">_xlfn.XLOOKUP(D1732,Insumos!B:B,Insumos!C:$C)</f>
        <v/>
      </c>
      <c r="F1732" s="14" t="n">
        <v>1</v>
      </c>
      <c r="G1732" s="92">
        <f t="array" ref="G1732">IF(B1732="insumo",_xlfn.XLOOKUP($D1732,Insumos!$B$1:$B$996,Insumos!$D$1:$D$996),"")</f>
        <v/>
      </c>
      <c r="H1732" s="92" t="n">
        <v>70</v>
      </c>
      <c r="I1732" s="2162" t="n">
        <v>0</v>
      </c>
      <c r="J1732" s="2162" t="n">
        <v>0</v>
      </c>
      <c r="K1732" s="2162" t="n"/>
    </row>
    <row r="1733" outlineLevel="3" ht="15.75" customHeight="1">
      <c r="A1733" s="10" t="n">
        <v>47</v>
      </c>
      <c r="B1733" s="10" t="inlineStr">
        <is>
          <t>Insumo</t>
        </is>
      </c>
      <c r="C1733" s="10" t="inlineStr">
        <is>
          <t>31_DRY 70 mm - 1 PLACA - 8,25cm  -  Lado A: PLACA ST - Lado B: N/A</t>
        </is>
      </c>
      <c r="D1733" s="10" t="inlineStr">
        <is>
          <t>PLACA / CHAPA DE GESSO ACARTONADO, STANDARD (ST), COR BRANCA, E = 12,5 MM, 1200 X 2400 MM (L X C)</t>
        </is>
      </c>
      <c r="E1733" s="11">
        <f t="array" ref="E1733">_xlfn.XLOOKUP(D1733,Insumos!B:B,Insumos!C:$C)</f>
        <v/>
      </c>
      <c r="F1733" s="14" t="n">
        <v>1.053</v>
      </c>
      <c r="G1733" s="92">
        <f t="array" ref="G1733">IF(B1733="insumo",_xlfn.XLOOKUP($D1733,Insumos!$B$1:$B$996,Insumos!$D$1:$D$996),"")</f>
        <v/>
      </c>
      <c r="H1733" s="92" t="n">
        <v>21.22848</v>
      </c>
      <c r="I1733" s="2162" t="n">
        <v>0</v>
      </c>
      <c r="J1733" s="2162" t="n">
        <v>0</v>
      </c>
      <c r="K1733" s="2162" t="n"/>
    </row>
    <row r="1734" outlineLevel="3" ht="15.75" customHeight="1">
      <c r="A1734" s="10" t="n">
        <v>95</v>
      </c>
      <c r="B1734" s="10" t="inlineStr">
        <is>
          <t>Insumo</t>
        </is>
      </c>
      <c r="C1734" s="10" t="inlineStr">
        <is>
          <t>31_DRY 70 mm - 1 PLACA - 8,25cm  -  Lado A: PLACA ST - Lado B: N/A</t>
        </is>
      </c>
      <c r="D1734" s="10" t="inlineStr">
        <is>
          <t>PINO DE ACO COM ARRUELA CONICA, DIAMETRO ARRUELA = *23* MM E COMP HASTE = *27* MM (ACAO INDIRETA)</t>
        </is>
      </c>
      <c r="E1734" s="11">
        <f t="array" ref="E1734">_xlfn.XLOOKUP(D1734,Insumos!B:B,Insumos!C:$C)</f>
        <v/>
      </c>
      <c r="F1734" s="14" t="n">
        <v>5.92</v>
      </c>
      <c r="G1734" s="92">
        <f t="array" ref="G1734">IF(B1734="insumo",_xlfn.XLOOKUP($D1734,Insumos!$B$1:$B$996,Insumos!$D$1:$D$996),"")</f>
        <v/>
      </c>
      <c r="H1734" s="92" t="n">
        <v>2.98368</v>
      </c>
      <c r="I1734" s="2162" t="n">
        <v>0</v>
      </c>
      <c r="J1734" s="2162" t="n">
        <v>0</v>
      </c>
      <c r="K1734" s="2162" t="n"/>
    </row>
    <row r="1735" outlineLevel="3" ht="15.75" customHeight="1">
      <c r="A1735" s="10" t="n">
        <v>43</v>
      </c>
      <c r="B1735" s="10" t="inlineStr">
        <is>
          <t>Insumo</t>
        </is>
      </c>
      <c r="C1735" s="10" t="inlineStr">
        <is>
          <t>31_DRY 70 mm - 1 PLACA - 8,25cm  -  Lado A: PLACA ST - Lado B: N/A</t>
        </is>
      </c>
      <c r="D1735" s="10" t="inlineStr">
        <is>
          <t>PERFIL GUIA, FORMATO U, EM ACO ZINCADO, PARA ESTRUTURA PAREDE DRYWALL, E = 0,5 MM, 70 X 3000 MM (L X C)</t>
        </is>
      </c>
      <c r="E1735" s="11">
        <f t="array" ref="E1735">_xlfn.XLOOKUP(D1735,Insumos!B:B,Insumos!C:$C)</f>
        <v/>
      </c>
      <c r="F1735" s="14" t="n">
        <v>1.8234</v>
      </c>
      <c r="G1735" s="92">
        <f t="array" ref="G1735">IF(B1735="insumo",_xlfn.XLOOKUP($D1735,Insumos!$B$1:$B$996,Insumos!$D$1:$D$996),"")</f>
        <v/>
      </c>
      <c r="H1735" s="92" t="n">
        <v>13.602564</v>
      </c>
      <c r="I1735" s="2162" t="n">
        <v>0</v>
      </c>
      <c r="J1735" s="2162" t="n">
        <v>0</v>
      </c>
      <c r="K1735" s="2162" t="n"/>
    </row>
    <row r="1736" outlineLevel="3" ht="15.75" customHeight="1">
      <c r="A1736" s="10" t="n">
        <v>43</v>
      </c>
      <c r="B1736" s="10" t="inlineStr">
        <is>
          <t>Insumo</t>
        </is>
      </c>
      <c r="C1736" s="10" t="inlineStr">
        <is>
          <t>31_DRY 70 mm - 1 PLACA - 8,25cm  -  Lado A: PLACA ST - Lado B: N/A</t>
        </is>
      </c>
      <c r="D1736" s="10" t="inlineStr">
        <is>
          <t>PERFIL MONTANTE, FORMATO C, EM ACO ZINCADO, PARA ESTRUTURA PAREDE DRYWALL, E = 0,5 MM, 70 X 3000 MM (L X C)</t>
        </is>
      </c>
      <c r="E1736" s="11">
        <f t="array" ref="E1736">_xlfn.XLOOKUP(D1736,Insumos!B:B,Insumos!C:$C)</f>
        <v/>
      </c>
      <c r="F1736" s="14" t="n">
        <v>5.8278</v>
      </c>
      <c r="G1736" s="92">
        <f t="array" ref="G1736">IF(B1736="insumo",_xlfn.XLOOKUP($D1736,Insumos!$B$1:$B$996,Insumos!$D$1:$D$996),"")</f>
        <v/>
      </c>
      <c r="H1736" s="92" t="n">
        <v>46.505844</v>
      </c>
      <c r="I1736" s="2162" t="n">
        <v>0</v>
      </c>
      <c r="J1736" s="2162" t="n">
        <v>0</v>
      </c>
      <c r="K1736" s="2162" t="n"/>
    </row>
    <row r="1737" outlineLevel="3" ht="15.75" customHeight="1">
      <c r="A1737" s="10" t="n">
        <v>95</v>
      </c>
      <c r="B1737" s="10" t="inlineStr">
        <is>
          <t>Insumo</t>
        </is>
      </c>
      <c r="C1737" s="10" t="inlineStr">
        <is>
          <t>31_DRY 70 mm - 1 PLACA - 8,25cm  -  Lado A: PLACA ST - Lado B: N/A</t>
        </is>
      </c>
      <c r="D1737" s="10" t="inlineStr">
        <is>
          <t>MASSA DE REJUNTE EM PO PARA DRYWALL, A BASE DE GESSO, SECAGEM RAPIDA, PARA TRATAMENTO DE JUNTAS DE CHAPA DE GESSO (NECESSITA ADICAO DE AGUA)</t>
        </is>
      </c>
      <c r="E1737" s="11">
        <f t="array" ref="E1737">_xlfn.XLOOKUP(D1737,Insumos!B:B,Insumos!C:$C)</f>
        <v/>
      </c>
      <c r="F1737" s="14" t="n">
        <v>0.5489000000000001</v>
      </c>
      <c r="G1737" s="92">
        <f t="array" ref="G1737">IF(B1737="insumo",_xlfn.XLOOKUP($D1737,Insumos!$B$1:$B$996,Insumos!$D$1:$D$996),"")</f>
        <v/>
      </c>
      <c r="H1737" s="92" t="n">
        <v>1.882727</v>
      </c>
      <c r="I1737" s="2162" t="n">
        <v>0</v>
      </c>
      <c r="J1737" s="2162" t="n">
        <v>0</v>
      </c>
      <c r="K1737" s="2162" t="n"/>
    </row>
    <row r="1738" outlineLevel="3" ht="15.75" customHeight="1">
      <c r="A1738" s="10" t="n">
        <v>94</v>
      </c>
      <c r="B1738" s="10" t="inlineStr">
        <is>
          <t>Insumo</t>
        </is>
      </c>
      <c r="C1738" s="10" t="inlineStr">
        <is>
          <t>31_DRY 70 mm - 1 PLACA - 8,25cm  -  Lado A: PLACA ST - Lado B: N/A</t>
        </is>
      </c>
      <c r="D1738" s="10" t="inlineStr">
        <is>
          <t>FITA DE PAPEL MICROPERFURADO, 50 X 150 MM, PARA TRATAMENTO DE JUNTAS DE CHAPA DE GESSO PARA DRYWALL</t>
        </is>
      </c>
      <c r="E1738" s="11">
        <f t="array" ref="E1738">_xlfn.XLOOKUP(D1738,Insumos!B:B,Insumos!C:$C)</f>
        <v/>
      </c>
      <c r="F1738" s="14" t="n">
        <v>1.25135</v>
      </c>
      <c r="G1738" s="92">
        <f t="array" ref="G1738">IF(B1738="insumo",_xlfn.XLOOKUP($D1738,Insumos!$B$1:$B$996,Insumos!$D$1:$D$996),"")</f>
        <v/>
      </c>
      <c r="H1738" s="92" t="n">
        <v>0.3879185</v>
      </c>
      <c r="I1738" s="2162" t="n">
        <v>0</v>
      </c>
      <c r="J1738" s="2162" t="n">
        <v>0</v>
      </c>
      <c r="K1738" s="2162" t="n"/>
    </row>
    <row r="1739" outlineLevel="3" ht="15.75" customHeight="1">
      <c r="A1739" s="10" t="n">
        <v>94</v>
      </c>
      <c r="B1739" s="10" t="inlineStr">
        <is>
          <t>Insumo</t>
        </is>
      </c>
      <c r="C1739" s="10" t="inlineStr">
        <is>
          <t>31_DRY 70 mm - 1 PLACA - 8,25cm  -  Lado A: PLACA ST - Lado B: N/A</t>
        </is>
      </c>
      <c r="D1739" s="10" t="inlineStr">
        <is>
          <t>FITA DE PAPEL REFORCADA COM LAMINA DE METAL PARA REFORCO DE CANTOS DE CHAPA DE GESSO PARA DRYWALL</t>
        </is>
      </c>
      <c r="E1739" s="11">
        <f t="array" ref="E1739">_xlfn.XLOOKUP(D1739,Insumos!B:B,Insumos!C:$C)</f>
        <v/>
      </c>
      <c r="F1739" s="14" t="n">
        <v>0.79255</v>
      </c>
      <c r="G1739" s="92">
        <f t="array" ref="G1739">IF(B1739="insumo",_xlfn.XLOOKUP($D1739,Insumos!$B$1:$B$996,Insumos!$D$1:$D$996),"")</f>
        <v/>
      </c>
      <c r="H1739" s="92" t="n">
        <v>2.171587</v>
      </c>
      <c r="I1739" s="2162" t="n">
        <v>0</v>
      </c>
      <c r="J1739" s="2162" t="n">
        <v>0</v>
      </c>
      <c r="K1739" s="2162" t="n"/>
    </row>
    <row r="1740" outlineLevel="3" ht="15.75" customHeight="1">
      <c r="A1740" s="10" t="n">
        <v>97</v>
      </c>
      <c r="B1740" s="10" t="inlineStr">
        <is>
          <t>Insumo</t>
        </is>
      </c>
      <c r="C1740" s="10" t="inlineStr">
        <is>
          <t>31_DRY 70 mm - 1 PLACA - 8,25cm  -  Lado A: PLACA ST - Lado B: N/A</t>
        </is>
      </c>
      <c r="D1740" s="10" t="inlineStr">
        <is>
          <t>PARAFUSO DRY WALL, EM ACO FOSFATIZADO, CABECA TROMBETA E PONTA AGULHA (TA), COMPRIMENTO 25 MM</t>
        </is>
      </c>
      <c r="E1740" s="11">
        <f t="array" ref="E1740">_xlfn.XLOOKUP(D1740,Insumos!B:B,Insumos!C:$C)</f>
        <v/>
      </c>
      <c r="F1740" s="14" t="n">
        <v>10.0934</v>
      </c>
      <c r="G1740" s="92">
        <f t="array" ref="G1740">IF(B1740="insumo",_xlfn.XLOOKUP($D1740,Insumos!$B$1:$B$996,Insumos!$D$1:$D$996),"")</f>
        <v/>
      </c>
      <c r="H1740" s="92" t="n">
        <v>0.908406</v>
      </c>
      <c r="I1740" s="2162" t="n">
        <v>0</v>
      </c>
      <c r="J1740" s="2162" t="n">
        <v>0</v>
      </c>
      <c r="K1740" s="2162" t="n"/>
    </row>
    <row r="1741" outlineLevel="3" ht="15.75" customHeight="1">
      <c r="A1741" s="10" t="n">
        <v>95</v>
      </c>
      <c r="B1741" s="10" t="inlineStr">
        <is>
          <t>Insumo</t>
        </is>
      </c>
      <c r="C1741" s="10" t="inlineStr">
        <is>
          <t>31_DRY 70 mm - 1 PLACA - 8,25cm  -  Lado A: PLACA ST - Lado B: N/A</t>
        </is>
      </c>
      <c r="D1741" s="10" t="inlineStr">
        <is>
          <t>PARAFUSO DRY WALL, EM ACO ZINCADO, CABECA LENTILHA E PONTA BROCA (LB), LARGURA 4,2 MM, COMPRIMENTO 13 MM</t>
        </is>
      </c>
      <c r="E1741" s="11">
        <f t="array" ref="E1741">_xlfn.XLOOKUP(D1741,Insumos!B:B,Insumos!C:$C)</f>
        <v/>
      </c>
      <c r="F1741" s="14" t="n">
        <v>0.27205</v>
      </c>
      <c r="G1741" s="92">
        <f t="array" ref="G1741">IF(B1741="insumo",_xlfn.XLOOKUP($D1741,Insumos!$B$1:$B$996,Insumos!$D$1:$D$996),"")</f>
        <v/>
      </c>
      <c r="H1741" s="92" t="n">
        <v>0.05441</v>
      </c>
      <c r="I1741" s="2162" t="n">
        <v>0</v>
      </c>
      <c r="J1741" s="2162" t="n">
        <v>0</v>
      </c>
      <c r="K1741" s="2162" t="n"/>
    </row>
    <row r="1742" outlineLevel="2" ht="15.75" customHeight="1">
      <c r="A1742" s="1067" t="n">
        <v>1</v>
      </c>
      <c r="B1742" s="1067" t="inlineStr">
        <is>
          <t>Serviço</t>
        </is>
      </c>
      <c r="C1742" s="1067" t="inlineStr">
        <is>
          <t>35_DRY 70 mm LV - 1 PLACA - 8,25cm  -  Lado A: PLACA RU - Lado B: N/A</t>
        </is>
      </c>
      <c r="D1742" s="1067" t="inlineStr">
        <is>
          <t>35_DRY 70 mm LV - 1 PLACA - 8,25cm  -  Lado A: PLACA RU - Lado B: N/A</t>
        </is>
      </c>
      <c r="E1742" s="1068" t="inlineStr">
        <is>
          <t>M2</t>
        </is>
      </c>
      <c r="F1742" s="1067" t="n"/>
      <c r="G1742" s="1069">
        <f t="array" ref="G1742">IF(B1742="insumo",_xlfn.XLOOKUP($D1742,Insumos!$B$1:$B$996,Insumos!$D$1:$D$996),"")</f>
        <v/>
      </c>
      <c r="H1742" s="1069" t="n">
        <v>181.354703166667</v>
      </c>
      <c r="I1742" s="2161" t="n">
        <v>0</v>
      </c>
      <c r="J1742" s="2161" t="n">
        <v>0</v>
      </c>
      <c r="K1742" s="2161" t="n"/>
    </row>
    <row r="1743" outlineLevel="3" ht="15.75" customHeight="1">
      <c r="A1743" s="10" t="n">
        <v>86</v>
      </c>
      <c r="B1743" s="10" t="inlineStr">
        <is>
          <t>Insumo</t>
        </is>
      </c>
      <c r="C1743" s="10" t="inlineStr">
        <is>
          <t>35_DRY 70 mm LV - 1 PLACA - 8,25cm  -  Lado A: PLACA RU - Lado B: N/A</t>
        </is>
      </c>
      <c r="D1743" s="10" t="inlineStr">
        <is>
          <t>SERVICO - CONFECCAO SHAFT GESSO</t>
        </is>
      </c>
      <c r="E1743" s="11">
        <f t="array" ref="E1743">_xlfn.XLOOKUP(D1743,Insumos!B:B,Insumos!C:$C)</f>
        <v/>
      </c>
      <c r="F1743" s="14" t="n">
        <v>1</v>
      </c>
      <c r="G1743" s="92">
        <f t="array" ref="G1743">IF(B1743="insumo",_xlfn.XLOOKUP($D1743,Insumos!$B$1:$B$996,Insumos!$D$1:$D$996),"")</f>
        <v/>
      </c>
      <c r="H1743" s="92" t="n">
        <v>70</v>
      </c>
      <c r="I1743" s="2162" t="n">
        <v>0</v>
      </c>
      <c r="J1743" s="2162" t="n">
        <v>0</v>
      </c>
      <c r="K1743" s="2162" t="n"/>
    </row>
    <row r="1744" outlineLevel="3" ht="15.75" customHeight="1">
      <c r="A1744" s="10" t="n">
        <v>49</v>
      </c>
      <c r="B1744" s="10" t="inlineStr">
        <is>
          <t>Insumo</t>
        </is>
      </c>
      <c r="C1744" s="10" t="inlineStr">
        <is>
          <t>35_DRY 70 mm LV - 1 PLACA - 8,25cm  -  Lado A: PLACA RU - Lado B: N/A</t>
        </is>
      </c>
      <c r="D1744" s="10" t="inlineStr">
        <is>
          <t>PLACA / CHAPA DE GESSO ACARTONADO, RESISTENTE A UMIDADE (RU), COR VERDE, E = 12,5 MM, 1200 X 2400 MM (L X C)</t>
        </is>
      </c>
      <c r="E1744" s="11">
        <f t="array" ref="E1744">_xlfn.XLOOKUP(D1744,Insumos!B:B,Insumos!C:$C)</f>
        <v/>
      </c>
      <c r="F1744" s="14" t="n">
        <v>1.053</v>
      </c>
      <c r="G1744" s="92">
        <f t="array" ref="G1744">IF(B1744="insumo",_xlfn.XLOOKUP($D1744,Insumos!$B$1:$B$996,Insumos!$D$1:$D$996),"")</f>
        <v/>
      </c>
      <c r="H1744" s="92" t="n">
        <v>28.5363</v>
      </c>
      <c r="I1744" s="2162" t="n">
        <v>0</v>
      </c>
      <c r="J1744" s="2162" t="n">
        <v>0</v>
      </c>
      <c r="K1744" s="2162" t="n"/>
    </row>
    <row r="1745" outlineLevel="3" ht="15.75" customHeight="1">
      <c r="A1745" s="10" t="n">
        <v>95</v>
      </c>
      <c r="B1745" s="10" t="inlineStr">
        <is>
          <t>Insumo</t>
        </is>
      </c>
      <c r="C1745" s="10" t="inlineStr">
        <is>
          <t>35_DRY 70 mm LV - 1 PLACA - 8,25cm  -  Lado A: PLACA RU - Lado B: N/A</t>
        </is>
      </c>
      <c r="D1745" s="10" t="inlineStr">
        <is>
          <t>PINO DE ACO COM ARRUELA CONICA, DIAMETRO ARRUELA = *23* MM E COMP HASTE = *27* MM (ACAO INDIRETA)</t>
        </is>
      </c>
      <c r="E1745" s="11">
        <f t="array" ref="E1745">_xlfn.XLOOKUP(D1745,Insumos!B:B,Insumos!C:$C)</f>
        <v/>
      </c>
      <c r="F1745" s="14" t="n">
        <v>5.92</v>
      </c>
      <c r="G1745" s="92">
        <f t="array" ref="G1745">IF(B1745="insumo",_xlfn.XLOOKUP($D1745,Insumos!$B$1:$B$996,Insumos!$D$1:$D$996),"")</f>
        <v/>
      </c>
      <c r="H1745" s="92" t="n">
        <v>2.98368</v>
      </c>
      <c r="I1745" s="2162" t="n">
        <v>0</v>
      </c>
      <c r="J1745" s="2162" t="n">
        <v>0</v>
      </c>
      <c r="K1745" s="2162" t="n"/>
    </row>
    <row r="1746" outlineLevel="3" ht="15.75" customHeight="1">
      <c r="A1746" s="10" t="n">
        <v>43</v>
      </c>
      <c r="B1746" s="10" t="inlineStr">
        <is>
          <t>Insumo</t>
        </is>
      </c>
      <c r="C1746" s="10" t="inlineStr">
        <is>
          <t>35_DRY 70 mm LV - 1 PLACA - 8,25cm  -  Lado A: PLACA RU - Lado B: N/A</t>
        </is>
      </c>
      <c r="D1746" s="10" t="inlineStr">
        <is>
          <t>PERFIL GUIA, FORMATO U, EM ACO ZINCADO, PARA ESTRUTURA PAREDE DRYWALL, E = 0,5 MM, 70 X 3000 MM (L X C)</t>
        </is>
      </c>
      <c r="E1746" s="11">
        <f t="array" ref="E1746">_xlfn.XLOOKUP(D1746,Insumos!B:B,Insumos!C:$C)</f>
        <v/>
      </c>
      <c r="F1746" s="14" t="n">
        <v>1.8234</v>
      </c>
      <c r="G1746" s="92">
        <f t="array" ref="G1746">IF(B1746="insumo",_xlfn.XLOOKUP($D1746,Insumos!$B$1:$B$996,Insumos!$D$1:$D$996),"")</f>
        <v/>
      </c>
      <c r="H1746" s="92" t="n">
        <v>13.602564</v>
      </c>
      <c r="I1746" s="2162" t="n">
        <v>0</v>
      </c>
      <c r="J1746" s="2162" t="n">
        <v>0</v>
      </c>
      <c r="K1746" s="2162" t="n"/>
    </row>
    <row r="1747" outlineLevel="3" ht="15.75" customHeight="1">
      <c r="A1747" s="10" t="n">
        <v>43</v>
      </c>
      <c r="B1747" s="10" t="inlineStr">
        <is>
          <t>Insumo</t>
        </is>
      </c>
      <c r="C1747" s="10" t="inlineStr">
        <is>
          <t>35_DRY 70 mm LV - 1 PLACA - 8,25cm  -  Lado A: PLACA RU - Lado B: N/A</t>
        </is>
      </c>
      <c r="D1747" s="10" t="inlineStr">
        <is>
          <t>PERFIL MONTANTE, FORMATO C, EM ACO ZINCADO, PARA ESTRUTURA PAREDE DRYWALL, E = 0,5 MM, 70 X 3000 MM (L X C)</t>
        </is>
      </c>
      <c r="E1747" s="11">
        <f t="array" ref="E1747">_xlfn.XLOOKUP(D1747,Insumos!B:B,Insumos!C:$C)</f>
        <v/>
      </c>
      <c r="F1747" s="14" t="n">
        <v>5.8278</v>
      </c>
      <c r="G1747" s="92">
        <f t="array" ref="G1747">IF(B1747="insumo",_xlfn.XLOOKUP($D1747,Insumos!$B$1:$B$996,Insumos!$D$1:$D$996),"")</f>
        <v/>
      </c>
      <c r="H1747" s="92" t="n">
        <v>46.505844</v>
      </c>
      <c r="I1747" s="2162" t="n">
        <v>0</v>
      </c>
      <c r="J1747" s="2162" t="n">
        <v>0</v>
      </c>
      <c r="K1747" s="2162" t="n"/>
    </row>
    <row r="1748" outlineLevel="3" ht="15.75" customHeight="1">
      <c r="A1748" s="10" t="n">
        <v>95</v>
      </c>
      <c r="B1748" s="10" t="inlineStr">
        <is>
          <t>Insumo</t>
        </is>
      </c>
      <c r="C1748" s="10" t="inlineStr">
        <is>
          <t>35_DRY 70 mm LV - 1 PLACA - 8,25cm  -  Lado A: PLACA RU - Lado B: N/A</t>
        </is>
      </c>
      <c r="D1748" s="10" t="inlineStr">
        <is>
          <t>MASSA DE REJUNTE EM PO PARA DRYWALL, A BASE DE GESSO, SECAGEM RAPIDA, PARA TRATAMENTO DE JUNTAS DE CHAPA DE GESSO (NECESSITA ADICAO DE AGUA)</t>
        </is>
      </c>
      <c r="E1748" s="11">
        <f t="array" ref="E1748">_xlfn.XLOOKUP(D1748,Insumos!B:B,Insumos!C:$C)</f>
        <v/>
      </c>
      <c r="F1748" s="14" t="n">
        <v>0.5489000000000001</v>
      </c>
      <c r="G1748" s="92">
        <f t="array" ref="G1748">IF(B1748="insumo",_xlfn.XLOOKUP($D1748,Insumos!$B$1:$B$996,Insumos!$D$1:$D$996),"")</f>
        <v/>
      </c>
      <c r="H1748" s="92" t="n">
        <v>1.882727</v>
      </c>
      <c r="I1748" s="2162" t="n">
        <v>0</v>
      </c>
      <c r="J1748" s="2162" t="n">
        <v>0</v>
      </c>
      <c r="K1748" s="2162" t="n"/>
    </row>
    <row r="1749" outlineLevel="3" ht="15.75" customHeight="1">
      <c r="A1749" s="10" t="n">
        <v>94</v>
      </c>
      <c r="B1749" s="10" t="inlineStr">
        <is>
          <t>Insumo</t>
        </is>
      </c>
      <c r="C1749" s="10" t="inlineStr">
        <is>
          <t>35_DRY 70 mm LV - 1 PLACA - 8,25cm  -  Lado A: PLACA RU - Lado B: N/A</t>
        </is>
      </c>
      <c r="D1749" s="10" t="inlineStr">
        <is>
          <t>FITA DE PAPEL MICROPERFURADO, 50 X 150 MM, PARA TRATAMENTO DE JUNTAS DE CHAPA DE GESSO PARA DRYWALL</t>
        </is>
      </c>
      <c r="E1749" s="11">
        <f t="array" ref="E1749">_xlfn.XLOOKUP(D1749,Insumos!B:B,Insumos!C:$C)</f>
        <v/>
      </c>
      <c r="F1749" s="14" t="n">
        <v>1.25135</v>
      </c>
      <c r="G1749" s="92">
        <f t="array" ref="G1749">IF(B1749="insumo",_xlfn.XLOOKUP($D1749,Insumos!$B$1:$B$996,Insumos!$D$1:$D$996),"")</f>
        <v/>
      </c>
      <c r="H1749" s="92" t="n">
        <v>0.3879185</v>
      </c>
      <c r="I1749" s="2162" t="n">
        <v>0</v>
      </c>
      <c r="J1749" s="2162" t="n">
        <v>0</v>
      </c>
      <c r="K1749" s="2162" t="n"/>
    </row>
    <row r="1750" outlineLevel="3" ht="15.75" customHeight="1">
      <c r="A1750" s="10" t="n">
        <v>94</v>
      </c>
      <c r="B1750" s="10" t="inlineStr">
        <is>
          <t>Insumo</t>
        </is>
      </c>
      <c r="C1750" s="10" t="inlineStr">
        <is>
          <t>35_DRY 70 mm LV - 1 PLACA - 8,25cm  -  Lado A: PLACA RU - Lado B: N/A</t>
        </is>
      </c>
      <c r="D1750" s="10" t="inlineStr">
        <is>
          <t>FITA DE PAPEL REFORCADA COM LAMINA DE METAL PARA REFORCO DE CANTOS DE CHAPA DE GESSO PARA DRYWALL</t>
        </is>
      </c>
      <c r="E1750" s="11">
        <f t="array" ref="E1750">_xlfn.XLOOKUP(D1750,Insumos!B:B,Insumos!C:$C)</f>
        <v/>
      </c>
      <c r="F1750" s="14" t="n">
        <v>0.79255</v>
      </c>
      <c r="G1750" s="92">
        <f t="array" ref="G1750">IF(B1750="insumo",_xlfn.XLOOKUP($D1750,Insumos!$B$1:$B$996,Insumos!$D$1:$D$996),"")</f>
        <v/>
      </c>
      <c r="H1750" s="92" t="n">
        <v>2.171587</v>
      </c>
      <c r="I1750" s="2162" t="n">
        <v>0</v>
      </c>
      <c r="J1750" s="2162" t="n">
        <v>0</v>
      </c>
      <c r="K1750" s="2162" t="n"/>
    </row>
    <row r="1751" outlineLevel="3" ht="15.75" customHeight="1">
      <c r="A1751" s="10" t="n">
        <v>97</v>
      </c>
      <c r="B1751" s="10" t="inlineStr">
        <is>
          <t>Insumo</t>
        </is>
      </c>
      <c r="C1751" s="10" t="inlineStr">
        <is>
          <t>35_DRY 70 mm LV - 1 PLACA - 8,25cm  -  Lado A: PLACA RU - Lado B: N/A</t>
        </is>
      </c>
      <c r="D1751" s="10" t="inlineStr">
        <is>
          <t>PARAFUSO DRY WALL, EM ACO FOSFATIZADO, CABECA TROMBETA E PONTA AGULHA (TA), COMPRIMENTO 25 MM</t>
        </is>
      </c>
      <c r="E1751" s="11">
        <f t="array" ref="E1751">_xlfn.XLOOKUP(D1751,Insumos!B:B,Insumos!C:$C)</f>
        <v/>
      </c>
      <c r="F1751" s="14" t="n">
        <v>10.0934</v>
      </c>
      <c r="G1751" s="92">
        <f t="array" ref="G1751">IF(B1751="insumo",_xlfn.XLOOKUP($D1751,Insumos!$B$1:$B$996,Insumos!$D$1:$D$996),"")</f>
        <v/>
      </c>
      <c r="H1751" s="92" t="n">
        <v>0.908406</v>
      </c>
      <c r="I1751" s="2162" t="n">
        <v>0</v>
      </c>
      <c r="J1751" s="2162" t="n">
        <v>0</v>
      </c>
      <c r="K1751" s="2162" t="n"/>
    </row>
    <row r="1752" outlineLevel="3" ht="15.75" customHeight="1">
      <c r="A1752" s="10" t="n">
        <v>95</v>
      </c>
      <c r="B1752" s="10" t="inlineStr">
        <is>
          <t>Insumo</t>
        </is>
      </c>
      <c r="C1752" s="10" t="inlineStr">
        <is>
          <t>35_DRY 70 mm LV - 1 PLACA - 8,25cm  -  Lado A: PLACA RU - Lado B: N/A</t>
        </is>
      </c>
      <c r="D1752" s="10" t="inlineStr">
        <is>
          <t>PARAFUSO DRY WALL, EM ACO ZINCADO, CABECA LENTILHA E PONTA BROCA (LB), LARGURA 4,2 MM, COMPRIMENTO 13 MM</t>
        </is>
      </c>
      <c r="E1752" s="11">
        <f t="array" ref="E1752">_xlfn.XLOOKUP(D1752,Insumos!B:B,Insumos!C:$C)</f>
        <v/>
      </c>
      <c r="F1752" s="14" t="n">
        <v>0.27205</v>
      </c>
      <c r="G1752" s="92">
        <f t="array" ref="G1752">IF(B1752="insumo",_xlfn.XLOOKUP($D1752,Insumos!$B$1:$B$996,Insumos!$D$1:$D$996),"")</f>
        <v/>
      </c>
      <c r="H1752" s="92" t="n">
        <v>0.05441</v>
      </c>
      <c r="I1752" s="2162" t="n">
        <v>0</v>
      </c>
      <c r="J1752" s="2162" t="n">
        <v>0</v>
      </c>
      <c r="K1752" s="2162" t="n"/>
    </row>
    <row r="1753" outlineLevel="3" ht="15.75" customHeight="1">
      <c r="A1753" s="10" t="n">
        <v>35</v>
      </c>
      <c r="B1753" s="10" t="inlineStr">
        <is>
          <t>Insumo</t>
        </is>
      </c>
      <c r="C1753" s="10" t="inlineStr">
        <is>
          <t>35_DRY 70 mm LV - 1 PLACA - 8,25cm  -  Lado A: PLACA RU - Lado B: N/A</t>
        </is>
      </c>
      <c r="D1753" s="10" t="inlineStr">
        <is>
          <t>Lã de pet 50 X 1200 X 12500 MM</t>
        </is>
      </c>
      <c r="E1753" s="11">
        <f t="array" ref="E1753">_xlfn.XLOOKUP(D1753,Insumos!B:B,Insumos!C:$C)</f>
        <v/>
      </c>
      <c r="F1753" s="14" t="n">
        <v>1.1</v>
      </c>
      <c r="G1753" s="92">
        <f t="array" ref="G1753">IF(B1753="insumo",_xlfn.XLOOKUP($D1753,Insumos!$B$1:$B$996,Insumos!$D$1:$D$996),"")</f>
        <v/>
      </c>
      <c r="H1753" s="92" t="n">
        <v>14.3212666666667</v>
      </c>
      <c r="I1753" s="2162" t="n">
        <v>0</v>
      </c>
      <c r="J1753" s="2162" t="n">
        <v>0</v>
      </c>
      <c r="K1753" s="2162" t="n"/>
    </row>
    <row r="1754" outlineLevel="2" ht="15.75" customHeight="1">
      <c r="A1754" s="1067" t="n">
        <v>1</v>
      </c>
      <c r="B1754" s="1067" t="inlineStr">
        <is>
          <t>Serviço</t>
        </is>
      </c>
      <c r="C1754" s="1067" t="inlineStr">
        <is>
          <t>35_DRY 70 mm LV - 1 PLACA - 8,25cm  -  Lado A: PLACA ST - Lado B: N/A</t>
        </is>
      </c>
      <c r="D1754" s="1067" t="inlineStr">
        <is>
          <t>35_DRY 70 mm LV - 1 PLACA - 8,25cm  -  Lado A: PLACA ST - Lado B: N/A</t>
        </is>
      </c>
      <c r="E1754" s="1068" t="inlineStr">
        <is>
          <t>M2</t>
        </is>
      </c>
      <c r="F1754" s="1067" t="n"/>
      <c r="G1754" s="1069">
        <f t="array" ref="G1754">IF(B1754="insumo",_xlfn.XLOOKUP($D1754,Insumos!$B$1:$B$996,Insumos!$D$1:$D$996),"")</f>
        <v/>
      </c>
      <c r="H1754" s="1069" t="n">
        <v>174.046883166667</v>
      </c>
      <c r="I1754" s="2161" t="n">
        <v>0</v>
      </c>
      <c r="J1754" s="2161" t="n">
        <v>0</v>
      </c>
      <c r="K1754" s="2161" t="n"/>
    </row>
    <row r="1755" outlineLevel="3" ht="15.75" customHeight="1">
      <c r="A1755" s="10" t="n">
        <v>86</v>
      </c>
      <c r="B1755" s="10" t="inlineStr">
        <is>
          <t>Insumo</t>
        </is>
      </c>
      <c r="C1755" s="10" t="inlineStr">
        <is>
          <t>35_DRY 70 mm LV - 1 PLACA - 8,25cm  -  Lado A: PLACA ST - Lado B: N/A</t>
        </is>
      </c>
      <c r="D1755" s="10" t="inlineStr">
        <is>
          <t>SERVICO - CONFECCAO SHAFT GESSO</t>
        </is>
      </c>
      <c r="E1755" s="11">
        <f t="array" ref="E1755">_xlfn.XLOOKUP(D1755,Insumos!B:B,Insumos!C:$C)</f>
        <v/>
      </c>
      <c r="F1755" s="14" t="n">
        <v>1</v>
      </c>
      <c r="G1755" s="92">
        <f t="array" ref="G1755">IF(B1755="insumo",_xlfn.XLOOKUP($D1755,Insumos!$B$1:$B$996,Insumos!$D$1:$D$996),"")</f>
        <v/>
      </c>
      <c r="H1755" s="92" t="n">
        <v>70</v>
      </c>
      <c r="I1755" s="2162" t="n">
        <v>0</v>
      </c>
      <c r="J1755" s="2162" t="n">
        <v>0</v>
      </c>
      <c r="K1755" s="2162" t="n"/>
    </row>
    <row r="1756" outlineLevel="3" ht="15.75" customHeight="1">
      <c r="A1756" s="10" t="n">
        <v>47</v>
      </c>
      <c r="B1756" s="10" t="inlineStr">
        <is>
          <t>Insumo</t>
        </is>
      </c>
      <c r="C1756" s="10" t="inlineStr">
        <is>
          <t>35_DRY 70 mm LV - 1 PLACA - 8,25cm  -  Lado A: PLACA ST - Lado B: N/A</t>
        </is>
      </c>
      <c r="D1756" s="10" t="inlineStr">
        <is>
          <t>PLACA / CHAPA DE GESSO ACARTONADO, STANDARD (ST), COR BRANCA, E = 12,5 MM, 1200 X 2400 MM (L X C)</t>
        </is>
      </c>
      <c r="E1756" s="11">
        <f t="array" ref="E1756">_xlfn.XLOOKUP(D1756,Insumos!B:B,Insumos!C:$C)</f>
        <v/>
      </c>
      <c r="F1756" s="14" t="n">
        <v>1.053</v>
      </c>
      <c r="G1756" s="92">
        <f t="array" ref="G1756">IF(B1756="insumo",_xlfn.XLOOKUP($D1756,Insumos!$B$1:$B$996,Insumos!$D$1:$D$996),"")</f>
        <v/>
      </c>
      <c r="H1756" s="92" t="n">
        <v>21.22848</v>
      </c>
      <c r="I1756" s="2162" t="n">
        <v>0</v>
      </c>
      <c r="J1756" s="2162" t="n">
        <v>0</v>
      </c>
      <c r="K1756" s="2162" t="n"/>
    </row>
    <row r="1757" outlineLevel="3" ht="15.75" customHeight="1">
      <c r="A1757" s="10" t="n">
        <v>95</v>
      </c>
      <c r="B1757" s="10" t="inlineStr">
        <is>
          <t>Insumo</t>
        </is>
      </c>
      <c r="C1757" s="10" t="inlineStr">
        <is>
          <t>35_DRY 70 mm LV - 1 PLACA - 8,25cm  -  Lado A: PLACA ST - Lado B: N/A</t>
        </is>
      </c>
      <c r="D1757" s="10" t="inlineStr">
        <is>
          <t>PINO DE ACO COM ARRUELA CONICA, DIAMETRO ARRUELA = *23* MM E COMP HASTE = *27* MM (ACAO INDIRETA)</t>
        </is>
      </c>
      <c r="E1757" s="11">
        <f t="array" ref="E1757">_xlfn.XLOOKUP(D1757,Insumos!B:B,Insumos!C:$C)</f>
        <v/>
      </c>
      <c r="F1757" s="14" t="n">
        <v>5.92</v>
      </c>
      <c r="G1757" s="92">
        <f t="array" ref="G1757">IF(B1757="insumo",_xlfn.XLOOKUP($D1757,Insumos!$B$1:$B$996,Insumos!$D$1:$D$996),"")</f>
        <v/>
      </c>
      <c r="H1757" s="92" t="n">
        <v>2.98368</v>
      </c>
      <c r="I1757" s="2162" t="n">
        <v>0</v>
      </c>
      <c r="J1757" s="2162" t="n">
        <v>0</v>
      </c>
      <c r="K1757" s="2162" t="n"/>
    </row>
    <row r="1758" outlineLevel="3" ht="15.75" customHeight="1">
      <c r="A1758" s="10" t="n">
        <v>43</v>
      </c>
      <c r="B1758" s="10" t="inlineStr">
        <is>
          <t>Insumo</t>
        </is>
      </c>
      <c r="C1758" s="10" t="inlineStr">
        <is>
          <t>35_DRY 70 mm LV - 1 PLACA - 8,25cm  -  Lado A: PLACA ST - Lado B: N/A</t>
        </is>
      </c>
      <c r="D1758" s="10" t="inlineStr">
        <is>
          <t>PERFIL GUIA, FORMATO U, EM ACO ZINCADO, PARA ESTRUTURA PAREDE DRYWALL, E = 0,5 MM, 70 X 3000 MM (L X C)</t>
        </is>
      </c>
      <c r="E1758" s="11">
        <f t="array" ref="E1758">_xlfn.XLOOKUP(D1758,Insumos!B:B,Insumos!C:$C)</f>
        <v/>
      </c>
      <c r="F1758" s="14" t="n">
        <v>1.8234</v>
      </c>
      <c r="G1758" s="92">
        <f t="array" ref="G1758">IF(B1758="insumo",_xlfn.XLOOKUP($D1758,Insumos!$B$1:$B$996,Insumos!$D$1:$D$996),"")</f>
        <v/>
      </c>
      <c r="H1758" s="92" t="n">
        <v>13.602564</v>
      </c>
      <c r="I1758" s="2162" t="n">
        <v>0</v>
      </c>
      <c r="J1758" s="2162" t="n">
        <v>0</v>
      </c>
      <c r="K1758" s="2162" t="n"/>
    </row>
    <row r="1759" outlineLevel="3" ht="15.75" customHeight="1">
      <c r="A1759" s="10" t="n">
        <v>43</v>
      </c>
      <c r="B1759" s="10" t="inlineStr">
        <is>
          <t>Insumo</t>
        </is>
      </c>
      <c r="C1759" s="10" t="inlineStr">
        <is>
          <t>35_DRY 70 mm LV - 1 PLACA - 8,25cm  -  Lado A: PLACA ST - Lado B: N/A</t>
        </is>
      </c>
      <c r="D1759" s="10" t="inlineStr">
        <is>
          <t>PERFIL MONTANTE, FORMATO C, EM ACO ZINCADO, PARA ESTRUTURA PAREDE DRYWALL, E = 0,5 MM, 70 X 3000 MM (L X C)</t>
        </is>
      </c>
      <c r="E1759" s="11">
        <f t="array" ref="E1759">_xlfn.XLOOKUP(D1759,Insumos!B:B,Insumos!C:$C)</f>
        <v/>
      </c>
      <c r="F1759" s="14" t="n">
        <v>5.8278</v>
      </c>
      <c r="G1759" s="92">
        <f t="array" ref="G1759">IF(B1759="insumo",_xlfn.XLOOKUP($D1759,Insumos!$B$1:$B$996,Insumos!$D$1:$D$996),"")</f>
        <v/>
      </c>
      <c r="H1759" s="92" t="n">
        <v>46.505844</v>
      </c>
      <c r="I1759" s="2162" t="n">
        <v>0</v>
      </c>
      <c r="J1759" s="2162" t="n">
        <v>0</v>
      </c>
      <c r="K1759" s="2162" t="n"/>
    </row>
    <row r="1760" outlineLevel="3" ht="15.75" customHeight="1">
      <c r="A1760" s="10" t="n">
        <v>95</v>
      </c>
      <c r="B1760" s="10" t="inlineStr">
        <is>
          <t>Insumo</t>
        </is>
      </c>
      <c r="C1760" s="10" t="inlineStr">
        <is>
          <t>35_DRY 70 mm LV - 1 PLACA - 8,25cm  -  Lado A: PLACA ST - Lado B: N/A</t>
        </is>
      </c>
      <c r="D1760" s="10" t="inlineStr">
        <is>
          <t>MASSA DE REJUNTE EM PO PARA DRYWALL, A BASE DE GESSO, SECAGEM RAPIDA, PARA TRATAMENTO DE JUNTAS DE CHAPA DE GESSO (NECESSITA ADICAO DE AGUA)</t>
        </is>
      </c>
      <c r="E1760" s="11">
        <f t="array" ref="E1760">_xlfn.XLOOKUP(D1760,Insumos!B:B,Insumos!C:$C)</f>
        <v/>
      </c>
      <c r="F1760" s="14" t="n">
        <v>0.5489000000000001</v>
      </c>
      <c r="G1760" s="92">
        <f t="array" ref="G1760">IF(B1760="insumo",_xlfn.XLOOKUP($D1760,Insumos!$B$1:$B$996,Insumos!$D$1:$D$996),"")</f>
        <v/>
      </c>
      <c r="H1760" s="92" t="n">
        <v>1.882727</v>
      </c>
      <c r="I1760" s="2162" t="n">
        <v>0</v>
      </c>
      <c r="J1760" s="2162" t="n">
        <v>0</v>
      </c>
      <c r="K1760" s="2162" t="n"/>
    </row>
    <row r="1761" outlineLevel="3" ht="15.75" customHeight="1">
      <c r="A1761" s="10" t="n">
        <v>94</v>
      </c>
      <c r="B1761" s="10" t="inlineStr">
        <is>
          <t>Insumo</t>
        </is>
      </c>
      <c r="C1761" s="10" t="inlineStr">
        <is>
          <t>35_DRY 70 mm LV - 1 PLACA - 8,25cm  -  Lado A: PLACA ST - Lado B: N/A</t>
        </is>
      </c>
      <c r="D1761" s="10" t="inlineStr">
        <is>
          <t>FITA DE PAPEL MICROPERFURADO, 50 X 150 MM, PARA TRATAMENTO DE JUNTAS DE CHAPA DE GESSO PARA DRYWALL</t>
        </is>
      </c>
      <c r="E1761" s="11">
        <f t="array" ref="E1761">_xlfn.XLOOKUP(D1761,Insumos!B:B,Insumos!C:$C)</f>
        <v/>
      </c>
      <c r="F1761" s="14" t="n">
        <v>1.25135</v>
      </c>
      <c r="G1761" s="92">
        <f t="array" ref="G1761">IF(B1761="insumo",_xlfn.XLOOKUP($D1761,Insumos!$B$1:$B$996,Insumos!$D$1:$D$996),"")</f>
        <v/>
      </c>
      <c r="H1761" s="92" t="n">
        <v>0.3879185</v>
      </c>
      <c r="I1761" s="2162" t="n">
        <v>0</v>
      </c>
      <c r="J1761" s="2162" t="n">
        <v>0</v>
      </c>
      <c r="K1761" s="2162" t="n"/>
    </row>
    <row r="1762" outlineLevel="3" ht="15.75" customHeight="1">
      <c r="A1762" s="10" t="n">
        <v>94</v>
      </c>
      <c r="B1762" s="10" t="inlineStr">
        <is>
          <t>Insumo</t>
        </is>
      </c>
      <c r="C1762" s="10" t="inlineStr">
        <is>
          <t>35_DRY 70 mm LV - 1 PLACA - 8,25cm  -  Lado A: PLACA ST - Lado B: N/A</t>
        </is>
      </c>
      <c r="D1762" s="10" t="inlineStr">
        <is>
          <t>FITA DE PAPEL REFORCADA COM LAMINA DE METAL PARA REFORCO DE CANTOS DE CHAPA DE GESSO PARA DRYWALL</t>
        </is>
      </c>
      <c r="E1762" s="11">
        <f t="array" ref="E1762">_xlfn.XLOOKUP(D1762,Insumos!B:B,Insumos!C:$C)</f>
        <v/>
      </c>
      <c r="F1762" s="14" t="n">
        <v>0.79255</v>
      </c>
      <c r="G1762" s="92">
        <f t="array" ref="G1762">IF(B1762="insumo",_xlfn.XLOOKUP($D1762,Insumos!$B$1:$B$996,Insumos!$D$1:$D$996),"")</f>
        <v/>
      </c>
      <c r="H1762" s="92" t="n">
        <v>2.171587</v>
      </c>
      <c r="I1762" s="2162" t="n">
        <v>0</v>
      </c>
      <c r="J1762" s="2162" t="n">
        <v>0</v>
      </c>
      <c r="K1762" s="2162" t="n"/>
    </row>
    <row r="1763" outlineLevel="3" ht="15.75" customHeight="1">
      <c r="A1763" s="10" t="n">
        <v>97</v>
      </c>
      <c r="B1763" s="10" t="inlineStr">
        <is>
          <t>Insumo</t>
        </is>
      </c>
      <c r="C1763" s="10" t="inlineStr">
        <is>
          <t>35_DRY 70 mm LV - 1 PLACA - 8,25cm  -  Lado A: PLACA ST - Lado B: N/A</t>
        </is>
      </c>
      <c r="D1763" s="10" t="inlineStr">
        <is>
          <t>PARAFUSO DRY WALL, EM ACO FOSFATIZADO, CABECA TROMBETA E PONTA AGULHA (TA), COMPRIMENTO 25 MM</t>
        </is>
      </c>
      <c r="E1763" s="11">
        <f t="array" ref="E1763">_xlfn.XLOOKUP(D1763,Insumos!B:B,Insumos!C:$C)</f>
        <v/>
      </c>
      <c r="F1763" s="14" t="n">
        <v>10.0934</v>
      </c>
      <c r="G1763" s="92">
        <f t="array" ref="G1763">IF(B1763="insumo",_xlfn.XLOOKUP($D1763,Insumos!$B$1:$B$996,Insumos!$D$1:$D$996),"")</f>
        <v/>
      </c>
      <c r="H1763" s="92" t="n">
        <v>0.908406</v>
      </c>
      <c r="I1763" s="2162" t="n">
        <v>0</v>
      </c>
      <c r="J1763" s="2162" t="n">
        <v>0</v>
      </c>
      <c r="K1763" s="2162" t="n"/>
    </row>
    <row r="1764" outlineLevel="3" ht="15.75" customHeight="1">
      <c r="A1764" s="10" t="n">
        <v>95</v>
      </c>
      <c r="B1764" s="10" t="inlineStr">
        <is>
          <t>Insumo</t>
        </is>
      </c>
      <c r="C1764" s="10" t="inlineStr">
        <is>
          <t>35_DRY 70 mm LV - 1 PLACA - 8,25cm  -  Lado A: PLACA ST - Lado B: N/A</t>
        </is>
      </c>
      <c r="D1764" s="10" t="inlineStr">
        <is>
          <t>PARAFUSO DRY WALL, EM ACO ZINCADO, CABECA LENTILHA E PONTA BROCA (LB), LARGURA 4,2 MM, COMPRIMENTO 13 MM</t>
        </is>
      </c>
      <c r="E1764" s="11">
        <f t="array" ref="E1764">_xlfn.XLOOKUP(D1764,Insumos!B:B,Insumos!C:$C)</f>
        <v/>
      </c>
      <c r="F1764" s="14" t="n">
        <v>0.27205</v>
      </c>
      <c r="G1764" s="92">
        <f t="array" ref="G1764">IF(B1764="insumo",_xlfn.XLOOKUP($D1764,Insumos!$B$1:$B$996,Insumos!$D$1:$D$996),"")</f>
        <v/>
      </c>
      <c r="H1764" s="92" t="n">
        <v>0.05441</v>
      </c>
      <c r="I1764" s="2162" t="n">
        <v>0</v>
      </c>
      <c r="J1764" s="2162" t="n">
        <v>0</v>
      </c>
      <c r="K1764" s="2162" t="n"/>
    </row>
    <row r="1765" outlineLevel="3" ht="15.75" customHeight="1">
      <c r="A1765" s="10" t="n">
        <v>35</v>
      </c>
      <c r="B1765" s="10" t="inlineStr">
        <is>
          <t>Insumo</t>
        </is>
      </c>
      <c r="C1765" s="10" t="inlineStr">
        <is>
          <t>35_DRY 70 mm LV - 1 PLACA - 8,25cm  -  Lado A: PLACA ST - Lado B: N/A</t>
        </is>
      </c>
      <c r="D1765" s="10" t="inlineStr">
        <is>
          <t>Lã de pet 50 X 1200 X 12500 MM</t>
        </is>
      </c>
      <c r="E1765" s="11">
        <f t="array" ref="E1765">_xlfn.XLOOKUP(D1765,Insumos!B:B,Insumos!C:$C)</f>
        <v/>
      </c>
      <c r="F1765" s="14" t="n">
        <v>1.1</v>
      </c>
      <c r="G1765" s="92">
        <f t="array" ref="G1765">IF(B1765="insumo",_xlfn.XLOOKUP($D1765,Insumos!$B$1:$B$996,Insumos!$D$1:$D$996),"")</f>
        <v/>
      </c>
      <c r="H1765" s="92" t="n">
        <v>14.3212666666667</v>
      </c>
      <c r="I1765" s="2162" t="n">
        <v>0</v>
      </c>
      <c r="J1765" s="2162" t="n">
        <v>0</v>
      </c>
      <c r="K1765" s="2162" t="n"/>
    </row>
    <row r="1766" outlineLevel="2" ht="15.75" customHeight="1">
      <c r="A1766" s="1067" t="n">
        <v>1</v>
      </c>
      <c r="B1766" s="1067" t="inlineStr">
        <is>
          <t>Serviço</t>
        </is>
      </c>
      <c r="C1766" s="1067" t="inlineStr">
        <is>
          <t>35_DRY 70 mm LV - 1 PLACA - 8,25cm  -  Lado A: PLACA PERFORMANCE ST - Lado B: N/A</t>
        </is>
      </c>
      <c r="D1766" s="1067" t="inlineStr">
        <is>
          <t>35_DRY 70 mm LV - 1 PLACA - 8,25cm  -  Lado A: PLACA PERFORMANCE ST - Lado B: N/A</t>
        </is>
      </c>
      <c r="E1766" s="1068" t="inlineStr">
        <is>
          <t>M2</t>
        </is>
      </c>
      <c r="F1766" s="1067" t="n"/>
      <c r="G1766" s="1069">
        <f t="array" ref="G1766">IF(B1766="insumo",_xlfn.XLOOKUP($D1766,Insumos!$B$1:$B$996,Insumos!$D$1:$D$996),"")</f>
        <v/>
      </c>
      <c r="H1766" s="1069" t="n">
        <v>174.046883166667</v>
      </c>
      <c r="I1766" s="2161" t="n">
        <v>0</v>
      </c>
      <c r="J1766" s="2161" t="n">
        <v>0</v>
      </c>
      <c r="K1766" s="2161" t="n"/>
    </row>
    <row r="1767" outlineLevel="3" ht="15.75" customHeight="1">
      <c r="A1767" s="10" t="n">
        <v>86</v>
      </c>
      <c r="B1767" s="10" t="inlineStr">
        <is>
          <t>Insumo</t>
        </is>
      </c>
      <c r="C1767" s="10" t="inlineStr">
        <is>
          <t>35_DRY 70 mm LV - 1 PLACA - 8,25cm  -  Lado A: PLACA PERFORMANCE ST - Lado B: N/A</t>
        </is>
      </c>
      <c r="D1767" s="10" t="inlineStr">
        <is>
          <t>SERVICO - CONFECCAO SHAFT GESSO</t>
        </is>
      </c>
      <c r="E1767" s="11">
        <f t="array" ref="E1767">_xlfn.XLOOKUP(D1767,Insumos!B:B,Insumos!C:$C)</f>
        <v/>
      </c>
      <c r="F1767" s="14" t="n">
        <v>1</v>
      </c>
      <c r="G1767" s="92">
        <f t="array" ref="G1767">IF(B1767="insumo",_xlfn.XLOOKUP($D1767,Insumos!$B$1:$B$996,Insumos!$D$1:$D$996),"")</f>
        <v/>
      </c>
      <c r="H1767" s="92" t="n">
        <v>70</v>
      </c>
      <c r="I1767" s="2162" t="n">
        <v>0</v>
      </c>
      <c r="J1767" s="2162" t="n">
        <v>0</v>
      </c>
      <c r="K1767" s="2162" t="n"/>
    </row>
    <row r="1768" outlineLevel="3" ht="15.75" customHeight="1">
      <c r="A1768" s="10" t="n">
        <v>47</v>
      </c>
      <c r="B1768" s="10" t="inlineStr">
        <is>
          <t>Insumo</t>
        </is>
      </c>
      <c r="C1768" s="10" t="inlineStr">
        <is>
          <t>35_DRY 70 mm LV - 1 PLACA - 8,25cm  -  Lado A: PLACA PERFORMANCE ST - Lado B: N/A</t>
        </is>
      </c>
      <c r="D1768" s="10" t="inlineStr">
        <is>
          <t>PLACA / CHAPA DE GESSO ACARTONADO, STANDARD (ST), COR BRANCA, E = 12,5 MM, 1200 X 2400 MM (L X C)</t>
        </is>
      </c>
      <c r="E1768" s="11">
        <f t="array" ref="E1768">_xlfn.XLOOKUP(D1768,Insumos!B:B,Insumos!C:$C)</f>
        <v/>
      </c>
      <c r="F1768" s="14" t="n">
        <v>1.053</v>
      </c>
      <c r="G1768" s="92">
        <f t="array" ref="G1768">IF(B1768="insumo",_xlfn.XLOOKUP($D1768,Insumos!$B$1:$B$996,Insumos!$D$1:$D$996),"")</f>
        <v/>
      </c>
      <c r="H1768" s="92" t="n">
        <v>21.22848</v>
      </c>
      <c r="I1768" s="2162" t="n">
        <v>0</v>
      </c>
      <c r="J1768" s="2162" t="n">
        <v>0</v>
      </c>
      <c r="K1768" s="2162" t="n"/>
    </row>
    <row r="1769" outlineLevel="3" ht="15.75" customHeight="1">
      <c r="A1769" s="10" t="n">
        <v>95</v>
      </c>
      <c r="B1769" s="10" t="inlineStr">
        <is>
          <t>Insumo</t>
        </is>
      </c>
      <c r="C1769" s="10" t="inlineStr">
        <is>
          <t>35_DRY 70 mm LV - 1 PLACA - 8,25cm  -  Lado A: PLACA PERFORMANCE ST - Lado B: N/A</t>
        </is>
      </c>
      <c r="D1769" s="10" t="inlineStr">
        <is>
          <t>PINO DE ACO COM ARRUELA CONICA, DIAMETRO ARRUELA = *23* MM E COMP HASTE = *27* MM (ACAO INDIRETA)</t>
        </is>
      </c>
      <c r="E1769" s="11">
        <f t="array" ref="E1769">_xlfn.XLOOKUP(D1769,Insumos!B:B,Insumos!C:$C)</f>
        <v/>
      </c>
      <c r="F1769" s="14" t="n">
        <v>5.92</v>
      </c>
      <c r="G1769" s="92">
        <f t="array" ref="G1769">IF(B1769="insumo",_xlfn.XLOOKUP($D1769,Insumos!$B$1:$B$996,Insumos!$D$1:$D$996),"")</f>
        <v/>
      </c>
      <c r="H1769" s="92" t="n">
        <v>2.98368</v>
      </c>
      <c r="I1769" s="2162" t="n">
        <v>0</v>
      </c>
      <c r="J1769" s="2162" t="n">
        <v>0</v>
      </c>
      <c r="K1769" s="2162" t="n"/>
    </row>
    <row r="1770" outlineLevel="3" ht="15.75" customHeight="1">
      <c r="A1770" s="10" t="n">
        <v>43</v>
      </c>
      <c r="B1770" s="10" t="inlineStr">
        <is>
          <t>Insumo</t>
        </is>
      </c>
      <c r="C1770" s="10" t="inlineStr">
        <is>
          <t>35_DRY 70 mm LV - 1 PLACA - 8,25cm  -  Lado A: PLACA PERFORMANCE ST - Lado B: N/A</t>
        </is>
      </c>
      <c r="D1770" s="10" t="inlineStr">
        <is>
          <t>PERFIL GUIA, FORMATO U, EM ACO ZINCADO, PARA ESTRUTURA PAREDE DRYWALL, E = 0,5 MM, 70 X 3000 MM (L X C)</t>
        </is>
      </c>
      <c r="E1770" s="11">
        <f t="array" ref="E1770">_xlfn.XLOOKUP(D1770,Insumos!B:B,Insumos!C:$C)</f>
        <v/>
      </c>
      <c r="F1770" s="14" t="n">
        <v>1.8234</v>
      </c>
      <c r="G1770" s="92">
        <f t="array" ref="G1770">IF(B1770="insumo",_xlfn.XLOOKUP($D1770,Insumos!$B$1:$B$996,Insumos!$D$1:$D$996),"")</f>
        <v/>
      </c>
      <c r="H1770" s="92" t="n">
        <v>13.602564</v>
      </c>
      <c r="I1770" s="2162" t="n">
        <v>0</v>
      </c>
      <c r="J1770" s="2162" t="n">
        <v>0</v>
      </c>
      <c r="K1770" s="2162" t="n"/>
    </row>
    <row r="1771" outlineLevel="3" ht="15.75" customHeight="1">
      <c r="A1771" s="10" t="n">
        <v>43</v>
      </c>
      <c r="B1771" s="10" t="inlineStr">
        <is>
          <t>Insumo</t>
        </is>
      </c>
      <c r="C1771" s="10" t="inlineStr">
        <is>
          <t>35_DRY 70 mm LV - 1 PLACA - 8,25cm  -  Lado A: PLACA PERFORMANCE ST - Lado B: N/A</t>
        </is>
      </c>
      <c r="D1771" s="10" t="inlineStr">
        <is>
          <t>PERFIL MONTANTE, FORMATO C, EM ACO ZINCADO, PARA ESTRUTURA PAREDE DRYWALL, E = 0,5 MM, 70 X 3000 MM (L X C)</t>
        </is>
      </c>
      <c r="E1771" s="11">
        <f t="array" ref="E1771">_xlfn.XLOOKUP(D1771,Insumos!B:B,Insumos!C:$C)</f>
        <v/>
      </c>
      <c r="F1771" s="14" t="n">
        <v>5.8278</v>
      </c>
      <c r="G1771" s="92">
        <f t="array" ref="G1771">IF(B1771="insumo",_xlfn.XLOOKUP($D1771,Insumos!$B$1:$B$996,Insumos!$D$1:$D$996),"")</f>
        <v/>
      </c>
      <c r="H1771" s="92" t="n">
        <v>46.505844</v>
      </c>
      <c r="I1771" s="2162" t="n">
        <v>0</v>
      </c>
      <c r="J1771" s="2162" t="n">
        <v>0</v>
      </c>
      <c r="K1771" s="2162" t="n"/>
    </row>
    <row r="1772" outlineLevel="3" ht="15.75" customHeight="1">
      <c r="A1772" s="10" t="n">
        <v>95</v>
      </c>
      <c r="B1772" s="10" t="inlineStr">
        <is>
          <t>Insumo</t>
        </is>
      </c>
      <c r="C1772" s="10" t="inlineStr">
        <is>
          <t>35_DRY 70 mm LV - 1 PLACA - 8,25cm  -  Lado A: PLACA PERFORMANCE ST - Lado B: N/A</t>
        </is>
      </c>
      <c r="D1772" s="10" t="inlineStr">
        <is>
          <t>MASSA DE REJUNTE EM PO PARA DRYWALL, A BASE DE GESSO, SECAGEM RAPIDA, PARA TRATAMENTO DE JUNTAS DE CHAPA DE GESSO (NECESSITA ADICAO DE AGUA)</t>
        </is>
      </c>
      <c r="E1772" s="11">
        <f t="array" ref="E1772">_xlfn.XLOOKUP(D1772,Insumos!B:B,Insumos!C:$C)</f>
        <v/>
      </c>
      <c r="F1772" s="14" t="n">
        <v>0.5489000000000001</v>
      </c>
      <c r="G1772" s="92">
        <f t="array" ref="G1772">IF(B1772="insumo",_xlfn.XLOOKUP($D1772,Insumos!$B$1:$B$996,Insumos!$D$1:$D$996),"")</f>
        <v/>
      </c>
      <c r="H1772" s="92" t="n">
        <v>1.882727</v>
      </c>
      <c r="I1772" s="2162" t="n">
        <v>0</v>
      </c>
      <c r="J1772" s="2162" t="n">
        <v>0</v>
      </c>
      <c r="K1772" s="2162" t="n"/>
    </row>
    <row r="1773" outlineLevel="3" ht="15.75" customHeight="1">
      <c r="A1773" s="10" t="n">
        <v>94</v>
      </c>
      <c r="B1773" s="10" t="inlineStr">
        <is>
          <t>Insumo</t>
        </is>
      </c>
      <c r="C1773" s="10" t="inlineStr">
        <is>
          <t>35_DRY 70 mm LV - 1 PLACA - 8,25cm  -  Lado A: PLACA PERFORMANCE ST - Lado B: N/A</t>
        </is>
      </c>
      <c r="D1773" s="10" t="inlineStr">
        <is>
          <t>FITA DE PAPEL MICROPERFURADO, 50 X 150 MM, PARA TRATAMENTO DE JUNTAS DE CHAPA DE GESSO PARA DRYWALL</t>
        </is>
      </c>
      <c r="E1773" s="11">
        <f t="array" ref="E1773">_xlfn.XLOOKUP(D1773,Insumos!B:B,Insumos!C:$C)</f>
        <v/>
      </c>
      <c r="F1773" s="14" t="n">
        <v>1.25135</v>
      </c>
      <c r="G1773" s="92">
        <f t="array" ref="G1773">IF(B1773="insumo",_xlfn.XLOOKUP($D1773,Insumos!$B$1:$B$996,Insumos!$D$1:$D$996),"")</f>
        <v/>
      </c>
      <c r="H1773" s="92" t="n">
        <v>0.3879185</v>
      </c>
      <c r="I1773" s="2162" t="n">
        <v>0</v>
      </c>
      <c r="J1773" s="2162" t="n">
        <v>0</v>
      </c>
      <c r="K1773" s="2162" t="n"/>
    </row>
    <row r="1774" outlineLevel="3" ht="15.75" customHeight="1">
      <c r="A1774" s="10" t="n">
        <v>94</v>
      </c>
      <c r="B1774" s="10" t="inlineStr">
        <is>
          <t>Insumo</t>
        </is>
      </c>
      <c r="C1774" s="10" t="inlineStr">
        <is>
          <t>35_DRY 70 mm LV - 1 PLACA - 8,25cm  -  Lado A: PLACA PERFORMANCE ST - Lado B: N/A</t>
        </is>
      </c>
      <c r="D1774" s="10" t="inlineStr">
        <is>
          <t>FITA DE PAPEL REFORCADA COM LAMINA DE METAL PARA REFORCO DE CANTOS DE CHAPA DE GESSO PARA DRYWALL</t>
        </is>
      </c>
      <c r="E1774" s="11">
        <f t="array" ref="E1774">_xlfn.XLOOKUP(D1774,Insumos!B:B,Insumos!C:$C)</f>
        <v/>
      </c>
      <c r="F1774" s="14" t="n">
        <v>0.79255</v>
      </c>
      <c r="G1774" s="92">
        <f t="array" ref="G1774">IF(B1774="insumo",_xlfn.XLOOKUP($D1774,Insumos!$B$1:$B$996,Insumos!$D$1:$D$996),"")</f>
        <v/>
      </c>
      <c r="H1774" s="92" t="n">
        <v>2.171587</v>
      </c>
      <c r="I1774" s="2162" t="n">
        <v>0</v>
      </c>
      <c r="J1774" s="2162" t="n">
        <v>0</v>
      </c>
      <c r="K1774" s="2162" t="n"/>
    </row>
    <row r="1775" outlineLevel="3" ht="15.75" customHeight="1">
      <c r="A1775" s="10" t="n">
        <v>97</v>
      </c>
      <c r="B1775" s="10" t="inlineStr">
        <is>
          <t>Insumo</t>
        </is>
      </c>
      <c r="C1775" s="10" t="inlineStr">
        <is>
          <t>35_DRY 70 mm LV - 1 PLACA - 8,25cm  -  Lado A: PLACA PERFORMANCE ST - Lado B: N/A</t>
        </is>
      </c>
      <c r="D1775" s="10" t="inlineStr">
        <is>
          <t>PARAFUSO DRY WALL, EM ACO FOSFATIZADO, CABECA TROMBETA E PONTA AGULHA (TA), COMPRIMENTO 25 MM</t>
        </is>
      </c>
      <c r="E1775" s="11">
        <f t="array" ref="E1775">_xlfn.XLOOKUP(D1775,Insumos!B:B,Insumos!C:$C)</f>
        <v/>
      </c>
      <c r="F1775" s="14" t="n">
        <v>10.0934</v>
      </c>
      <c r="G1775" s="92">
        <f t="array" ref="G1775">IF(B1775="insumo",_xlfn.XLOOKUP($D1775,Insumos!$B$1:$B$996,Insumos!$D$1:$D$996),"")</f>
        <v/>
      </c>
      <c r="H1775" s="92" t="n">
        <v>0.908406</v>
      </c>
      <c r="I1775" s="2162" t="n">
        <v>0</v>
      </c>
      <c r="J1775" s="2162" t="n">
        <v>0</v>
      </c>
      <c r="K1775" s="2162" t="n"/>
    </row>
    <row r="1776" outlineLevel="3" ht="15.75" customHeight="1">
      <c r="A1776" s="10" t="n">
        <v>95</v>
      </c>
      <c r="B1776" s="10" t="inlineStr">
        <is>
          <t>Insumo</t>
        </is>
      </c>
      <c r="C1776" s="10" t="inlineStr">
        <is>
          <t>35_DRY 70 mm LV - 1 PLACA - 8,25cm  -  Lado A: PLACA PERFORMANCE ST - Lado B: N/A</t>
        </is>
      </c>
      <c r="D1776" s="10" t="inlineStr">
        <is>
          <t>PARAFUSO DRY WALL, EM ACO ZINCADO, CABECA LENTILHA E PONTA BROCA (LB), LARGURA 4,2 MM, COMPRIMENTO 13 MM</t>
        </is>
      </c>
      <c r="E1776" s="11">
        <f t="array" ref="E1776">_xlfn.XLOOKUP(D1776,Insumos!B:B,Insumos!C:$C)</f>
        <v/>
      </c>
      <c r="F1776" s="14" t="n">
        <v>0.27205</v>
      </c>
      <c r="G1776" s="92">
        <f t="array" ref="G1776">IF(B1776="insumo",_xlfn.XLOOKUP($D1776,Insumos!$B$1:$B$996,Insumos!$D$1:$D$996),"")</f>
        <v/>
      </c>
      <c r="H1776" s="92" t="n">
        <v>0.05441</v>
      </c>
      <c r="I1776" s="2162" t="n">
        <v>0</v>
      </c>
      <c r="J1776" s="2162" t="n">
        <v>0</v>
      </c>
      <c r="K1776" s="2162" t="n"/>
    </row>
    <row r="1777" outlineLevel="3" ht="15.75" customHeight="1">
      <c r="A1777" s="10" t="n">
        <v>35</v>
      </c>
      <c r="B1777" s="10" t="inlineStr">
        <is>
          <t>Insumo</t>
        </is>
      </c>
      <c r="C1777" s="10" t="inlineStr">
        <is>
          <t>35_DRY 70 mm LV - 1 PLACA - 8,25cm  -  Lado A: PLACA PERFORMANCE ST - Lado B: N/A</t>
        </is>
      </c>
      <c r="D1777" s="10" t="inlineStr">
        <is>
          <t>Lã de pet 50 X 1200 X 12500 MM</t>
        </is>
      </c>
      <c r="E1777" s="11">
        <f t="array" ref="E1777">_xlfn.XLOOKUP(D1777,Insumos!B:B,Insumos!C:$C)</f>
        <v/>
      </c>
      <c r="F1777" s="14" t="n">
        <v>1.1</v>
      </c>
      <c r="G1777" s="92">
        <f t="array" ref="G1777">IF(B1777="insumo",_xlfn.XLOOKUP($D1777,Insumos!$B$1:$B$996,Insumos!$D$1:$D$996),"")</f>
        <v/>
      </c>
      <c r="H1777" s="92" t="n">
        <v>14.3212666666667</v>
      </c>
      <c r="I1777" s="2162" t="n">
        <v>0</v>
      </c>
      <c r="J1777" s="2162" t="n">
        <v>0</v>
      </c>
      <c r="K1777" s="2162" t="n"/>
    </row>
    <row r="1778" outlineLevel="2" ht="15.75" customHeight="1">
      <c r="A1778" s="1067" t="n">
        <v>1</v>
      </c>
      <c r="B1778" s="1067" t="inlineStr">
        <is>
          <t>Serviço</t>
        </is>
      </c>
      <c r="C1778" s="1067" t="inlineStr">
        <is>
          <t>31_DRY 70 mm - 1 PLACA - 8,25cm  -  Lado A: PLACA RU - Lado B: N/A</t>
        </is>
      </c>
      <c r="D1778" s="1067" t="inlineStr">
        <is>
          <t>31_DRY 70 mm - 1 PLACA - 8,25cm  -  Lado A: PLACA RU - Lado B: N/A</t>
        </is>
      </c>
      <c r="E1778" s="1068" t="inlineStr">
        <is>
          <t>M2</t>
        </is>
      </c>
      <c r="F1778" s="1067" t="n"/>
      <c r="G1778" s="1069">
        <f t="array" ref="G1778">IF(B1778="insumo",_xlfn.XLOOKUP($D1778,Insumos!$B$1:$B$996,Insumos!$D$1:$D$996),"")</f>
        <v/>
      </c>
      <c r="H1778" s="1069" t="n">
        <v>167.0334365</v>
      </c>
      <c r="I1778" s="2161" t="n">
        <v>0</v>
      </c>
      <c r="J1778" s="2161" t="n">
        <v>0</v>
      </c>
      <c r="K1778" s="2161" t="n"/>
    </row>
    <row r="1779" outlineLevel="3" ht="15.75" customHeight="1">
      <c r="A1779" s="10" t="n">
        <v>86</v>
      </c>
      <c r="B1779" s="10" t="inlineStr">
        <is>
          <t>Insumo</t>
        </is>
      </c>
      <c r="C1779" s="10" t="inlineStr">
        <is>
          <t>31_DRY 70 mm - 1 PLACA - 8,25cm  -  Lado A: PLACA RU - Lado B: N/A</t>
        </is>
      </c>
      <c r="D1779" s="10" t="inlineStr">
        <is>
          <t>SERVICO - CONFECCAO SHAFT GESSO</t>
        </is>
      </c>
      <c r="E1779" s="11">
        <f t="array" ref="E1779">_xlfn.XLOOKUP(D1779,Insumos!B:B,Insumos!C:$C)</f>
        <v/>
      </c>
      <c r="F1779" s="14" t="n">
        <v>1</v>
      </c>
      <c r="G1779" s="92">
        <f t="array" ref="G1779">IF(B1779="insumo",_xlfn.XLOOKUP($D1779,Insumos!$B$1:$B$996,Insumos!$D$1:$D$996),"")</f>
        <v/>
      </c>
      <c r="H1779" s="92" t="n">
        <v>70</v>
      </c>
      <c r="I1779" s="2162" t="n">
        <v>0</v>
      </c>
      <c r="J1779" s="2162" t="n">
        <v>0</v>
      </c>
      <c r="K1779" s="2162" t="n"/>
    </row>
    <row r="1780" outlineLevel="3" ht="15.75" customHeight="1">
      <c r="A1780" s="10" t="n">
        <v>49</v>
      </c>
      <c r="B1780" s="10" t="inlineStr">
        <is>
          <t>Insumo</t>
        </is>
      </c>
      <c r="C1780" s="10" t="inlineStr">
        <is>
          <t>31_DRY 70 mm - 1 PLACA - 8,25cm  -  Lado A: PLACA RU - Lado B: N/A</t>
        </is>
      </c>
      <c r="D1780" s="10" t="inlineStr">
        <is>
          <t>PLACA / CHAPA DE GESSO ACARTONADO, RESISTENTE A UMIDADE (RU), COR VERDE, E = 12,5 MM, 1200 X 2400 MM (L X C)</t>
        </is>
      </c>
      <c r="E1780" s="11">
        <f t="array" ref="E1780">_xlfn.XLOOKUP(D1780,Insumos!B:B,Insumos!C:$C)</f>
        <v/>
      </c>
      <c r="F1780" s="14" t="n">
        <v>1.053</v>
      </c>
      <c r="G1780" s="92">
        <f t="array" ref="G1780">IF(B1780="insumo",_xlfn.XLOOKUP($D1780,Insumos!$B$1:$B$996,Insumos!$D$1:$D$996),"")</f>
        <v/>
      </c>
      <c r="H1780" s="92" t="n">
        <v>28.5363</v>
      </c>
      <c r="I1780" s="2162" t="n">
        <v>0</v>
      </c>
      <c r="J1780" s="2162" t="n">
        <v>0</v>
      </c>
      <c r="K1780" s="2162" t="n"/>
    </row>
    <row r="1781" outlineLevel="3" ht="15.75" customHeight="1">
      <c r="A1781" s="10" t="n">
        <v>95</v>
      </c>
      <c r="B1781" s="10" t="inlineStr">
        <is>
          <t>Insumo</t>
        </is>
      </c>
      <c r="C1781" s="10" t="inlineStr">
        <is>
          <t>31_DRY 70 mm - 1 PLACA - 8,25cm  -  Lado A: PLACA RU - Lado B: N/A</t>
        </is>
      </c>
      <c r="D1781" s="10" t="inlineStr">
        <is>
          <t>PINO DE ACO COM ARRUELA CONICA, DIAMETRO ARRUELA = *23* MM E COMP HASTE = *27* MM (ACAO INDIRETA)</t>
        </is>
      </c>
      <c r="E1781" s="11">
        <f t="array" ref="E1781">_xlfn.XLOOKUP(D1781,Insumos!B:B,Insumos!C:$C)</f>
        <v/>
      </c>
      <c r="F1781" s="14" t="n">
        <v>5.92</v>
      </c>
      <c r="G1781" s="92">
        <f t="array" ref="G1781">IF(B1781="insumo",_xlfn.XLOOKUP($D1781,Insumos!$B$1:$B$996,Insumos!$D$1:$D$996),"")</f>
        <v/>
      </c>
      <c r="H1781" s="92" t="n">
        <v>2.98368</v>
      </c>
      <c r="I1781" s="2162" t="n">
        <v>0</v>
      </c>
      <c r="J1781" s="2162" t="n">
        <v>0</v>
      </c>
      <c r="K1781" s="2162" t="n"/>
    </row>
    <row r="1782" outlineLevel="3" ht="15.75" customHeight="1">
      <c r="A1782" s="10" t="n">
        <v>43</v>
      </c>
      <c r="B1782" s="10" t="inlineStr">
        <is>
          <t>Insumo</t>
        </is>
      </c>
      <c r="C1782" s="10" t="inlineStr">
        <is>
          <t>31_DRY 70 mm - 1 PLACA - 8,25cm  -  Lado A: PLACA RU - Lado B: N/A</t>
        </is>
      </c>
      <c r="D1782" s="10" t="inlineStr">
        <is>
          <t>PERFIL GUIA, FORMATO U, EM ACO ZINCADO, PARA ESTRUTURA PAREDE DRYWALL, E = 0,5 MM, 70 X 3000 MM (L X C)</t>
        </is>
      </c>
      <c r="E1782" s="11">
        <f t="array" ref="E1782">_xlfn.XLOOKUP(D1782,Insumos!B:B,Insumos!C:$C)</f>
        <v/>
      </c>
      <c r="F1782" s="14" t="n">
        <v>1.8234</v>
      </c>
      <c r="G1782" s="92">
        <f t="array" ref="G1782">IF(B1782="insumo",_xlfn.XLOOKUP($D1782,Insumos!$B$1:$B$996,Insumos!$D$1:$D$996),"")</f>
        <v/>
      </c>
      <c r="H1782" s="92" t="n">
        <v>13.602564</v>
      </c>
      <c r="I1782" s="2162" t="n">
        <v>0</v>
      </c>
      <c r="J1782" s="2162" t="n">
        <v>0</v>
      </c>
      <c r="K1782" s="2162" t="n"/>
    </row>
    <row r="1783" outlineLevel="3" ht="15.75" customHeight="1">
      <c r="A1783" s="10" t="n">
        <v>43</v>
      </c>
      <c r="B1783" s="10" t="inlineStr">
        <is>
          <t>Insumo</t>
        </is>
      </c>
      <c r="C1783" s="10" t="inlineStr">
        <is>
          <t>31_DRY 70 mm - 1 PLACA - 8,25cm  -  Lado A: PLACA RU - Lado B: N/A</t>
        </is>
      </c>
      <c r="D1783" s="10" t="inlineStr">
        <is>
          <t>PERFIL MONTANTE, FORMATO C, EM ACO ZINCADO, PARA ESTRUTURA PAREDE DRYWALL, E = 0,5 MM, 70 X 3000 MM (L X C)</t>
        </is>
      </c>
      <c r="E1783" s="11">
        <f t="array" ref="E1783">_xlfn.XLOOKUP(D1783,Insumos!B:B,Insumos!C:$C)</f>
        <v/>
      </c>
      <c r="F1783" s="14" t="n">
        <v>5.8278</v>
      </c>
      <c r="G1783" s="92">
        <f t="array" ref="G1783">IF(B1783="insumo",_xlfn.XLOOKUP($D1783,Insumos!$B$1:$B$996,Insumos!$D$1:$D$996),"")</f>
        <v/>
      </c>
      <c r="H1783" s="92" t="n">
        <v>46.505844</v>
      </c>
      <c r="I1783" s="2162" t="n">
        <v>0</v>
      </c>
      <c r="J1783" s="2162" t="n">
        <v>0</v>
      </c>
      <c r="K1783" s="2162" t="n"/>
    </row>
    <row r="1784" outlineLevel="3" ht="15.75" customHeight="1">
      <c r="A1784" s="10" t="n">
        <v>95</v>
      </c>
      <c r="B1784" s="10" t="inlineStr">
        <is>
          <t>Insumo</t>
        </is>
      </c>
      <c r="C1784" s="10" t="inlineStr">
        <is>
          <t>31_DRY 70 mm - 1 PLACA - 8,25cm  -  Lado A: PLACA RU - Lado B: N/A</t>
        </is>
      </c>
      <c r="D1784" s="10" t="inlineStr">
        <is>
          <t>MASSA DE REJUNTE EM PO PARA DRYWALL, A BASE DE GESSO, SECAGEM RAPIDA, PARA TRATAMENTO DE JUNTAS DE CHAPA DE GESSO (NECESSITA ADICAO DE AGUA)</t>
        </is>
      </c>
      <c r="E1784" s="11">
        <f t="array" ref="E1784">_xlfn.XLOOKUP(D1784,Insumos!B:B,Insumos!C:$C)</f>
        <v/>
      </c>
      <c r="F1784" s="14" t="n">
        <v>0.5489000000000001</v>
      </c>
      <c r="G1784" s="92">
        <f t="array" ref="G1784">IF(B1784="insumo",_xlfn.XLOOKUP($D1784,Insumos!$B$1:$B$996,Insumos!$D$1:$D$996),"")</f>
        <v/>
      </c>
      <c r="H1784" s="92" t="n">
        <v>1.882727</v>
      </c>
      <c r="I1784" s="2162" t="n">
        <v>0</v>
      </c>
      <c r="J1784" s="2162" t="n">
        <v>0</v>
      </c>
      <c r="K1784" s="2162" t="n"/>
    </row>
    <row r="1785" outlineLevel="3" ht="15.75" customHeight="1">
      <c r="A1785" s="10" t="n">
        <v>94</v>
      </c>
      <c r="B1785" s="10" t="inlineStr">
        <is>
          <t>Insumo</t>
        </is>
      </c>
      <c r="C1785" s="10" t="inlineStr">
        <is>
          <t>31_DRY 70 mm - 1 PLACA - 8,25cm  -  Lado A: PLACA RU - Lado B: N/A</t>
        </is>
      </c>
      <c r="D1785" s="10" t="inlineStr">
        <is>
          <t>FITA DE PAPEL MICROPERFURADO, 50 X 150 MM, PARA TRATAMENTO DE JUNTAS DE CHAPA DE GESSO PARA DRYWALL</t>
        </is>
      </c>
      <c r="E1785" s="11">
        <f t="array" ref="E1785">_xlfn.XLOOKUP(D1785,Insumos!B:B,Insumos!C:$C)</f>
        <v/>
      </c>
      <c r="F1785" s="14" t="n">
        <v>1.25135</v>
      </c>
      <c r="G1785" s="92">
        <f t="array" ref="G1785">IF(B1785="insumo",_xlfn.XLOOKUP($D1785,Insumos!$B$1:$B$996,Insumos!$D$1:$D$996),"")</f>
        <v/>
      </c>
      <c r="H1785" s="92" t="n">
        <v>0.3879185</v>
      </c>
      <c r="I1785" s="2162" t="n">
        <v>0</v>
      </c>
      <c r="J1785" s="2162" t="n">
        <v>0</v>
      </c>
      <c r="K1785" s="2162" t="n"/>
    </row>
    <row r="1786" outlineLevel="3" ht="15.75" customHeight="1">
      <c r="A1786" s="10" t="n">
        <v>94</v>
      </c>
      <c r="B1786" s="10" t="inlineStr">
        <is>
          <t>Insumo</t>
        </is>
      </c>
      <c r="C1786" s="10" t="inlineStr">
        <is>
          <t>31_DRY 70 mm - 1 PLACA - 8,25cm  -  Lado A: PLACA RU - Lado B: N/A</t>
        </is>
      </c>
      <c r="D1786" s="10" t="inlineStr">
        <is>
          <t>FITA DE PAPEL REFORCADA COM LAMINA DE METAL PARA REFORCO DE CANTOS DE CHAPA DE GESSO PARA DRYWALL</t>
        </is>
      </c>
      <c r="E1786" s="11">
        <f t="array" ref="E1786">_xlfn.XLOOKUP(D1786,Insumos!B:B,Insumos!C:$C)</f>
        <v/>
      </c>
      <c r="F1786" s="14" t="n">
        <v>0.79255</v>
      </c>
      <c r="G1786" s="92">
        <f t="array" ref="G1786">IF(B1786="insumo",_xlfn.XLOOKUP($D1786,Insumos!$B$1:$B$996,Insumos!$D$1:$D$996),"")</f>
        <v/>
      </c>
      <c r="H1786" s="92" t="n">
        <v>2.171587</v>
      </c>
      <c r="I1786" s="2162" t="n">
        <v>0</v>
      </c>
      <c r="J1786" s="2162" t="n">
        <v>0</v>
      </c>
      <c r="K1786" s="2162" t="n"/>
    </row>
    <row r="1787" outlineLevel="3" ht="15.75" customHeight="1">
      <c r="A1787" s="10" t="n">
        <v>97</v>
      </c>
      <c r="B1787" s="10" t="inlineStr">
        <is>
          <t>Insumo</t>
        </is>
      </c>
      <c r="C1787" s="10" t="inlineStr">
        <is>
          <t>31_DRY 70 mm - 1 PLACA - 8,25cm  -  Lado A: PLACA RU - Lado B: N/A</t>
        </is>
      </c>
      <c r="D1787" s="10" t="inlineStr">
        <is>
          <t>PARAFUSO DRY WALL, EM ACO FOSFATIZADO, CABECA TROMBETA E PONTA AGULHA (TA), COMPRIMENTO 25 MM</t>
        </is>
      </c>
      <c r="E1787" s="11">
        <f t="array" ref="E1787">_xlfn.XLOOKUP(D1787,Insumos!B:B,Insumos!C:$C)</f>
        <v/>
      </c>
      <c r="F1787" s="14" t="n">
        <v>10.0934</v>
      </c>
      <c r="G1787" s="92">
        <f t="array" ref="G1787">IF(B1787="insumo",_xlfn.XLOOKUP($D1787,Insumos!$B$1:$B$996,Insumos!$D$1:$D$996),"")</f>
        <v/>
      </c>
      <c r="H1787" s="92" t="n">
        <v>0.908406</v>
      </c>
      <c r="I1787" s="2162" t="n">
        <v>0</v>
      </c>
      <c r="J1787" s="2162" t="n">
        <v>0</v>
      </c>
      <c r="K1787" s="2162" t="n"/>
    </row>
    <row r="1788" outlineLevel="3" ht="15.75" customHeight="1">
      <c r="A1788" s="10" t="n">
        <v>95</v>
      </c>
      <c r="B1788" s="10" t="inlineStr">
        <is>
          <t>Insumo</t>
        </is>
      </c>
      <c r="C1788" s="10" t="inlineStr">
        <is>
          <t>31_DRY 70 mm - 1 PLACA - 8,25cm  -  Lado A: PLACA RU - Lado B: N/A</t>
        </is>
      </c>
      <c r="D1788" s="10" t="inlineStr">
        <is>
          <t>PARAFUSO DRY WALL, EM ACO ZINCADO, CABECA LENTILHA E PONTA BROCA (LB), LARGURA 4,2 MM, COMPRIMENTO 13 MM</t>
        </is>
      </c>
      <c r="E1788" s="11">
        <f t="array" ref="E1788">_xlfn.XLOOKUP(D1788,Insumos!B:B,Insumos!C:$C)</f>
        <v/>
      </c>
      <c r="F1788" s="14" t="n">
        <v>0.27205</v>
      </c>
      <c r="G1788" s="92">
        <f t="array" ref="G1788">IF(B1788="insumo",_xlfn.XLOOKUP($D1788,Insumos!$B$1:$B$996,Insumos!$D$1:$D$996),"")</f>
        <v/>
      </c>
      <c r="H1788" s="92" t="n">
        <v>0.05441</v>
      </c>
      <c r="I1788" s="2162" t="n">
        <v>0</v>
      </c>
      <c r="J1788" s="2162" t="n">
        <v>0</v>
      </c>
      <c r="K1788" s="2162" t="n"/>
    </row>
    <row r="1789" outlineLevel="2" ht="15.75" customHeight="1">
      <c r="A1789" s="1067" t="n">
        <v>1</v>
      </c>
      <c r="B1789" s="1067" t="inlineStr">
        <is>
          <t>Serviço</t>
        </is>
      </c>
      <c r="C1789" s="1067" t="inlineStr">
        <is>
          <t>35_DRY 70 mm LV - 1 PLACA - 8,25cm  -  Lado A: PLACA PERFORMANCE RU - Lado B: N/A</t>
        </is>
      </c>
      <c r="D1789" s="1067" t="inlineStr">
        <is>
          <t>35_DRY 70 mm LV - 1 PLACA - 8,25cm  -  Lado A: PLACA PERFORMANCE RU - Lado B: N/A</t>
        </is>
      </c>
      <c r="E1789" s="1068" t="inlineStr">
        <is>
          <t>M2</t>
        </is>
      </c>
      <c r="F1789" s="1067" t="n"/>
      <c r="G1789" s="1069">
        <f t="array" ref="G1789">IF(B1789="insumo",_xlfn.XLOOKUP($D1789,Insumos!$B$1:$B$996,Insumos!$D$1:$D$996),"")</f>
        <v/>
      </c>
      <c r="H1789" s="1069" t="n">
        <v>181.354703166667</v>
      </c>
      <c r="I1789" s="2161" t="n">
        <v>0</v>
      </c>
      <c r="J1789" s="2161" t="n">
        <v>0</v>
      </c>
      <c r="K1789" s="2161" t="n"/>
    </row>
    <row r="1790" outlineLevel="3" ht="15.75" customHeight="1">
      <c r="A1790" s="10" t="n">
        <v>86</v>
      </c>
      <c r="B1790" s="10" t="inlineStr">
        <is>
          <t>Insumo</t>
        </is>
      </c>
      <c r="C1790" s="10" t="inlineStr">
        <is>
          <t>35_DRY 70 mm LV - 1 PLACA - 8,25cm  -  Lado A: PLACA PERFORMANCE RU - Lado B: N/A</t>
        </is>
      </c>
      <c r="D1790" s="10" t="inlineStr">
        <is>
          <t>SERVICO - CONFECCAO SHAFT GESSO</t>
        </is>
      </c>
      <c r="E1790" s="11">
        <f t="array" ref="E1790">_xlfn.XLOOKUP(D1790,Insumos!B:B,Insumos!C:$C)</f>
        <v/>
      </c>
      <c r="F1790" s="14" t="n">
        <v>1</v>
      </c>
      <c r="G1790" s="92">
        <f t="array" ref="G1790">IF(B1790="insumo",_xlfn.XLOOKUP($D1790,Insumos!$B$1:$B$996,Insumos!$D$1:$D$996),"")</f>
        <v/>
      </c>
      <c r="H1790" s="92" t="n">
        <v>70</v>
      </c>
      <c r="I1790" s="2162" t="n">
        <v>0</v>
      </c>
      <c r="J1790" s="2162" t="n">
        <v>0</v>
      </c>
      <c r="K1790" s="2162" t="n"/>
    </row>
    <row r="1791" outlineLevel="3" ht="15.75" customHeight="1">
      <c r="A1791" s="10" t="n">
        <v>49</v>
      </c>
      <c r="B1791" s="10" t="inlineStr">
        <is>
          <t>Insumo</t>
        </is>
      </c>
      <c r="C1791" s="10" t="inlineStr">
        <is>
          <t>35_DRY 70 mm LV - 1 PLACA - 8,25cm  -  Lado A: PLACA PERFORMANCE RU - Lado B: N/A</t>
        </is>
      </c>
      <c r="D1791" s="10" t="inlineStr">
        <is>
          <t>PLACA / CHAPA DE GESSO ACARTONADO, RESISTENTE A UMIDADE (RU), COR VERDE, E = 12,5 MM, 1200 X 2400 MM (L X C)</t>
        </is>
      </c>
      <c r="E1791" s="11">
        <f t="array" ref="E1791">_xlfn.XLOOKUP(D1791,Insumos!B:B,Insumos!C:$C)</f>
        <v/>
      </c>
      <c r="F1791" s="14" t="n">
        <v>1.053</v>
      </c>
      <c r="G1791" s="92">
        <f t="array" ref="G1791">IF(B1791="insumo",_xlfn.XLOOKUP($D1791,Insumos!$B$1:$B$996,Insumos!$D$1:$D$996),"")</f>
        <v/>
      </c>
      <c r="H1791" s="92" t="n">
        <v>28.5363</v>
      </c>
      <c r="I1791" s="2162" t="n">
        <v>0</v>
      </c>
      <c r="J1791" s="2162" t="n">
        <v>0</v>
      </c>
      <c r="K1791" s="2162" t="n"/>
    </row>
    <row r="1792" outlineLevel="3" ht="15.75" customHeight="1">
      <c r="A1792" s="10" t="n">
        <v>95</v>
      </c>
      <c r="B1792" s="10" t="inlineStr">
        <is>
          <t>Insumo</t>
        </is>
      </c>
      <c r="C1792" s="10" t="inlineStr">
        <is>
          <t>35_DRY 70 mm LV - 1 PLACA - 8,25cm  -  Lado A: PLACA PERFORMANCE RU - Lado B: N/A</t>
        </is>
      </c>
      <c r="D1792" s="10" t="inlineStr">
        <is>
          <t>PINO DE ACO COM ARRUELA CONICA, DIAMETRO ARRUELA = *23* MM E COMP HASTE = *27* MM (ACAO INDIRETA)</t>
        </is>
      </c>
      <c r="E1792" s="11">
        <f t="array" ref="E1792">_xlfn.XLOOKUP(D1792,Insumos!B:B,Insumos!C:$C)</f>
        <v/>
      </c>
      <c r="F1792" s="14" t="n">
        <v>5.92</v>
      </c>
      <c r="G1792" s="92">
        <f t="array" ref="G1792">IF(B1792="insumo",_xlfn.XLOOKUP($D1792,Insumos!$B$1:$B$996,Insumos!$D$1:$D$996),"")</f>
        <v/>
      </c>
      <c r="H1792" s="92" t="n">
        <v>2.98368</v>
      </c>
      <c r="I1792" s="2162" t="n">
        <v>0</v>
      </c>
      <c r="J1792" s="2162" t="n">
        <v>0</v>
      </c>
      <c r="K1792" s="2162" t="n"/>
    </row>
    <row r="1793" outlineLevel="3" ht="15.75" customHeight="1">
      <c r="A1793" s="10" t="n">
        <v>43</v>
      </c>
      <c r="B1793" s="10" t="inlineStr">
        <is>
          <t>Insumo</t>
        </is>
      </c>
      <c r="C1793" s="10" t="inlineStr">
        <is>
          <t>35_DRY 70 mm LV - 1 PLACA - 8,25cm  -  Lado A: PLACA PERFORMANCE RU - Lado B: N/A</t>
        </is>
      </c>
      <c r="D1793" s="10" t="inlineStr">
        <is>
          <t>PERFIL GUIA, FORMATO U, EM ACO ZINCADO, PARA ESTRUTURA PAREDE DRYWALL, E = 0,5 MM, 70 X 3000 MM (L X C)</t>
        </is>
      </c>
      <c r="E1793" s="11">
        <f t="array" ref="E1793">_xlfn.XLOOKUP(D1793,Insumos!B:B,Insumos!C:$C)</f>
        <v/>
      </c>
      <c r="F1793" s="14" t="n">
        <v>1.8234</v>
      </c>
      <c r="G1793" s="92">
        <f t="array" ref="G1793">IF(B1793="insumo",_xlfn.XLOOKUP($D1793,Insumos!$B$1:$B$996,Insumos!$D$1:$D$996),"")</f>
        <v/>
      </c>
      <c r="H1793" s="92" t="n">
        <v>13.602564</v>
      </c>
      <c r="I1793" s="2162" t="n">
        <v>0</v>
      </c>
      <c r="J1793" s="2162" t="n">
        <v>0</v>
      </c>
      <c r="K1793" s="2162" t="n"/>
    </row>
    <row r="1794" outlineLevel="3" ht="15.75" customHeight="1">
      <c r="A1794" s="10" t="n">
        <v>43</v>
      </c>
      <c r="B1794" s="10" t="inlineStr">
        <is>
          <t>Insumo</t>
        </is>
      </c>
      <c r="C1794" s="10" t="inlineStr">
        <is>
          <t>35_DRY 70 mm LV - 1 PLACA - 8,25cm  -  Lado A: PLACA PERFORMANCE RU - Lado B: N/A</t>
        </is>
      </c>
      <c r="D1794" s="10" t="inlineStr">
        <is>
          <t>PERFIL MONTANTE, FORMATO C, EM ACO ZINCADO, PARA ESTRUTURA PAREDE DRYWALL, E = 0,5 MM, 70 X 3000 MM (L X C)</t>
        </is>
      </c>
      <c r="E1794" s="11">
        <f t="array" ref="E1794">_xlfn.XLOOKUP(D1794,Insumos!B:B,Insumos!C:$C)</f>
        <v/>
      </c>
      <c r="F1794" s="14" t="n">
        <v>5.8278</v>
      </c>
      <c r="G1794" s="92">
        <f t="array" ref="G1794">IF(B1794="insumo",_xlfn.XLOOKUP($D1794,Insumos!$B$1:$B$996,Insumos!$D$1:$D$996),"")</f>
        <v/>
      </c>
      <c r="H1794" s="92" t="n">
        <v>46.505844</v>
      </c>
      <c r="I1794" s="2162" t="n">
        <v>0</v>
      </c>
      <c r="J1794" s="2162" t="n">
        <v>0</v>
      </c>
      <c r="K1794" s="2162" t="n"/>
    </row>
    <row r="1795" outlineLevel="3" ht="15.75" customHeight="1">
      <c r="A1795" s="10" t="n">
        <v>95</v>
      </c>
      <c r="B1795" s="10" t="inlineStr">
        <is>
          <t>Insumo</t>
        </is>
      </c>
      <c r="C1795" s="10" t="inlineStr">
        <is>
          <t>35_DRY 70 mm LV - 1 PLACA - 8,25cm  -  Lado A: PLACA PERFORMANCE RU - Lado B: N/A</t>
        </is>
      </c>
      <c r="D1795" s="10" t="inlineStr">
        <is>
          <t>MASSA DE REJUNTE EM PO PARA DRYWALL, A BASE DE GESSO, SECAGEM RAPIDA, PARA TRATAMENTO DE JUNTAS DE CHAPA DE GESSO (NECESSITA ADICAO DE AGUA)</t>
        </is>
      </c>
      <c r="E1795" s="11">
        <f t="array" ref="E1795">_xlfn.XLOOKUP(D1795,Insumos!B:B,Insumos!C:$C)</f>
        <v/>
      </c>
      <c r="F1795" s="14" t="n">
        <v>0.5489000000000001</v>
      </c>
      <c r="G1795" s="92">
        <f t="array" ref="G1795">IF(B1795="insumo",_xlfn.XLOOKUP($D1795,Insumos!$B$1:$B$996,Insumos!$D$1:$D$996),"")</f>
        <v/>
      </c>
      <c r="H1795" s="92" t="n">
        <v>1.882727</v>
      </c>
      <c r="I1795" s="2162" t="n">
        <v>0</v>
      </c>
      <c r="J1795" s="2162" t="n">
        <v>0</v>
      </c>
      <c r="K1795" s="2162" t="n"/>
    </row>
    <row r="1796" outlineLevel="3" ht="15.75" customHeight="1">
      <c r="A1796" s="10" t="n">
        <v>94</v>
      </c>
      <c r="B1796" s="10" t="inlineStr">
        <is>
          <t>Insumo</t>
        </is>
      </c>
      <c r="C1796" s="10" t="inlineStr">
        <is>
          <t>35_DRY 70 mm LV - 1 PLACA - 8,25cm  -  Lado A: PLACA PERFORMANCE RU - Lado B: N/A</t>
        </is>
      </c>
      <c r="D1796" s="10" t="inlineStr">
        <is>
          <t>FITA DE PAPEL MICROPERFURADO, 50 X 150 MM, PARA TRATAMENTO DE JUNTAS DE CHAPA DE GESSO PARA DRYWALL</t>
        </is>
      </c>
      <c r="E1796" s="11">
        <f t="array" ref="E1796">_xlfn.XLOOKUP(D1796,Insumos!B:B,Insumos!C:$C)</f>
        <v/>
      </c>
      <c r="F1796" s="14" t="n">
        <v>1.25135</v>
      </c>
      <c r="G1796" s="92">
        <f t="array" ref="G1796">IF(B1796="insumo",_xlfn.XLOOKUP($D1796,Insumos!$B$1:$B$996,Insumos!$D$1:$D$996),"")</f>
        <v/>
      </c>
      <c r="H1796" s="92" t="n">
        <v>0.3879185</v>
      </c>
      <c r="I1796" s="2162" t="n">
        <v>0</v>
      </c>
      <c r="J1796" s="2162" t="n">
        <v>0</v>
      </c>
      <c r="K1796" s="2162" t="n"/>
    </row>
    <row r="1797" outlineLevel="3" ht="15.75" customHeight="1">
      <c r="A1797" s="10" t="n">
        <v>94</v>
      </c>
      <c r="B1797" s="10" t="inlineStr">
        <is>
          <t>Insumo</t>
        </is>
      </c>
      <c r="C1797" s="10" t="inlineStr">
        <is>
          <t>35_DRY 70 mm LV - 1 PLACA - 8,25cm  -  Lado A: PLACA PERFORMANCE RU - Lado B: N/A</t>
        </is>
      </c>
      <c r="D1797" s="10" t="inlineStr">
        <is>
          <t>FITA DE PAPEL REFORCADA COM LAMINA DE METAL PARA REFORCO DE CANTOS DE CHAPA DE GESSO PARA DRYWALL</t>
        </is>
      </c>
      <c r="E1797" s="11">
        <f t="array" ref="E1797">_xlfn.XLOOKUP(D1797,Insumos!B:B,Insumos!C:$C)</f>
        <v/>
      </c>
      <c r="F1797" s="14" t="n">
        <v>0.79255</v>
      </c>
      <c r="G1797" s="92">
        <f t="array" ref="G1797">IF(B1797="insumo",_xlfn.XLOOKUP($D1797,Insumos!$B$1:$B$996,Insumos!$D$1:$D$996),"")</f>
        <v/>
      </c>
      <c r="H1797" s="92" t="n">
        <v>2.171587</v>
      </c>
      <c r="I1797" s="2162" t="n">
        <v>0</v>
      </c>
      <c r="J1797" s="2162" t="n">
        <v>0</v>
      </c>
      <c r="K1797" s="2162" t="n"/>
    </row>
    <row r="1798" outlineLevel="3" ht="15.75" customHeight="1">
      <c r="A1798" s="10" t="n">
        <v>97</v>
      </c>
      <c r="B1798" s="10" t="inlineStr">
        <is>
          <t>Insumo</t>
        </is>
      </c>
      <c r="C1798" s="10" t="inlineStr">
        <is>
          <t>35_DRY 70 mm LV - 1 PLACA - 8,25cm  -  Lado A: PLACA PERFORMANCE RU - Lado B: N/A</t>
        </is>
      </c>
      <c r="D1798" s="10" t="inlineStr">
        <is>
          <t>PARAFUSO DRY WALL, EM ACO FOSFATIZADO, CABECA TROMBETA E PONTA AGULHA (TA), COMPRIMENTO 25 MM</t>
        </is>
      </c>
      <c r="E1798" s="11">
        <f t="array" ref="E1798">_xlfn.XLOOKUP(D1798,Insumos!B:B,Insumos!C:$C)</f>
        <v/>
      </c>
      <c r="F1798" s="14" t="n">
        <v>10.0934</v>
      </c>
      <c r="G1798" s="92">
        <f t="array" ref="G1798">IF(B1798="insumo",_xlfn.XLOOKUP($D1798,Insumos!$B$1:$B$996,Insumos!$D$1:$D$996),"")</f>
        <v/>
      </c>
      <c r="H1798" s="92" t="n">
        <v>0.908406</v>
      </c>
      <c r="I1798" s="2162" t="n">
        <v>0</v>
      </c>
      <c r="J1798" s="2162" t="n">
        <v>0</v>
      </c>
      <c r="K1798" s="2162" t="n"/>
    </row>
    <row r="1799" outlineLevel="3" ht="15.75" customHeight="1">
      <c r="A1799" s="10" t="n">
        <v>95</v>
      </c>
      <c r="B1799" s="10" t="inlineStr">
        <is>
          <t>Insumo</t>
        </is>
      </c>
      <c r="C1799" s="10" t="inlineStr">
        <is>
          <t>35_DRY 70 mm LV - 1 PLACA - 8,25cm  -  Lado A: PLACA PERFORMANCE RU - Lado B: N/A</t>
        </is>
      </c>
      <c r="D1799" s="10" t="inlineStr">
        <is>
          <t>PARAFUSO DRY WALL, EM ACO ZINCADO, CABECA LENTILHA E PONTA BROCA (LB), LARGURA 4,2 MM, COMPRIMENTO 13 MM</t>
        </is>
      </c>
      <c r="E1799" s="11">
        <f t="array" ref="E1799">_xlfn.XLOOKUP(D1799,Insumos!B:B,Insumos!C:$C)</f>
        <v/>
      </c>
      <c r="F1799" s="14" t="n">
        <v>0.27205</v>
      </c>
      <c r="G1799" s="92">
        <f t="array" ref="G1799">IF(B1799="insumo",_xlfn.XLOOKUP($D1799,Insumos!$B$1:$B$996,Insumos!$D$1:$D$996),"")</f>
        <v/>
      </c>
      <c r="H1799" s="92" t="n">
        <v>0.05441</v>
      </c>
      <c r="I1799" s="2162" t="n">
        <v>0</v>
      </c>
      <c r="J1799" s="2162" t="n">
        <v>0</v>
      </c>
      <c r="K1799" s="2162" t="n"/>
    </row>
    <row r="1800" outlineLevel="3" ht="15.75" customHeight="1">
      <c r="A1800" s="10" t="n">
        <v>35</v>
      </c>
      <c r="B1800" s="10" t="inlineStr">
        <is>
          <t>Insumo</t>
        </is>
      </c>
      <c r="C1800" s="10" t="inlineStr">
        <is>
          <t>35_DRY 70 mm LV - 1 PLACA - 8,25cm  -  Lado A: PLACA PERFORMANCE RU - Lado B: N/A</t>
        </is>
      </c>
      <c r="D1800" s="10" t="inlineStr">
        <is>
          <t>Lã de pet 50 X 1200 X 12500 MM</t>
        </is>
      </c>
      <c r="E1800" s="11">
        <f t="array" ref="E1800">_xlfn.XLOOKUP(D1800,Insumos!B:B,Insumos!C:$C)</f>
        <v/>
      </c>
      <c r="F1800" s="14" t="n">
        <v>1.1</v>
      </c>
      <c r="G1800" s="92">
        <f t="array" ref="G1800">IF(B1800="insumo",_xlfn.XLOOKUP($D1800,Insumos!$B$1:$B$996,Insumos!$D$1:$D$996),"")</f>
        <v/>
      </c>
      <c r="H1800" s="92" t="n">
        <v>14.3212666666667</v>
      </c>
      <c r="I1800" s="2162" t="n">
        <v>0</v>
      </c>
      <c r="J1800" s="2162" t="n">
        <v>0</v>
      </c>
      <c r="K1800" s="2162" t="n"/>
    </row>
    <row r="1801" outlineLevel="2" ht="15.75" customHeight="1">
      <c r="A1801" s="1067" t="n">
        <v>1</v>
      </c>
      <c r="B1801" s="1067" t="inlineStr">
        <is>
          <t>Serviço</t>
        </is>
      </c>
      <c r="C1801" s="1067" t="inlineStr">
        <is>
          <t>40_DRY 70R/PEU - 8.25 cm  -</t>
        </is>
      </c>
      <c r="D1801" s="1067" t="inlineStr">
        <is>
          <t>40_DRY 70R/PEU - 8.25 cm  -</t>
        </is>
      </c>
      <c r="E1801" s="1068" t="inlineStr">
        <is>
          <t>M2</t>
        </is>
      </c>
      <c r="F1801" s="1067" t="n"/>
      <c r="G1801" s="1069">
        <f t="array" ref="G1801">IF(B1801="insumo",_xlfn.XLOOKUP($D1801,Insumos!$B$1:$B$996,Insumos!$D$1:$D$996),"")</f>
        <v/>
      </c>
      <c r="H1801" s="1069" t="n">
        <v>159.7256165</v>
      </c>
      <c r="I1801" s="2161" t="n">
        <v>0</v>
      </c>
      <c r="J1801" s="2161" t="n">
        <v>0</v>
      </c>
      <c r="K1801" s="2161" t="n"/>
    </row>
    <row r="1802" outlineLevel="3" ht="15.75" customHeight="1">
      <c r="A1802" s="10" t="n">
        <v>86</v>
      </c>
      <c r="B1802" s="10" t="inlineStr">
        <is>
          <t>Insumo</t>
        </is>
      </c>
      <c r="C1802" s="10" t="inlineStr">
        <is>
          <t>40_DRY 70R/PEU - 8.25 cm  -</t>
        </is>
      </c>
      <c r="D1802" s="10" t="inlineStr">
        <is>
          <t>SERVICO - CONFECCAO SHAFT GESSO</t>
        </is>
      </c>
      <c r="E1802" s="11">
        <f t="array" ref="E1802">_xlfn.XLOOKUP(D1802,Insumos!B:B,Insumos!C:$C)</f>
        <v/>
      </c>
      <c r="F1802" s="14" t="n">
        <v>1</v>
      </c>
      <c r="G1802" s="92">
        <f t="array" ref="G1802">IF(B1802="insumo",_xlfn.XLOOKUP($D1802,Insumos!$B$1:$B$996,Insumos!$D$1:$D$996),"")</f>
        <v/>
      </c>
      <c r="H1802" s="92" t="n">
        <v>70</v>
      </c>
      <c r="I1802" s="2162" t="n">
        <v>0</v>
      </c>
      <c r="J1802" s="2162" t="n">
        <v>0</v>
      </c>
      <c r="K1802" s="2162" t="n"/>
    </row>
    <row r="1803" outlineLevel="3" ht="15.75" customHeight="1">
      <c r="A1803" s="10" t="n">
        <v>47</v>
      </c>
      <c r="B1803" s="10" t="inlineStr">
        <is>
          <t>Insumo</t>
        </is>
      </c>
      <c r="C1803" s="10" t="inlineStr">
        <is>
          <t>40_DRY 70R/PEU - 8.25 cm  -</t>
        </is>
      </c>
      <c r="D1803" s="10" t="inlineStr">
        <is>
          <t>PLACA / CHAPA DE GESSO ACARTONADO, STANDARD (ST), COR BRANCA, E = 12,5 MM, 1200 X 2400 MM (L X C)</t>
        </is>
      </c>
      <c r="E1803" s="11">
        <f t="array" ref="E1803">_xlfn.XLOOKUP(D1803,Insumos!B:B,Insumos!C:$C)</f>
        <v/>
      </c>
      <c r="F1803" s="14" t="n">
        <v>1.053</v>
      </c>
      <c r="G1803" s="92">
        <f t="array" ref="G1803">IF(B1803="insumo",_xlfn.XLOOKUP($D1803,Insumos!$B$1:$B$996,Insumos!$D$1:$D$996),"")</f>
        <v/>
      </c>
      <c r="H1803" s="92" t="n">
        <v>21.22848</v>
      </c>
      <c r="I1803" s="2162" t="n">
        <v>0</v>
      </c>
      <c r="J1803" s="2162" t="n">
        <v>0</v>
      </c>
      <c r="K1803" s="2162" t="n"/>
    </row>
    <row r="1804" outlineLevel="3" ht="15.75" customHeight="1">
      <c r="A1804" s="10" t="n">
        <v>95</v>
      </c>
      <c r="B1804" s="10" t="inlineStr">
        <is>
          <t>Insumo</t>
        </is>
      </c>
      <c r="C1804" s="10" t="inlineStr">
        <is>
          <t>40_DRY 70R/PEU - 8.25 cm  -</t>
        </is>
      </c>
      <c r="D1804" s="10" t="inlineStr">
        <is>
          <t>PINO DE ACO COM ARRUELA CONICA, DIAMETRO ARRUELA = *23* MM E COMP HASTE = *27* MM (ACAO INDIRETA)</t>
        </is>
      </c>
      <c r="E1804" s="11">
        <f t="array" ref="E1804">_xlfn.XLOOKUP(D1804,Insumos!B:B,Insumos!C:$C)</f>
        <v/>
      </c>
      <c r="F1804" s="14" t="n">
        <v>5.92</v>
      </c>
      <c r="G1804" s="92">
        <f t="array" ref="G1804">IF(B1804="insumo",_xlfn.XLOOKUP($D1804,Insumos!$B$1:$B$996,Insumos!$D$1:$D$996),"")</f>
        <v/>
      </c>
      <c r="H1804" s="92" t="n">
        <v>2.98368</v>
      </c>
      <c r="I1804" s="2162" t="n">
        <v>0</v>
      </c>
      <c r="J1804" s="2162" t="n">
        <v>0</v>
      </c>
      <c r="K1804" s="2162" t="n"/>
    </row>
    <row r="1805" outlineLevel="3" ht="15.75" customHeight="1">
      <c r="A1805" s="10" t="n">
        <v>43</v>
      </c>
      <c r="B1805" s="10" t="inlineStr">
        <is>
          <t>Insumo</t>
        </is>
      </c>
      <c r="C1805" s="10" t="inlineStr">
        <is>
          <t>40_DRY 70R/PEU - 8.25 cm  -</t>
        </is>
      </c>
      <c r="D1805" s="10" t="inlineStr">
        <is>
          <t>PERFIL GUIA, FORMATO U, EM ACO ZINCADO, PARA ESTRUTURA PAREDE DRYWALL, E = 0,5 MM, 70 X 3000 MM (L X C)</t>
        </is>
      </c>
      <c r="E1805" s="11">
        <f t="array" ref="E1805">_xlfn.XLOOKUP(D1805,Insumos!B:B,Insumos!C:$C)</f>
        <v/>
      </c>
      <c r="F1805" s="14" t="n">
        <v>1.8234</v>
      </c>
      <c r="G1805" s="92">
        <f t="array" ref="G1805">IF(B1805="insumo",_xlfn.XLOOKUP($D1805,Insumos!$B$1:$B$996,Insumos!$D$1:$D$996),"")</f>
        <v/>
      </c>
      <c r="H1805" s="92" t="n">
        <v>13.602564</v>
      </c>
      <c r="I1805" s="2162" t="n">
        <v>0</v>
      </c>
      <c r="J1805" s="2162" t="n">
        <v>0</v>
      </c>
      <c r="K1805" s="2162" t="n"/>
    </row>
    <row r="1806" outlineLevel="3" ht="15.75" customHeight="1">
      <c r="A1806" s="10" t="n">
        <v>43</v>
      </c>
      <c r="B1806" s="10" t="inlineStr">
        <is>
          <t>Insumo</t>
        </is>
      </c>
      <c r="C1806" s="10" t="inlineStr">
        <is>
          <t>40_DRY 70R/PEU - 8.25 cm  -</t>
        </is>
      </c>
      <c r="D1806" s="10" t="inlineStr">
        <is>
          <t>PERFIL MONTANTE, FORMATO C, EM ACO ZINCADO, PARA ESTRUTURA PAREDE DRYWALL, E = 0,5 MM, 70 X 3000 MM (L X C)</t>
        </is>
      </c>
      <c r="E1806" s="11">
        <f t="array" ref="E1806">_xlfn.XLOOKUP(D1806,Insumos!B:B,Insumos!C:$C)</f>
        <v/>
      </c>
      <c r="F1806" s="14" t="n">
        <v>5.8278</v>
      </c>
      <c r="G1806" s="92">
        <f t="array" ref="G1806">IF(B1806="insumo",_xlfn.XLOOKUP($D1806,Insumos!$B$1:$B$996,Insumos!$D$1:$D$996),"")</f>
        <v/>
      </c>
      <c r="H1806" s="92" t="n">
        <v>46.505844</v>
      </c>
      <c r="I1806" s="2162" t="n">
        <v>0</v>
      </c>
      <c r="J1806" s="2162" t="n">
        <v>0</v>
      </c>
      <c r="K1806" s="2162" t="n"/>
    </row>
    <row r="1807" outlineLevel="3" ht="15.75" customHeight="1">
      <c r="A1807" s="10" t="n">
        <v>95</v>
      </c>
      <c r="B1807" s="10" t="inlineStr">
        <is>
          <t>Insumo</t>
        </is>
      </c>
      <c r="C1807" s="10" t="inlineStr">
        <is>
          <t>40_DRY 70R/PEU - 8.25 cm  -</t>
        </is>
      </c>
      <c r="D1807" s="10" t="inlineStr">
        <is>
          <t>MASSA DE REJUNTE EM PO PARA DRYWALL, A BASE DE GESSO, SECAGEM RAPIDA, PARA TRATAMENTO DE JUNTAS DE CHAPA DE GESSO (NECESSITA ADICAO DE AGUA)</t>
        </is>
      </c>
      <c r="E1807" s="11">
        <f t="array" ref="E1807">_xlfn.XLOOKUP(D1807,Insumos!B:B,Insumos!C:$C)</f>
        <v/>
      </c>
      <c r="F1807" s="14" t="n">
        <v>0.5489000000000001</v>
      </c>
      <c r="G1807" s="92">
        <f t="array" ref="G1807">IF(B1807="insumo",_xlfn.XLOOKUP($D1807,Insumos!$B$1:$B$996,Insumos!$D$1:$D$996),"")</f>
        <v/>
      </c>
      <c r="H1807" s="92" t="n">
        <v>1.882727</v>
      </c>
      <c r="I1807" s="2162" t="n">
        <v>0</v>
      </c>
      <c r="J1807" s="2162" t="n">
        <v>0</v>
      </c>
      <c r="K1807" s="2162" t="n"/>
    </row>
    <row r="1808" outlineLevel="3" ht="15.75" customHeight="1">
      <c r="A1808" s="10" t="n">
        <v>94</v>
      </c>
      <c r="B1808" s="10" t="inlineStr">
        <is>
          <t>Insumo</t>
        </is>
      </c>
      <c r="C1808" s="10" t="inlineStr">
        <is>
          <t>40_DRY 70R/PEU - 8.25 cm  -</t>
        </is>
      </c>
      <c r="D1808" s="10" t="inlineStr">
        <is>
          <t>FITA DE PAPEL MICROPERFURADO, 50 X 150 MM, PARA TRATAMENTO DE JUNTAS DE CHAPA DE GESSO PARA DRYWALL</t>
        </is>
      </c>
      <c r="E1808" s="11">
        <f t="array" ref="E1808">_xlfn.XLOOKUP(D1808,Insumos!B:B,Insumos!C:$C)</f>
        <v/>
      </c>
      <c r="F1808" s="14" t="n">
        <v>1.25135</v>
      </c>
      <c r="G1808" s="92">
        <f t="array" ref="G1808">IF(B1808="insumo",_xlfn.XLOOKUP($D1808,Insumos!$B$1:$B$996,Insumos!$D$1:$D$996),"")</f>
        <v/>
      </c>
      <c r="H1808" s="92" t="n">
        <v>0.3879185</v>
      </c>
      <c r="I1808" s="2162" t="n">
        <v>0</v>
      </c>
      <c r="J1808" s="2162" t="n">
        <v>0</v>
      </c>
      <c r="K1808" s="2162" t="n"/>
    </row>
    <row r="1809" outlineLevel="3" ht="15.75" customHeight="1">
      <c r="A1809" s="10" t="n">
        <v>94</v>
      </c>
      <c r="B1809" s="10" t="inlineStr">
        <is>
          <t>Insumo</t>
        </is>
      </c>
      <c r="C1809" s="10" t="inlineStr">
        <is>
          <t>40_DRY 70R/PEU - 8.25 cm  -</t>
        </is>
      </c>
      <c r="D1809" s="10" t="inlineStr">
        <is>
          <t>FITA DE PAPEL REFORCADA COM LAMINA DE METAL PARA REFORCO DE CANTOS DE CHAPA DE GESSO PARA DRYWALL</t>
        </is>
      </c>
      <c r="E1809" s="11">
        <f t="array" ref="E1809">_xlfn.XLOOKUP(D1809,Insumos!B:B,Insumos!C:$C)</f>
        <v/>
      </c>
      <c r="F1809" s="14" t="n">
        <v>0.79255</v>
      </c>
      <c r="G1809" s="92">
        <f t="array" ref="G1809">IF(B1809="insumo",_xlfn.XLOOKUP($D1809,Insumos!$B$1:$B$996,Insumos!$D$1:$D$996),"")</f>
        <v/>
      </c>
      <c r="H1809" s="92" t="n">
        <v>2.171587</v>
      </c>
      <c r="I1809" s="2162" t="n">
        <v>0</v>
      </c>
      <c r="J1809" s="2162" t="n">
        <v>0</v>
      </c>
      <c r="K1809" s="2162" t="n"/>
    </row>
    <row r="1810" outlineLevel="3" ht="15.75" customHeight="1">
      <c r="A1810" s="10" t="n">
        <v>97</v>
      </c>
      <c r="B1810" s="10" t="inlineStr">
        <is>
          <t>Insumo</t>
        </is>
      </c>
      <c r="C1810" s="10" t="inlineStr">
        <is>
          <t>40_DRY 70R/PEU - 8.25 cm  -</t>
        </is>
      </c>
      <c r="D1810" s="10" t="inlineStr">
        <is>
          <t>PARAFUSO DRY WALL, EM ACO FOSFATIZADO, CABECA TROMBETA E PONTA AGULHA (TA), COMPRIMENTO 25 MM</t>
        </is>
      </c>
      <c r="E1810" s="11">
        <f t="array" ref="E1810">_xlfn.XLOOKUP(D1810,Insumos!B:B,Insumos!C:$C)</f>
        <v/>
      </c>
      <c r="F1810" s="14" t="n">
        <v>10.0934</v>
      </c>
      <c r="G1810" s="92">
        <f t="array" ref="G1810">IF(B1810="insumo",_xlfn.XLOOKUP($D1810,Insumos!$B$1:$B$996,Insumos!$D$1:$D$996),"")</f>
        <v/>
      </c>
      <c r="H1810" s="92" t="n">
        <v>0.908406</v>
      </c>
      <c r="I1810" s="2162" t="n">
        <v>0</v>
      </c>
      <c r="J1810" s="2162" t="n">
        <v>0</v>
      </c>
      <c r="K1810" s="2162" t="n"/>
    </row>
    <row r="1811" outlineLevel="3" ht="15.75" customHeight="1">
      <c r="A1811" s="10" t="n">
        <v>95</v>
      </c>
      <c r="B1811" s="10" t="inlineStr">
        <is>
          <t>Insumo</t>
        </is>
      </c>
      <c r="C1811" s="10" t="inlineStr">
        <is>
          <t>40_DRY 70R/PEU - 8.25 cm  -</t>
        </is>
      </c>
      <c r="D1811" s="10" t="inlineStr">
        <is>
          <t>PARAFUSO DRY WALL, EM ACO ZINCADO, CABECA LENTILHA E PONTA BROCA (LB), LARGURA 4,2 MM, COMPRIMENTO 13 MM</t>
        </is>
      </c>
      <c r="E1811" s="11">
        <f t="array" ref="E1811">_xlfn.XLOOKUP(D1811,Insumos!B:B,Insumos!C:$C)</f>
        <v/>
      </c>
      <c r="F1811" s="14" t="n">
        <v>0.27205</v>
      </c>
      <c r="G1811" s="92">
        <f t="array" ref="G1811">IF(B1811="insumo",_xlfn.XLOOKUP($D1811,Insumos!$B$1:$B$996,Insumos!$D$1:$D$996),"")</f>
        <v/>
      </c>
      <c r="H1811" s="92" t="n">
        <v>0.05441</v>
      </c>
      <c r="I1811" s="2162" t="n">
        <v>0</v>
      </c>
      <c r="J1811" s="2162" t="n">
        <v>0</v>
      </c>
      <c r="K1811" s="2162" t="n"/>
    </row>
    <row r="1812" outlineLevel="2" ht="15.75" customHeight="1">
      <c r="A1812" s="1067" t="n">
        <v>1</v>
      </c>
      <c r="B1812" s="1067" t="inlineStr">
        <is>
          <t>Serviço</t>
        </is>
      </c>
      <c r="C1812" s="1067" t="inlineStr">
        <is>
          <t>Parede Com Sistema Em Chapas De Gesso Para Drywall, Uso Interno, Montante 90mm, Com Duas Face Simples Standart e isolamento com Lâ de Vidro (ST/90/ST)</t>
        </is>
      </c>
      <c r="D1812" s="1067" t="inlineStr">
        <is>
          <t>Parede Com Sistema Em Chapas De Gesso Para Drywall, Uso Interno, Montante 90mm, Com Duas Face Simples Standart e isolamento com Lâ de Vidro (ST/90/ST)</t>
        </is>
      </c>
      <c r="E1812" s="1068" t="inlineStr">
        <is>
          <t>M2</t>
        </is>
      </c>
      <c r="F1812" s="1067" t="n"/>
      <c r="G1812" s="1069">
        <f t="array" ref="G1812">IF(B1812="insumo",_xlfn.XLOOKUP($D1812,Insumos!$B$1:$B$996,Insumos!$D$1:$D$996),"")</f>
        <v/>
      </c>
      <c r="H1812" s="1069" t="n">
        <v>226.126174666667</v>
      </c>
      <c r="I1812" s="2161" t="n">
        <v>0</v>
      </c>
      <c r="J1812" s="2161" t="n">
        <v>0</v>
      </c>
      <c r="K1812" s="2161" t="n"/>
    </row>
    <row r="1813" outlineLevel="3" ht="15.75" customHeight="1">
      <c r="A1813" s="10" t="n">
        <v>86</v>
      </c>
      <c r="B1813" s="10" t="inlineStr">
        <is>
          <t>Insumo</t>
        </is>
      </c>
      <c r="C1813" s="10" t="inlineStr">
        <is>
          <t>Parede Com Sistema Em Chapas De Gesso Para Drywall, Uso Interno, Montante 90mm, Com Duas Face Simples Standart e isolamento com Lâ de Vidro (ST/90/ST)</t>
        </is>
      </c>
      <c r="D1813" s="10" t="inlineStr">
        <is>
          <t>SERVICO - CONFECCAO SHAFT GESSO</t>
        </is>
      </c>
      <c r="E1813" s="11">
        <f t="array" ref="E1813">_xlfn.XLOOKUP(D1813,Insumos!B:B,Insumos!C:$C)</f>
        <v/>
      </c>
      <c r="F1813" s="14" t="n">
        <v>1</v>
      </c>
      <c r="G1813" s="92">
        <f t="array" ref="G1813">IF(B1813="insumo",_xlfn.XLOOKUP($D1813,Insumos!$B$1:$B$996,Insumos!$D$1:$D$996),"")</f>
        <v/>
      </c>
      <c r="H1813" s="92" t="n">
        <v>70</v>
      </c>
      <c r="I1813" s="2162" t="n">
        <v>0</v>
      </c>
      <c r="J1813" s="2162" t="n">
        <v>0</v>
      </c>
      <c r="K1813" s="2162" t="n"/>
    </row>
    <row r="1814" outlineLevel="3" ht="15.75" customHeight="1">
      <c r="A1814" s="10" t="n">
        <v>47</v>
      </c>
      <c r="B1814" s="10" t="inlineStr">
        <is>
          <t>Insumo</t>
        </is>
      </c>
      <c r="C1814" s="10" t="inlineStr">
        <is>
          <t>Parede Com Sistema Em Chapas De Gesso Para Drywall, Uso Interno, Montante 90mm, Com Duas Face Simples Standart e isolamento com Lâ de Vidro (ST/90/ST)</t>
        </is>
      </c>
      <c r="D1814" s="10" t="inlineStr">
        <is>
          <t>PLACA / CHAPA DE GESSO ACARTONADO, STANDARD (ST), COR BRANCA, E = 12,5 MM, 1200 X 2400 MM (L X C)</t>
        </is>
      </c>
      <c r="E1814" s="11">
        <f t="array" ref="E1814">_xlfn.XLOOKUP(D1814,Insumos!B:B,Insumos!C:$C)</f>
        <v/>
      </c>
      <c r="F1814" s="14" t="n">
        <v>2.106</v>
      </c>
      <c r="G1814" s="92">
        <f t="array" ref="G1814">IF(B1814="insumo",_xlfn.XLOOKUP($D1814,Insumos!$B$1:$B$996,Insumos!$D$1:$D$996),"")</f>
        <v/>
      </c>
      <c r="H1814" s="92" t="n">
        <v>42.45696</v>
      </c>
      <c r="I1814" s="2162" t="n">
        <v>0</v>
      </c>
      <c r="J1814" s="2162" t="n">
        <v>0</v>
      </c>
      <c r="K1814" s="2162" t="n"/>
    </row>
    <row r="1815" outlineLevel="3" ht="15.75" customHeight="1">
      <c r="A1815" s="10" t="n">
        <v>95</v>
      </c>
      <c r="B1815" s="10" t="inlineStr">
        <is>
          <t>Insumo</t>
        </is>
      </c>
      <c r="C1815" s="10" t="inlineStr">
        <is>
          <t>Parede Com Sistema Em Chapas De Gesso Para Drywall, Uso Interno, Montante 90mm, Com Duas Face Simples Standart e isolamento com Lâ de Vidro (ST/90/ST)</t>
        </is>
      </c>
      <c r="D1815" s="10" t="inlineStr">
        <is>
          <t>PINO DE ACO COM ARRUELA CONICA, DIAMETRO ARRUELA = *23* MM E COMP HASTE = *27* MM (ACAO INDIRETA)</t>
        </is>
      </c>
      <c r="E1815" s="11">
        <f t="array" ref="E1815">_xlfn.XLOOKUP(D1815,Insumos!B:B,Insumos!C:$C)</f>
        <v/>
      </c>
      <c r="F1815" s="14" t="n">
        <v>5.92</v>
      </c>
      <c r="G1815" s="92">
        <f t="array" ref="G1815">IF(B1815="insumo",_xlfn.XLOOKUP($D1815,Insumos!$B$1:$B$996,Insumos!$D$1:$D$996),"")</f>
        <v/>
      </c>
      <c r="H1815" s="92" t="n">
        <v>2.98368</v>
      </c>
      <c r="I1815" s="2162" t="n">
        <v>0</v>
      </c>
      <c r="J1815" s="2162" t="n">
        <v>0</v>
      </c>
      <c r="K1815" s="2162" t="n"/>
    </row>
    <row r="1816" outlineLevel="3" ht="15.75" customHeight="1">
      <c r="A1816" s="10" t="n">
        <v>26</v>
      </c>
      <c r="B1816" s="10" t="inlineStr">
        <is>
          <t>Insumo</t>
        </is>
      </c>
      <c r="C1816" s="10" t="inlineStr">
        <is>
          <t>Parede Com Sistema Em Chapas De Gesso Para Drywall, Uso Interno, Montante 90mm, Com Duas Face Simples Standart e isolamento com Lâ de Vidro (ST/90/ST)</t>
        </is>
      </c>
      <c r="D1816" s="10" t="inlineStr">
        <is>
          <t>PERFIL GUIA, FORMATO U, EM ACO ZINCADO, PARA ESTRUTURA PAREDE DRYWALL, E = 0,5 MM, 90 X 3000 MM (L X C)</t>
        </is>
      </c>
      <c r="E1816" s="11">
        <f t="array" ref="E1816">_xlfn.XLOOKUP(D1816,Insumos!B:B,Insumos!C:$C)</f>
        <v/>
      </c>
      <c r="F1816" s="14" t="n">
        <v>1.5248</v>
      </c>
      <c r="G1816" s="92">
        <f t="array" ref="G1816">IF(B1816="insumo",_xlfn.XLOOKUP($D1816,Insumos!$B$1:$B$996,Insumos!$D$1:$D$996),"")</f>
        <v/>
      </c>
      <c r="H1816" s="92" t="n">
        <v>13.174272</v>
      </c>
      <c r="I1816" s="2162" t="n">
        <v>0</v>
      </c>
      <c r="J1816" s="2162" t="n">
        <v>0</v>
      </c>
      <c r="K1816" s="2162" t="n"/>
    </row>
    <row r="1817" outlineLevel="3" ht="15.75" customHeight="1">
      <c r="A1817" s="10" t="n">
        <v>26</v>
      </c>
      <c r="B1817" s="10" t="inlineStr">
        <is>
          <t>Insumo</t>
        </is>
      </c>
      <c r="C1817" s="10" t="inlineStr">
        <is>
          <t>Parede Com Sistema Em Chapas De Gesso Para Drywall, Uso Interno, Montante 90mm, Com Duas Face Simples Standart e isolamento com Lâ de Vidro (ST/90/ST)</t>
        </is>
      </c>
      <c r="D1817" s="10" t="inlineStr">
        <is>
          <t>PERFIL MONTANTE, FORMATO C, EM ACO ZINCADO, PARA ESTRUTURA PAREDE DRYWALL, E = 0,5 MM, 90 X 3000 MM (L X C)</t>
        </is>
      </c>
      <c r="E1817" s="11">
        <f t="array" ref="E1817">_xlfn.XLOOKUP(D1817,Insumos!B:B,Insumos!C:$C)</f>
        <v/>
      </c>
      <c r="F1817" s="14" t="n">
        <v>4.0011</v>
      </c>
      <c r="G1817" s="92">
        <f t="array" ref="G1817">IF(B1817="insumo",_xlfn.XLOOKUP($D1817,Insumos!$B$1:$B$996,Insumos!$D$1:$D$996),"")</f>
        <v/>
      </c>
      <c r="H1817" s="92" t="n">
        <v>72.37989899999999</v>
      </c>
      <c r="I1817" s="2162" t="n">
        <v>0</v>
      </c>
      <c r="J1817" s="2162" t="n">
        <v>0</v>
      </c>
      <c r="K1817" s="2162" t="n"/>
    </row>
    <row r="1818" outlineLevel="3" ht="15.75" customHeight="1">
      <c r="A1818" s="10" t="n">
        <v>95</v>
      </c>
      <c r="B1818" s="10" t="inlineStr">
        <is>
          <t>Insumo</t>
        </is>
      </c>
      <c r="C1818" s="10" t="inlineStr">
        <is>
          <t>Parede Com Sistema Em Chapas De Gesso Para Drywall, Uso Interno, Montante 90mm, Com Duas Face Simples Standart e isolamento com Lâ de Vidro (ST/90/ST)</t>
        </is>
      </c>
      <c r="D1818" s="10" t="inlineStr">
        <is>
          <t>MASSA DE REJUNTE EM PO PARA DRYWALL, A BASE DE GESSO, SECAGEM RAPIDA, PARA TRATAMENTO DE JUNTAS DE CHAPA DE GESSO (NECESSITA ADICAO DE AGUA)</t>
        </is>
      </c>
      <c r="E1818" s="11">
        <f t="array" ref="E1818">_xlfn.XLOOKUP(D1818,Insumos!B:B,Insumos!C:$C)</f>
        <v/>
      </c>
      <c r="F1818" s="14" t="n">
        <v>1.0978</v>
      </c>
      <c r="G1818" s="92">
        <f t="array" ref="G1818">IF(B1818="insumo",_xlfn.XLOOKUP($D1818,Insumos!$B$1:$B$996,Insumos!$D$1:$D$996),"")</f>
        <v/>
      </c>
      <c r="H1818" s="92" t="n">
        <v>3.765454</v>
      </c>
      <c r="I1818" s="2162" t="n">
        <v>0</v>
      </c>
      <c r="J1818" s="2162" t="n">
        <v>0</v>
      </c>
      <c r="K1818" s="2162" t="n"/>
    </row>
    <row r="1819" outlineLevel="3" ht="15.75" customHeight="1">
      <c r="A1819" s="10" t="n">
        <v>94</v>
      </c>
      <c r="B1819" s="10" t="inlineStr">
        <is>
          <t>Insumo</t>
        </is>
      </c>
      <c r="C1819" s="10" t="inlineStr">
        <is>
          <t>Parede Com Sistema Em Chapas De Gesso Para Drywall, Uso Interno, Montante 90mm, Com Duas Face Simples Standart e isolamento com Lâ de Vidro (ST/90/ST)</t>
        </is>
      </c>
      <c r="D1819" s="10" t="inlineStr">
        <is>
          <t>FITA DE PAPEL MICROPERFURADO, 50 X 150 MM, PARA TRATAMENTO DE JUNTAS DE CHAPA DE GESSO PARA DRYWALL</t>
        </is>
      </c>
      <c r="E1819" s="11">
        <f t="array" ref="E1819">_xlfn.XLOOKUP(D1819,Insumos!B:B,Insumos!C:$C)</f>
        <v/>
      </c>
      <c r="F1819" s="14" t="n">
        <v>2.5027</v>
      </c>
      <c r="G1819" s="92">
        <f t="array" ref="G1819">IF(B1819="insumo",_xlfn.XLOOKUP($D1819,Insumos!$B$1:$B$996,Insumos!$D$1:$D$996),"")</f>
        <v/>
      </c>
      <c r="H1819" s="92" t="n">
        <v>0.775837</v>
      </c>
      <c r="I1819" s="2162" t="n">
        <v>0</v>
      </c>
      <c r="J1819" s="2162" t="n">
        <v>0</v>
      </c>
      <c r="K1819" s="2162" t="n"/>
    </row>
    <row r="1820" outlineLevel="3" ht="15.75" customHeight="1">
      <c r="A1820" s="10" t="n">
        <v>94</v>
      </c>
      <c r="B1820" s="10" t="inlineStr">
        <is>
          <t>Insumo</t>
        </is>
      </c>
      <c r="C1820" s="10" t="inlineStr">
        <is>
          <t>Parede Com Sistema Em Chapas De Gesso Para Drywall, Uso Interno, Montante 90mm, Com Duas Face Simples Standart e isolamento com Lâ de Vidro (ST/90/ST)</t>
        </is>
      </c>
      <c r="D1820" s="10" t="inlineStr">
        <is>
          <t>FITA DE PAPEL REFORCADA COM LAMINA DE METAL PARA REFORCO DE CANTOS DE CHAPA DE GESSO PARA DRYWALL</t>
        </is>
      </c>
      <c r="E1820" s="11">
        <f t="array" ref="E1820">_xlfn.XLOOKUP(D1820,Insumos!B:B,Insumos!C:$C)</f>
        <v/>
      </c>
      <c r="F1820" s="14" t="n">
        <v>1.5851</v>
      </c>
      <c r="G1820" s="92">
        <f t="array" ref="G1820">IF(B1820="insumo",_xlfn.XLOOKUP($D1820,Insumos!$B$1:$B$996,Insumos!$D$1:$D$996),"")</f>
        <v/>
      </c>
      <c r="H1820" s="92" t="n">
        <v>4.343174</v>
      </c>
      <c r="I1820" s="2162" t="n">
        <v>0</v>
      </c>
      <c r="J1820" s="2162" t="n">
        <v>0</v>
      </c>
      <c r="K1820" s="2162" t="n"/>
    </row>
    <row r="1821" outlineLevel="3" ht="15.75" customHeight="1">
      <c r="A1821" s="10" t="n">
        <v>97</v>
      </c>
      <c r="B1821" s="10" t="inlineStr">
        <is>
          <t>Insumo</t>
        </is>
      </c>
      <c r="C1821" s="10" t="inlineStr">
        <is>
          <t>Parede Com Sistema Em Chapas De Gesso Para Drywall, Uso Interno, Montante 90mm, Com Duas Face Simples Standart e isolamento com Lâ de Vidro (ST/90/ST)</t>
        </is>
      </c>
      <c r="D1821" s="10" t="inlineStr">
        <is>
          <t>PARAFUSO DRY WALL, EM ACO FOSFATIZADO, CABECA TROMBETA E PONTA AGULHA (TA), COMPRIMENTO 25 MM</t>
        </is>
      </c>
      <c r="E1821" s="11">
        <f t="array" ref="E1821">_xlfn.XLOOKUP(D1821,Insumos!B:B,Insumos!C:$C)</f>
        <v/>
      </c>
      <c r="F1821" s="14" t="n">
        <v>20.1868</v>
      </c>
      <c r="G1821" s="92">
        <f t="array" ref="G1821">IF(B1821="insumo",_xlfn.XLOOKUP($D1821,Insumos!$B$1:$B$996,Insumos!$D$1:$D$996),"")</f>
        <v/>
      </c>
      <c r="H1821" s="92" t="n">
        <v>1.816812</v>
      </c>
      <c r="I1821" s="2162" t="n">
        <v>0</v>
      </c>
      <c r="J1821" s="2162" t="n">
        <v>0</v>
      </c>
      <c r="K1821" s="2162" t="n"/>
    </row>
    <row r="1822" outlineLevel="3" ht="15.75" customHeight="1">
      <c r="A1822" s="10" t="n">
        <v>95</v>
      </c>
      <c r="B1822" s="10" t="inlineStr">
        <is>
          <t>Insumo</t>
        </is>
      </c>
      <c r="C1822" s="10" t="inlineStr">
        <is>
          <t>Parede Com Sistema Em Chapas De Gesso Para Drywall, Uso Interno, Montante 90mm, Com Duas Face Simples Standart e isolamento com Lâ de Vidro (ST/90/ST)</t>
        </is>
      </c>
      <c r="D1822" s="10" t="inlineStr">
        <is>
          <t>PARAFUSO DRY WALL, EM ACO ZINCADO, CABECA LENTILHA E PONTA BROCA (LB), LARGURA 4,2 MM, COMPRIMENTO 13 MM</t>
        </is>
      </c>
      <c r="E1822" s="11">
        <f t="array" ref="E1822">_xlfn.XLOOKUP(D1822,Insumos!B:B,Insumos!C:$C)</f>
        <v/>
      </c>
      <c r="F1822" s="14" t="n">
        <v>0.5441</v>
      </c>
      <c r="G1822" s="92">
        <f t="array" ref="G1822">IF(B1822="insumo",_xlfn.XLOOKUP($D1822,Insumos!$B$1:$B$996,Insumos!$D$1:$D$996),"")</f>
        <v/>
      </c>
      <c r="H1822" s="92" t="n">
        <v>0.10882</v>
      </c>
      <c r="I1822" s="2162" t="n">
        <v>0</v>
      </c>
      <c r="J1822" s="2162" t="n">
        <v>0</v>
      </c>
      <c r="K1822" s="2162" t="n"/>
    </row>
    <row r="1823" outlineLevel="3" ht="15.75" customHeight="1">
      <c r="A1823" s="10" t="n">
        <v>35</v>
      </c>
      <c r="B1823" s="10" t="inlineStr">
        <is>
          <t>Insumo</t>
        </is>
      </c>
      <c r="C1823" s="10" t="inlineStr">
        <is>
          <t>Parede Com Sistema Em Chapas De Gesso Para Drywall, Uso Interno, Montante 90mm, Com Duas Face Simples Standart e isolamento com Lâ de Vidro (ST/90/ST)</t>
        </is>
      </c>
      <c r="D1823" s="10" t="inlineStr">
        <is>
          <t>Lã de pet 50 X 1200 X 12500 MM</t>
        </is>
      </c>
      <c r="E1823" s="11">
        <f t="array" ref="E1823">_xlfn.XLOOKUP(D1823,Insumos!B:B,Insumos!C:$C)</f>
        <v/>
      </c>
      <c r="F1823" s="14" t="n">
        <v>1.1</v>
      </c>
      <c r="G1823" s="92">
        <f t="array" ref="G1823">IF(B1823="insumo",_xlfn.XLOOKUP($D1823,Insumos!$B$1:$B$996,Insumos!$D$1:$D$996),"")</f>
        <v/>
      </c>
      <c r="H1823" s="92" t="n">
        <v>14.3212666666667</v>
      </c>
      <c r="I1823" s="2162" t="n">
        <v>0</v>
      </c>
      <c r="J1823" s="2162" t="n">
        <v>0</v>
      </c>
      <c r="K1823" s="2162" t="n"/>
    </row>
    <row r="1824" outlineLevel="2" ht="15.75" customHeight="1">
      <c r="A1824" s="1067" t="n">
        <v>1</v>
      </c>
      <c r="B1824" s="1067" t="inlineStr">
        <is>
          <t>Serviço</t>
        </is>
      </c>
      <c r="C1824" s="1067" t="inlineStr">
        <is>
          <t>Fechamento de Shaft em Chapas De Gesso Para Drywall, Uso Interno, Montante 90mm, Com Duas Face Simples Resistente à Umidade e isolamento com Lâ de Vidro (RU/90/RU)</t>
        </is>
      </c>
      <c r="D1824" s="1067" t="inlineStr">
        <is>
          <t>Fechamento de Shaft em Chapas De Gesso Para Drywall, Uso Interno, Montante 90mm, Com Duas Face Simples Resistente à Umidade e isolamento com Lâ de Vidro (RU/90/RU)</t>
        </is>
      </c>
      <c r="E1824" s="1068" t="inlineStr">
        <is>
          <t>M2</t>
        </is>
      </c>
      <c r="F1824" s="1067" t="n"/>
      <c r="G1824" s="1069">
        <f t="array" ref="G1824">IF(B1824="insumo",_xlfn.XLOOKUP($D1824,Insumos!$B$1:$B$996,Insumos!$D$1:$D$996),"")</f>
        <v/>
      </c>
      <c r="H1824" s="1069" t="n">
        <v>240.741814666667</v>
      </c>
      <c r="I1824" s="2161" t="n">
        <v>0</v>
      </c>
      <c r="J1824" s="2161" t="n">
        <v>0</v>
      </c>
      <c r="K1824" s="2161" t="n"/>
    </row>
    <row r="1825" outlineLevel="3" ht="15.75" customHeight="1">
      <c r="A1825" s="10" t="n">
        <v>86</v>
      </c>
      <c r="B1825" s="10" t="inlineStr">
        <is>
          <t>Insumo</t>
        </is>
      </c>
      <c r="C1825" s="10" t="inlineStr">
        <is>
          <t>Fechamento de Shaft em Chapas De Gesso Para Drywall, Uso Interno, Montante 90mm, Com Duas Face Simples Resistente à Umidade e isolamento com Lâ de Vidro (RU/90/RU)</t>
        </is>
      </c>
      <c r="D1825" s="10" t="inlineStr">
        <is>
          <t>SERVICO - CONFECCAO SHAFT GESSO</t>
        </is>
      </c>
      <c r="E1825" s="11">
        <f t="array" ref="E1825">_xlfn.XLOOKUP(D1825,Insumos!B:B,Insumos!C:$C)</f>
        <v/>
      </c>
      <c r="F1825" s="14" t="n">
        <v>1</v>
      </c>
      <c r="G1825" s="92">
        <f t="array" ref="G1825">IF(B1825="insumo",_xlfn.XLOOKUP($D1825,Insumos!$B$1:$B$996,Insumos!$D$1:$D$996),"")</f>
        <v/>
      </c>
      <c r="H1825" s="92" t="n">
        <v>70</v>
      </c>
      <c r="I1825" s="2162" t="n">
        <v>0</v>
      </c>
      <c r="J1825" s="2162" t="n">
        <v>0</v>
      </c>
      <c r="K1825" s="2162" t="n"/>
    </row>
    <row r="1826" outlineLevel="3" ht="15.75" customHeight="1">
      <c r="A1826" s="10" t="n">
        <v>49</v>
      </c>
      <c r="B1826" s="10" t="inlineStr">
        <is>
          <t>Insumo</t>
        </is>
      </c>
      <c r="C1826" s="10" t="inlineStr">
        <is>
          <t>Fechamento de Shaft em Chapas De Gesso Para Drywall, Uso Interno, Montante 90mm, Com Duas Face Simples Resistente à Umidade e isolamento com Lâ de Vidro (RU/90/RU)</t>
        </is>
      </c>
      <c r="D1826" s="10" t="inlineStr">
        <is>
          <t>PLACA / CHAPA DE GESSO ACARTONADO, RESISTENTE A UMIDADE (RU), COR VERDE, E = 12,5 MM, 1200 X 2400 MM (L X C)</t>
        </is>
      </c>
      <c r="E1826" s="11">
        <f t="array" ref="E1826">_xlfn.XLOOKUP(D1826,Insumos!B:B,Insumos!C:$C)</f>
        <v/>
      </c>
      <c r="F1826" s="14" t="n">
        <v>2.106</v>
      </c>
      <c r="G1826" s="92">
        <f t="array" ref="G1826">IF(B1826="insumo",_xlfn.XLOOKUP($D1826,Insumos!$B$1:$B$996,Insumos!$D$1:$D$996),"")</f>
        <v/>
      </c>
      <c r="H1826" s="92" t="n">
        <v>57.0726</v>
      </c>
      <c r="I1826" s="2162" t="n">
        <v>0</v>
      </c>
      <c r="J1826" s="2162" t="n">
        <v>0</v>
      </c>
      <c r="K1826" s="2162" t="n"/>
    </row>
    <row r="1827" outlineLevel="3" ht="15.75" customHeight="1">
      <c r="A1827" s="10" t="n">
        <v>95</v>
      </c>
      <c r="B1827" s="10" t="inlineStr">
        <is>
          <t>Insumo</t>
        </is>
      </c>
      <c r="C1827" s="10" t="inlineStr">
        <is>
          <t>Fechamento de Shaft em Chapas De Gesso Para Drywall, Uso Interno, Montante 90mm, Com Duas Face Simples Resistente à Umidade e isolamento com Lâ de Vidro (RU/90/RU)</t>
        </is>
      </c>
      <c r="D1827" s="10" t="inlineStr">
        <is>
          <t>PINO DE ACO COM ARRUELA CONICA, DIAMETRO ARRUELA = *23* MM E COMP HASTE = *27* MM (ACAO INDIRETA)</t>
        </is>
      </c>
      <c r="E1827" s="11">
        <f t="array" ref="E1827">_xlfn.XLOOKUP(D1827,Insumos!B:B,Insumos!C:$C)</f>
        <v/>
      </c>
      <c r="F1827" s="14" t="n">
        <v>5.92</v>
      </c>
      <c r="G1827" s="92">
        <f t="array" ref="G1827">IF(B1827="insumo",_xlfn.XLOOKUP($D1827,Insumos!$B$1:$B$996,Insumos!$D$1:$D$996),"")</f>
        <v/>
      </c>
      <c r="H1827" s="92" t="n">
        <v>2.98368</v>
      </c>
      <c r="I1827" s="2162" t="n">
        <v>0</v>
      </c>
      <c r="J1827" s="2162" t="n">
        <v>0</v>
      </c>
      <c r="K1827" s="2162" t="n"/>
    </row>
    <row r="1828" outlineLevel="3" ht="15.75" customHeight="1">
      <c r="A1828" s="10" t="n">
        <v>26</v>
      </c>
      <c r="B1828" s="10" t="inlineStr">
        <is>
          <t>Insumo</t>
        </is>
      </c>
      <c r="C1828" s="10" t="inlineStr">
        <is>
          <t>Fechamento de Shaft em Chapas De Gesso Para Drywall, Uso Interno, Montante 90mm, Com Duas Face Simples Resistente à Umidade e isolamento com Lâ de Vidro (RU/90/RU)</t>
        </is>
      </c>
      <c r="D1828" s="10" t="inlineStr">
        <is>
          <t>PERFIL GUIA, FORMATO U, EM ACO ZINCADO, PARA ESTRUTURA PAREDE DRYWALL, E = 0,5 MM, 90 X 3000 MM (L X C)</t>
        </is>
      </c>
      <c r="E1828" s="11">
        <f t="array" ref="E1828">_xlfn.XLOOKUP(D1828,Insumos!B:B,Insumos!C:$C)</f>
        <v/>
      </c>
      <c r="F1828" s="14" t="n">
        <v>1.5248</v>
      </c>
      <c r="G1828" s="92">
        <f t="array" ref="G1828">IF(B1828="insumo",_xlfn.XLOOKUP($D1828,Insumos!$B$1:$B$996,Insumos!$D$1:$D$996),"")</f>
        <v/>
      </c>
      <c r="H1828" s="92" t="n">
        <v>13.174272</v>
      </c>
      <c r="I1828" s="2162" t="n">
        <v>0</v>
      </c>
      <c r="J1828" s="2162" t="n">
        <v>0</v>
      </c>
      <c r="K1828" s="2162" t="n"/>
    </row>
    <row r="1829" outlineLevel="3" ht="15.75" customHeight="1">
      <c r="A1829" s="10" t="n">
        <v>26</v>
      </c>
      <c r="B1829" s="10" t="inlineStr">
        <is>
          <t>Insumo</t>
        </is>
      </c>
      <c r="C1829" s="10" t="inlineStr">
        <is>
          <t>Fechamento de Shaft em Chapas De Gesso Para Drywall, Uso Interno, Montante 90mm, Com Duas Face Simples Resistente à Umidade e isolamento com Lâ de Vidro (RU/90/RU)</t>
        </is>
      </c>
      <c r="D1829" s="10" t="inlineStr">
        <is>
          <t>PERFIL MONTANTE, FORMATO C, EM ACO ZINCADO, PARA ESTRUTURA PAREDE DRYWALL, E = 0,5 MM, 90 X 3000 MM (L X C)</t>
        </is>
      </c>
      <c r="E1829" s="11">
        <f t="array" ref="E1829">_xlfn.XLOOKUP(D1829,Insumos!B:B,Insumos!C:$C)</f>
        <v/>
      </c>
      <c r="F1829" s="14" t="n">
        <v>4.0011</v>
      </c>
      <c r="G1829" s="92">
        <f t="array" ref="G1829">IF(B1829="insumo",_xlfn.XLOOKUP($D1829,Insumos!$B$1:$B$996,Insumos!$D$1:$D$996),"")</f>
        <v/>
      </c>
      <c r="H1829" s="92" t="n">
        <v>72.37989899999999</v>
      </c>
      <c r="I1829" s="2162" t="n">
        <v>0</v>
      </c>
      <c r="J1829" s="2162" t="n">
        <v>0</v>
      </c>
      <c r="K1829" s="2162" t="n"/>
    </row>
    <row r="1830" outlineLevel="3" ht="15.75" customHeight="1">
      <c r="A1830" s="10" t="n">
        <v>95</v>
      </c>
      <c r="B1830" s="10" t="inlineStr">
        <is>
          <t>Insumo</t>
        </is>
      </c>
      <c r="C1830" s="10" t="inlineStr">
        <is>
          <t>Fechamento de Shaft em Chapas De Gesso Para Drywall, Uso Interno, Montante 90mm, Com Duas Face Simples Resistente à Umidade e isolamento com Lâ de Vidro (RU/90/RU)</t>
        </is>
      </c>
      <c r="D1830" s="10" t="inlineStr">
        <is>
          <t>MASSA DE REJUNTE EM PO PARA DRYWALL, A BASE DE GESSO, SECAGEM RAPIDA, PARA TRATAMENTO DE JUNTAS DE CHAPA DE GESSO (NECESSITA ADICAO DE AGUA)</t>
        </is>
      </c>
      <c r="E1830" s="11">
        <f t="array" ref="E1830">_xlfn.XLOOKUP(D1830,Insumos!B:B,Insumos!C:$C)</f>
        <v/>
      </c>
      <c r="F1830" s="14" t="n">
        <v>1.0978</v>
      </c>
      <c r="G1830" s="92">
        <f t="array" ref="G1830">IF(B1830="insumo",_xlfn.XLOOKUP($D1830,Insumos!$B$1:$B$996,Insumos!$D$1:$D$996),"")</f>
        <v/>
      </c>
      <c r="H1830" s="92" t="n">
        <v>3.765454</v>
      </c>
      <c r="I1830" s="2162" t="n">
        <v>0</v>
      </c>
      <c r="J1830" s="2162" t="n">
        <v>0</v>
      </c>
      <c r="K1830" s="2162" t="n"/>
    </row>
    <row r="1831" outlineLevel="3" ht="15.75" customHeight="1">
      <c r="A1831" s="10" t="n">
        <v>94</v>
      </c>
      <c r="B1831" s="10" t="inlineStr">
        <is>
          <t>Insumo</t>
        </is>
      </c>
      <c r="C1831" s="10" t="inlineStr">
        <is>
          <t>Fechamento de Shaft em Chapas De Gesso Para Drywall, Uso Interno, Montante 90mm, Com Duas Face Simples Resistente à Umidade e isolamento com Lâ de Vidro (RU/90/RU)</t>
        </is>
      </c>
      <c r="D1831" s="10" t="inlineStr">
        <is>
          <t>FITA DE PAPEL MICROPERFURADO, 50 X 150 MM, PARA TRATAMENTO DE JUNTAS DE CHAPA DE GESSO PARA DRYWALL</t>
        </is>
      </c>
      <c r="E1831" s="11">
        <f t="array" ref="E1831">_xlfn.XLOOKUP(D1831,Insumos!B:B,Insumos!C:$C)</f>
        <v/>
      </c>
      <c r="F1831" s="14" t="n">
        <v>2.5027</v>
      </c>
      <c r="G1831" s="92">
        <f t="array" ref="G1831">IF(B1831="insumo",_xlfn.XLOOKUP($D1831,Insumos!$B$1:$B$996,Insumos!$D$1:$D$996),"")</f>
        <v/>
      </c>
      <c r="H1831" s="92" t="n">
        <v>0.775837</v>
      </c>
      <c r="I1831" s="2162" t="n">
        <v>0</v>
      </c>
      <c r="J1831" s="2162" t="n">
        <v>0</v>
      </c>
      <c r="K1831" s="2162" t="n"/>
    </row>
    <row r="1832" outlineLevel="3" ht="15.75" customHeight="1">
      <c r="A1832" s="10" t="n">
        <v>94</v>
      </c>
      <c r="B1832" s="10" t="inlineStr">
        <is>
          <t>Insumo</t>
        </is>
      </c>
      <c r="C1832" s="10" t="inlineStr">
        <is>
          <t>Fechamento de Shaft em Chapas De Gesso Para Drywall, Uso Interno, Montante 90mm, Com Duas Face Simples Resistente à Umidade e isolamento com Lâ de Vidro (RU/90/RU)</t>
        </is>
      </c>
      <c r="D1832" s="10" t="inlineStr">
        <is>
          <t>FITA DE PAPEL REFORCADA COM LAMINA DE METAL PARA REFORCO DE CANTOS DE CHAPA DE GESSO PARA DRYWALL</t>
        </is>
      </c>
      <c r="E1832" s="11">
        <f t="array" ref="E1832">_xlfn.XLOOKUP(D1832,Insumos!B:B,Insumos!C:$C)</f>
        <v/>
      </c>
      <c r="F1832" s="14" t="n">
        <v>1.5851</v>
      </c>
      <c r="G1832" s="92">
        <f t="array" ref="G1832">IF(B1832="insumo",_xlfn.XLOOKUP($D1832,Insumos!$B$1:$B$996,Insumos!$D$1:$D$996),"")</f>
        <v/>
      </c>
      <c r="H1832" s="92" t="n">
        <v>4.343174</v>
      </c>
      <c r="I1832" s="2162" t="n">
        <v>0</v>
      </c>
      <c r="J1832" s="2162" t="n">
        <v>0</v>
      </c>
      <c r="K1832" s="2162" t="n"/>
    </row>
    <row r="1833" outlineLevel="3" ht="15.75" customHeight="1">
      <c r="A1833" s="10" t="n">
        <v>97</v>
      </c>
      <c r="B1833" s="10" t="inlineStr">
        <is>
          <t>Insumo</t>
        </is>
      </c>
      <c r="C1833" s="10" t="inlineStr">
        <is>
          <t>Fechamento de Shaft em Chapas De Gesso Para Drywall, Uso Interno, Montante 90mm, Com Duas Face Simples Resistente à Umidade e isolamento com Lâ de Vidro (RU/90/RU)</t>
        </is>
      </c>
      <c r="D1833" s="10" t="inlineStr">
        <is>
          <t>PARAFUSO DRY WALL, EM ACO FOSFATIZADO, CABECA TROMBETA E PONTA AGULHA (TA), COMPRIMENTO 25 MM</t>
        </is>
      </c>
      <c r="E1833" s="11">
        <f t="array" ref="E1833">_xlfn.XLOOKUP(D1833,Insumos!B:B,Insumos!C:$C)</f>
        <v/>
      </c>
      <c r="F1833" s="14" t="n">
        <v>20.1868</v>
      </c>
      <c r="G1833" s="92">
        <f t="array" ref="G1833">IF(B1833="insumo",_xlfn.XLOOKUP($D1833,Insumos!$B$1:$B$996,Insumos!$D$1:$D$996),"")</f>
        <v/>
      </c>
      <c r="H1833" s="92" t="n">
        <v>1.816812</v>
      </c>
      <c r="I1833" s="2162" t="n">
        <v>0</v>
      </c>
      <c r="J1833" s="2162" t="n">
        <v>0</v>
      </c>
      <c r="K1833" s="2162" t="n"/>
    </row>
    <row r="1834" outlineLevel="3" ht="15.75" customHeight="1">
      <c r="A1834" s="10" t="n">
        <v>95</v>
      </c>
      <c r="B1834" s="10" t="inlineStr">
        <is>
          <t>Insumo</t>
        </is>
      </c>
      <c r="C1834" s="10" t="inlineStr">
        <is>
          <t>Fechamento de Shaft em Chapas De Gesso Para Drywall, Uso Interno, Montante 90mm, Com Duas Face Simples Resistente à Umidade e isolamento com Lâ de Vidro (RU/90/RU)</t>
        </is>
      </c>
      <c r="D1834" s="10" t="inlineStr">
        <is>
          <t>PARAFUSO DRY WALL, EM ACO ZINCADO, CABECA LENTILHA E PONTA BROCA (LB), LARGURA 4,2 MM, COMPRIMENTO 13 MM</t>
        </is>
      </c>
      <c r="E1834" s="11">
        <f t="array" ref="E1834">_xlfn.XLOOKUP(D1834,Insumos!B:B,Insumos!C:$C)</f>
        <v/>
      </c>
      <c r="F1834" s="14" t="n">
        <v>0.5441</v>
      </c>
      <c r="G1834" s="92">
        <f t="array" ref="G1834">IF(B1834="insumo",_xlfn.XLOOKUP($D1834,Insumos!$B$1:$B$996,Insumos!$D$1:$D$996),"")</f>
        <v/>
      </c>
      <c r="H1834" s="92" t="n">
        <v>0.10882</v>
      </c>
      <c r="I1834" s="2162" t="n">
        <v>0</v>
      </c>
      <c r="J1834" s="2162" t="n">
        <v>0</v>
      </c>
      <c r="K1834" s="2162" t="n"/>
    </row>
    <row r="1835" outlineLevel="3" ht="15.75" customHeight="1">
      <c r="A1835" s="10" t="n">
        <v>35</v>
      </c>
      <c r="B1835" s="10" t="inlineStr">
        <is>
          <t>Insumo</t>
        </is>
      </c>
      <c r="C1835" s="10" t="inlineStr">
        <is>
          <t>Fechamento de Shaft em Chapas De Gesso Para Drywall, Uso Interno, Montante 90mm, Com Duas Face Simples Resistente à Umidade e isolamento com Lâ de Vidro (RU/90/RU)</t>
        </is>
      </c>
      <c r="D1835" s="10" t="inlineStr">
        <is>
          <t>Lã de pet 50 X 1200 X 12500 MM</t>
        </is>
      </c>
      <c r="E1835" s="11">
        <f t="array" ref="E1835">_xlfn.XLOOKUP(D1835,Insumos!B:B,Insumos!C:$C)</f>
        <v/>
      </c>
      <c r="F1835" s="14" t="n">
        <v>1.1</v>
      </c>
      <c r="G1835" s="92">
        <f t="array" ref="G1835">IF(B1835="insumo",_xlfn.XLOOKUP($D1835,Insumos!$B$1:$B$996,Insumos!$D$1:$D$996),"")</f>
        <v/>
      </c>
      <c r="H1835" s="92" t="n">
        <v>14.3212666666667</v>
      </c>
      <c r="I1835" s="2162" t="n">
        <v>0</v>
      </c>
      <c r="J1835" s="2162" t="n">
        <v>0</v>
      </c>
      <c r="K1835" s="2162" t="n"/>
    </row>
    <row r="1836" outlineLevel="2" ht="15.75" customHeight="1">
      <c r="A1836" s="1067" t="n">
        <v>1</v>
      </c>
      <c r="B1836" s="1067" t="inlineStr">
        <is>
          <t>Serviço</t>
        </is>
      </c>
      <c r="C1836" s="1067" t="inlineStr">
        <is>
          <t>35_DRY 90 mm LV, OSSO  -</t>
        </is>
      </c>
      <c r="D1836" s="1067" t="inlineStr">
        <is>
          <t>35_DRY 90 mm LV, OSSO  -</t>
        </is>
      </c>
      <c r="E1836" s="1068" t="inlineStr">
        <is>
          <t>M2</t>
        </is>
      </c>
      <c r="F1836" s="1067" t="n"/>
      <c r="G1836" s="1069">
        <f t="array" ref="G1836">IF(B1836="insumo",_xlfn.XLOOKUP($D1836,Insumos!$B$1:$B$996,Insumos!$D$1:$D$996),"")</f>
        <v/>
      </c>
      <c r="H1836" s="1069" t="n">
        <v>172.967937666667</v>
      </c>
      <c r="I1836" s="2161" t="n">
        <v>0</v>
      </c>
      <c r="J1836" s="2161" t="n">
        <v>0</v>
      </c>
      <c r="K1836" s="2161" t="n"/>
    </row>
    <row r="1837" outlineLevel="3" ht="15.75" customHeight="1">
      <c r="A1837" s="10" t="n">
        <v>86</v>
      </c>
      <c r="B1837" s="10" t="inlineStr">
        <is>
          <t>Insumo</t>
        </is>
      </c>
      <c r="C1837" s="10" t="inlineStr">
        <is>
          <t>35_DRY 90 mm LV, OSSO  -</t>
        </is>
      </c>
      <c r="D1837" s="10" t="inlineStr">
        <is>
          <t>SERVICO - CONFECCAO SHAFT GESSO</t>
        </is>
      </c>
      <c r="E1837" s="11">
        <f t="array" ref="E1837">_xlfn.XLOOKUP(D1837,Insumos!B:B,Insumos!C:$C)</f>
        <v/>
      </c>
      <c r="F1837" s="14" t="n">
        <v>1</v>
      </c>
      <c r="G1837" s="92">
        <f t="array" ref="G1837">IF(B1837="insumo",_xlfn.XLOOKUP($D1837,Insumos!$B$1:$B$996,Insumos!$D$1:$D$996),"")</f>
        <v/>
      </c>
      <c r="H1837" s="92" t="n">
        <v>70</v>
      </c>
      <c r="I1837" s="2162" t="n">
        <v>0</v>
      </c>
      <c r="J1837" s="2162" t="n">
        <v>0</v>
      </c>
      <c r="K1837" s="2162" t="n"/>
    </row>
    <row r="1838" outlineLevel="3" ht="15.75" customHeight="1">
      <c r="A1838" s="10" t="n">
        <v>95</v>
      </c>
      <c r="B1838" s="10" t="inlineStr">
        <is>
          <t>Insumo</t>
        </is>
      </c>
      <c r="C1838" s="10" t="inlineStr">
        <is>
          <t>35_DRY 90 mm LV, OSSO  -</t>
        </is>
      </c>
      <c r="D1838" s="10" t="inlineStr">
        <is>
          <t>PINO DE ACO COM ARRUELA CONICA, DIAMETRO ARRUELA = *23* MM E COMP HASTE = *27* MM (ACAO INDIRETA)</t>
        </is>
      </c>
      <c r="E1838" s="11">
        <f t="array" ref="E1838">_xlfn.XLOOKUP(D1838,Insumos!B:B,Insumos!C:$C)</f>
        <v/>
      </c>
      <c r="F1838" s="14" t="n">
        <v>5.92</v>
      </c>
      <c r="G1838" s="92">
        <f t="array" ref="G1838">IF(B1838="insumo",_xlfn.XLOOKUP($D1838,Insumos!$B$1:$B$996,Insumos!$D$1:$D$996),"")</f>
        <v/>
      </c>
      <c r="H1838" s="92" t="n">
        <v>2.98368</v>
      </c>
      <c r="I1838" s="2162" t="n">
        <v>0</v>
      </c>
      <c r="J1838" s="2162" t="n">
        <v>0</v>
      </c>
      <c r="K1838" s="2162" t="n"/>
    </row>
    <row r="1839" outlineLevel="3" ht="15.75" customHeight="1">
      <c r="A1839" s="10" t="n">
        <v>26</v>
      </c>
      <c r="B1839" s="10" t="inlineStr">
        <is>
          <t>Insumo</t>
        </is>
      </c>
      <c r="C1839" s="10" t="inlineStr">
        <is>
          <t>35_DRY 90 mm LV, OSSO  -</t>
        </is>
      </c>
      <c r="D1839" s="10" t="inlineStr">
        <is>
          <t>PERFIL GUIA, FORMATO U, EM ACO ZINCADO, PARA ESTRUTURA PAREDE DRYWALL, E = 0,5 MM, 90 X 3000 MM (L X C)</t>
        </is>
      </c>
      <c r="E1839" s="11">
        <f t="array" ref="E1839">_xlfn.XLOOKUP(D1839,Insumos!B:B,Insumos!C:$C)</f>
        <v/>
      </c>
      <c r="F1839" s="14" t="n">
        <v>1.5248</v>
      </c>
      <c r="G1839" s="92">
        <f t="array" ref="G1839">IF(B1839="insumo",_xlfn.XLOOKUP($D1839,Insumos!$B$1:$B$996,Insumos!$D$1:$D$996),"")</f>
        <v/>
      </c>
      <c r="H1839" s="92" t="n">
        <v>13.174272</v>
      </c>
      <c r="I1839" s="2162" t="n">
        <v>0</v>
      </c>
      <c r="J1839" s="2162" t="n">
        <v>0</v>
      </c>
      <c r="K1839" s="2162" t="n"/>
    </row>
    <row r="1840" outlineLevel="3" ht="15.75" customHeight="1">
      <c r="A1840" s="10" t="n">
        <v>26</v>
      </c>
      <c r="B1840" s="10" t="inlineStr">
        <is>
          <t>Insumo</t>
        </is>
      </c>
      <c r="C1840" s="10" t="inlineStr">
        <is>
          <t>35_DRY 90 mm LV, OSSO  -</t>
        </is>
      </c>
      <c r="D1840" s="10" t="inlineStr">
        <is>
          <t>PERFIL MONTANTE, FORMATO C, EM ACO ZINCADO, PARA ESTRUTURA PAREDE DRYWALL, E = 0,5 MM, 90 X 3000 MM (L X C)</t>
        </is>
      </c>
      <c r="E1840" s="11">
        <f t="array" ref="E1840">_xlfn.XLOOKUP(D1840,Insumos!B:B,Insumos!C:$C)</f>
        <v/>
      </c>
      <c r="F1840" s="14" t="n">
        <v>4.0011</v>
      </c>
      <c r="G1840" s="92">
        <f t="array" ref="G1840">IF(B1840="insumo",_xlfn.XLOOKUP($D1840,Insumos!$B$1:$B$996,Insumos!$D$1:$D$996),"")</f>
        <v/>
      </c>
      <c r="H1840" s="92" t="n">
        <v>72.37989899999999</v>
      </c>
      <c r="I1840" s="2162" t="n">
        <v>0</v>
      </c>
      <c r="J1840" s="2162" t="n">
        <v>0</v>
      </c>
      <c r="K1840" s="2162" t="n"/>
    </row>
    <row r="1841" outlineLevel="3" ht="15.75" customHeight="1">
      <c r="A1841" s="10" t="n">
        <v>95</v>
      </c>
      <c r="B1841" s="10" t="inlineStr">
        <is>
          <t>Insumo</t>
        </is>
      </c>
      <c r="C1841" s="10" t="inlineStr">
        <is>
          <t>35_DRY 90 mm LV, OSSO  -</t>
        </is>
      </c>
      <c r="D1841" s="10" t="inlineStr">
        <is>
          <t>PARAFUSO DRY WALL, EM ACO ZINCADO, CABECA LENTILHA E PONTA BROCA (LB), LARGURA 4,2 MM, COMPRIMENTO 13 MM</t>
        </is>
      </c>
      <c r="E1841" s="11">
        <f t="array" ref="E1841">_xlfn.XLOOKUP(D1841,Insumos!B:B,Insumos!C:$C)</f>
        <v/>
      </c>
      <c r="F1841" s="14" t="n">
        <v>0.5441</v>
      </c>
      <c r="G1841" s="92">
        <f t="array" ref="G1841">IF(B1841="insumo",_xlfn.XLOOKUP($D1841,Insumos!$B$1:$B$996,Insumos!$D$1:$D$996),"")</f>
        <v/>
      </c>
      <c r="H1841" s="92" t="n">
        <v>0.10882</v>
      </c>
      <c r="I1841" s="2162" t="n">
        <v>0</v>
      </c>
      <c r="J1841" s="2162" t="n">
        <v>0</v>
      </c>
      <c r="K1841" s="2162" t="n"/>
    </row>
    <row r="1842" outlineLevel="3" ht="15.75" customHeight="1">
      <c r="A1842" s="10" t="n">
        <v>35</v>
      </c>
      <c r="B1842" s="10" t="inlineStr">
        <is>
          <t>Insumo</t>
        </is>
      </c>
      <c r="C1842" s="10" t="inlineStr">
        <is>
          <t>35_DRY 90 mm LV, OSSO  -</t>
        </is>
      </c>
      <c r="D1842" s="10" t="inlineStr">
        <is>
          <t>Lã de pet 50 X 1200 X 12500 MM</t>
        </is>
      </c>
      <c r="E1842" s="11">
        <f t="array" ref="E1842">_xlfn.XLOOKUP(D1842,Insumos!B:B,Insumos!C:$C)</f>
        <v/>
      </c>
      <c r="F1842" s="14" t="n">
        <v>1.1</v>
      </c>
      <c r="G1842" s="92">
        <f t="array" ref="G1842">IF(B1842="insumo",_xlfn.XLOOKUP($D1842,Insumos!$B$1:$B$996,Insumos!$D$1:$D$996),"")</f>
        <v/>
      </c>
      <c r="H1842" s="92" t="n">
        <v>14.3212666666667</v>
      </c>
      <c r="I1842" s="2162" t="n">
        <v>0</v>
      </c>
      <c r="J1842" s="2162" t="n">
        <v>0</v>
      </c>
      <c r="K1842" s="2162" t="n"/>
    </row>
    <row r="1843" outlineLevel="2" ht="15.75" customHeight="1">
      <c r="A1843" s="1067" t="n">
        <v>1</v>
      </c>
      <c r="B1843" s="1067" t="inlineStr">
        <is>
          <t>Serviço</t>
        </is>
      </c>
      <c r="C1843" s="1067" t="inlineStr">
        <is>
          <t>36_DRY 90 mm LV - 2 PLACAS - 11,50cm  -  Lado A: PLACA PERFORMANCE RU - Lado B: PLACA PERFORMANCE RU</t>
        </is>
      </c>
      <c r="D1843" s="1067" t="inlineStr">
        <is>
          <t>36_DRY 90 mm LV - 2 PLACAS - 11,50cm  -  Lado A: PLACA PERFORMANCE RU - Lado B: PLACA PERFORMANCE RU</t>
        </is>
      </c>
      <c r="E1843" s="1068" t="inlineStr">
        <is>
          <t>M2</t>
        </is>
      </c>
      <c r="F1843" s="1067" t="n"/>
      <c r="G1843" s="1069">
        <f t="array" ref="G1843">IF(B1843="insumo",_xlfn.XLOOKUP($D1843,Insumos!$B$1:$B$996,Insumos!$D$1:$D$996),"")</f>
        <v/>
      </c>
      <c r="H1843" s="1069" t="n">
        <v>240.741814666667</v>
      </c>
      <c r="I1843" s="2161" t="n">
        <v>0</v>
      </c>
      <c r="J1843" s="2161" t="n">
        <v>0</v>
      </c>
      <c r="K1843" s="2161" t="n"/>
    </row>
    <row r="1844" outlineLevel="3" ht="15.75" customHeight="1">
      <c r="A1844" s="10" t="n">
        <v>86</v>
      </c>
      <c r="B1844" s="10" t="inlineStr">
        <is>
          <t>Insumo</t>
        </is>
      </c>
      <c r="C1844" s="10" t="inlineStr">
        <is>
          <t>36_DRY 90 mm LV - 2 PLACAS - 11,50cm  -  Lado A: PLACA PERFORMANCE RU - Lado B: PLACA PERFORMANCE RU</t>
        </is>
      </c>
      <c r="D1844" s="10" t="inlineStr">
        <is>
          <t>SERVICO - CONFECCAO SHAFT GESSO</t>
        </is>
      </c>
      <c r="E1844" s="11">
        <f t="array" ref="E1844">_xlfn.XLOOKUP(D1844,Insumos!B:B,Insumos!C:$C)</f>
        <v/>
      </c>
      <c r="F1844" s="14" t="n">
        <v>1</v>
      </c>
      <c r="G1844" s="92">
        <f t="array" ref="G1844">IF(B1844="insumo",_xlfn.XLOOKUP($D1844,Insumos!$B$1:$B$996,Insumos!$D$1:$D$996),"")</f>
        <v/>
      </c>
      <c r="H1844" s="92" t="n">
        <v>70</v>
      </c>
      <c r="I1844" s="2162" t="n">
        <v>0</v>
      </c>
      <c r="J1844" s="2162" t="n">
        <v>0</v>
      </c>
      <c r="K1844" s="2162" t="n"/>
    </row>
    <row r="1845" outlineLevel="3" ht="15.75" customHeight="1">
      <c r="A1845" s="10" t="n">
        <v>49</v>
      </c>
      <c r="B1845" s="10" t="inlineStr">
        <is>
          <t>Insumo</t>
        </is>
      </c>
      <c r="C1845" s="10" t="inlineStr">
        <is>
          <t>36_DRY 90 mm LV - 2 PLACAS - 11,50cm  -  Lado A: PLACA PERFORMANCE RU - Lado B: PLACA PERFORMANCE RU</t>
        </is>
      </c>
      <c r="D1845" s="10" t="inlineStr">
        <is>
          <t>PLACA / CHAPA DE GESSO ACARTONADO, RESISTENTE A UMIDADE (RU), COR VERDE, E = 12,5 MM, 1200 X 2400 MM (L X C)</t>
        </is>
      </c>
      <c r="E1845" s="11">
        <f t="array" ref="E1845">_xlfn.XLOOKUP(D1845,Insumos!B:B,Insumos!C:$C)</f>
        <v/>
      </c>
      <c r="F1845" s="14" t="n">
        <v>2.106</v>
      </c>
      <c r="G1845" s="92">
        <f t="array" ref="G1845">IF(B1845="insumo",_xlfn.XLOOKUP($D1845,Insumos!$B$1:$B$996,Insumos!$D$1:$D$996),"")</f>
        <v/>
      </c>
      <c r="H1845" s="92" t="n">
        <v>57.0726</v>
      </c>
      <c r="I1845" s="2162" t="n">
        <v>0</v>
      </c>
      <c r="J1845" s="2162" t="n">
        <v>0</v>
      </c>
      <c r="K1845" s="2162" t="n"/>
    </row>
    <row r="1846" outlineLevel="3" ht="15.75" customHeight="1">
      <c r="A1846" s="10" t="n">
        <v>95</v>
      </c>
      <c r="B1846" s="10" t="inlineStr">
        <is>
          <t>Insumo</t>
        </is>
      </c>
      <c r="C1846" s="10" t="inlineStr">
        <is>
          <t>36_DRY 90 mm LV - 2 PLACAS - 11,50cm  -  Lado A: PLACA PERFORMANCE RU - Lado B: PLACA PERFORMANCE RU</t>
        </is>
      </c>
      <c r="D1846" s="10" t="inlineStr">
        <is>
          <t>PINO DE ACO COM ARRUELA CONICA, DIAMETRO ARRUELA = *23* MM E COMP HASTE = *27* MM (ACAO INDIRETA)</t>
        </is>
      </c>
      <c r="E1846" s="11">
        <f t="array" ref="E1846">_xlfn.XLOOKUP(D1846,Insumos!B:B,Insumos!C:$C)</f>
        <v/>
      </c>
      <c r="F1846" s="14" t="n">
        <v>5.92</v>
      </c>
      <c r="G1846" s="92">
        <f t="array" ref="G1846">IF(B1846="insumo",_xlfn.XLOOKUP($D1846,Insumos!$B$1:$B$996,Insumos!$D$1:$D$996),"")</f>
        <v/>
      </c>
      <c r="H1846" s="92" t="n">
        <v>2.98368</v>
      </c>
      <c r="I1846" s="2162" t="n">
        <v>0</v>
      </c>
      <c r="J1846" s="2162" t="n">
        <v>0</v>
      </c>
      <c r="K1846" s="2162" t="n"/>
    </row>
    <row r="1847" outlineLevel="3" ht="15.75" customHeight="1">
      <c r="A1847" s="10" t="n">
        <v>26</v>
      </c>
      <c r="B1847" s="10" t="inlineStr">
        <is>
          <t>Insumo</t>
        </is>
      </c>
      <c r="C1847" s="10" t="inlineStr">
        <is>
          <t>36_DRY 90 mm LV - 2 PLACAS - 11,50cm  -  Lado A: PLACA PERFORMANCE RU - Lado B: PLACA PERFORMANCE RU</t>
        </is>
      </c>
      <c r="D1847" s="10" t="inlineStr">
        <is>
          <t>PERFIL GUIA, FORMATO U, EM ACO ZINCADO, PARA ESTRUTURA PAREDE DRYWALL, E = 0,5 MM, 90 X 3000 MM (L X C)</t>
        </is>
      </c>
      <c r="E1847" s="11">
        <f t="array" ref="E1847">_xlfn.XLOOKUP(D1847,Insumos!B:B,Insumos!C:$C)</f>
        <v/>
      </c>
      <c r="F1847" s="14" t="n">
        <v>1.5248</v>
      </c>
      <c r="G1847" s="92">
        <f t="array" ref="G1847">IF(B1847="insumo",_xlfn.XLOOKUP($D1847,Insumos!$B$1:$B$996,Insumos!$D$1:$D$996),"")</f>
        <v/>
      </c>
      <c r="H1847" s="92" t="n">
        <v>13.174272</v>
      </c>
      <c r="I1847" s="2162" t="n">
        <v>0</v>
      </c>
      <c r="J1847" s="2162" t="n">
        <v>0</v>
      </c>
      <c r="K1847" s="2162" t="n"/>
    </row>
    <row r="1848" outlineLevel="3" ht="15.75" customHeight="1">
      <c r="A1848" s="10" t="n">
        <v>26</v>
      </c>
      <c r="B1848" s="10" t="inlineStr">
        <is>
          <t>Insumo</t>
        </is>
      </c>
      <c r="C1848" s="10" t="inlineStr">
        <is>
          <t>36_DRY 90 mm LV - 2 PLACAS - 11,50cm  -  Lado A: PLACA PERFORMANCE RU - Lado B: PLACA PERFORMANCE RU</t>
        </is>
      </c>
      <c r="D1848" s="10" t="inlineStr">
        <is>
          <t>PERFIL MONTANTE, FORMATO C, EM ACO ZINCADO, PARA ESTRUTURA PAREDE DRYWALL, E = 0,5 MM, 90 X 3000 MM (L X C)</t>
        </is>
      </c>
      <c r="E1848" s="11">
        <f t="array" ref="E1848">_xlfn.XLOOKUP(D1848,Insumos!B:B,Insumos!C:$C)</f>
        <v/>
      </c>
      <c r="F1848" s="14" t="n">
        <v>4.0011</v>
      </c>
      <c r="G1848" s="92">
        <f t="array" ref="G1848">IF(B1848="insumo",_xlfn.XLOOKUP($D1848,Insumos!$B$1:$B$996,Insumos!$D$1:$D$996),"")</f>
        <v/>
      </c>
      <c r="H1848" s="92" t="n">
        <v>72.37989899999999</v>
      </c>
      <c r="I1848" s="2162" t="n">
        <v>0</v>
      </c>
      <c r="J1848" s="2162" t="n">
        <v>0</v>
      </c>
      <c r="K1848" s="2162" t="n"/>
    </row>
    <row r="1849" outlineLevel="3" ht="15.75" customHeight="1">
      <c r="A1849" s="10" t="n">
        <v>95</v>
      </c>
      <c r="B1849" s="10" t="inlineStr">
        <is>
          <t>Insumo</t>
        </is>
      </c>
      <c r="C1849" s="10" t="inlineStr">
        <is>
          <t>36_DRY 90 mm LV - 2 PLACAS - 11,50cm  -  Lado A: PLACA PERFORMANCE RU - Lado B: PLACA PERFORMANCE RU</t>
        </is>
      </c>
      <c r="D1849" s="10" t="inlineStr">
        <is>
          <t>MASSA DE REJUNTE EM PO PARA DRYWALL, A BASE DE GESSO, SECAGEM RAPIDA, PARA TRATAMENTO DE JUNTAS DE CHAPA DE GESSO (NECESSITA ADICAO DE AGUA)</t>
        </is>
      </c>
      <c r="E1849" s="11">
        <f t="array" ref="E1849">_xlfn.XLOOKUP(D1849,Insumos!B:B,Insumos!C:$C)</f>
        <v/>
      </c>
      <c r="F1849" s="14" t="n">
        <v>1.0978</v>
      </c>
      <c r="G1849" s="92">
        <f t="array" ref="G1849">IF(B1849="insumo",_xlfn.XLOOKUP($D1849,Insumos!$B$1:$B$996,Insumos!$D$1:$D$996),"")</f>
        <v/>
      </c>
      <c r="H1849" s="92" t="n">
        <v>3.765454</v>
      </c>
      <c r="I1849" s="2162" t="n">
        <v>0</v>
      </c>
      <c r="J1849" s="2162" t="n">
        <v>0</v>
      </c>
      <c r="K1849" s="2162" t="n"/>
    </row>
    <row r="1850" outlineLevel="3" ht="15.75" customHeight="1">
      <c r="A1850" s="10" t="n">
        <v>94</v>
      </c>
      <c r="B1850" s="10" t="inlineStr">
        <is>
          <t>Insumo</t>
        </is>
      </c>
      <c r="C1850" s="10" t="inlineStr">
        <is>
          <t>36_DRY 90 mm LV - 2 PLACAS - 11,50cm  -  Lado A: PLACA PERFORMANCE RU - Lado B: PLACA PERFORMANCE RU</t>
        </is>
      </c>
      <c r="D1850" s="10" t="inlineStr">
        <is>
          <t>FITA DE PAPEL MICROPERFURADO, 50 X 150 MM, PARA TRATAMENTO DE JUNTAS DE CHAPA DE GESSO PARA DRYWALL</t>
        </is>
      </c>
      <c r="E1850" s="11">
        <f t="array" ref="E1850">_xlfn.XLOOKUP(D1850,Insumos!B:B,Insumos!C:$C)</f>
        <v/>
      </c>
      <c r="F1850" s="14" t="n">
        <v>2.5027</v>
      </c>
      <c r="G1850" s="92">
        <f t="array" ref="G1850">IF(B1850="insumo",_xlfn.XLOOKUP($D1850,Insumos!$B$1:$B$996,Insumos!$D$1:$D$996),"")</f>
        <v/>
      </c>
      <c r="H1850" s="92" t="n">
        <v>0.775837</v>
      </c>
      <c r="I1850" s="2162" t="n">
        <v>0</v>
      </c>
      <c r="J1850" s="2162" t="n">
        <v>0</v>
      </c>
      <c r="K1850" s="2162" t="n"/>
    </row>
    <row r="1851" outlineLevel="3" ht="15.75" customHeight="1">
      <c r="A1851" s="10" t="n">
        <v>94</v>
      </c>
      <c r="B1851" s="10" t="inlineStr">
        <is>
          <t>Insumo</t>
        </is>
      </c>
      <c r="C1851" s="10" t="inlineStr">
        <is>
          <t>36_DRY 90 mm LV - 2 PLACAS - 11,50cm  -  Lado A: PLACA PERFORMANCE RU - Lado B: PLACA PERFORMANCE RU</t>
        </is>
      </c>
      <c r="D1851" s="10" t="inlineStr">
        <is>
          <t>FITA DE PAPEL REFORCADA COM LAMINA DE METAL PARA REFORCO DE CANTOS DE CHAPA DE GESSO PARA DRYWALL</t>
        </is>
      </c>
      <c r="E1851" s="11">
        <f t="array" ref="E1851">_xlfn.XLOOKUP(D1851,Insumos!B:B,Insumos!C:$C)</f>
        <v/>
      </c>
      <c r="F1851" s="14" t="n">
        <v>1.5851</v>
      </c>
      <c r="G1851" s="92">
        <f t="array" ref="G1851">IF(B1851="insumo",_xlfn.XLOOKUP($D1851,Insumos!$B$1:$B$996,Insumos!$D$1:$D$996),"")</f>
        <v/>
      </c>
      <c r="H1851" s="92" t="n">
        <v>4.343174</v>
      </c>
      <c r="I1851" s="2162" t="n">
        <v>0</v>
      </c>
      <c r="J1851" s="2162" t="n">
        <v>0</v>
      </c>
      <c r="K1851" s="2162" t="n"/>
    </row>
    <row r="1852" outlineLevel="3" ht="15.75" customHeight="1">
      <c r="A1852" s="10" t="n">
        <v>97</v>
      </c>
      <c r="B1852" s="10" t="inlineStr">
        <is>
          <t>Insumo</t>
        </is>
      </c>
      <c r="C1852" s="10" t="inlineStr">
        <is>
          <t>36_DRY 90 mm LV - 2 PLACAS - 11,50cm  -  Lado A: PLACA PERFORMANCE RU - Lado B: PLACA PERFORMANCE RU</t>
        </is>
      </c>
      <c r="D1852" s="10" t="inlineStr">
        <is>
          <t>PARAFUSO DRY WALL, EM ACO FOSFATIZADO, CABECA TROMBETA E PONTA AGULHA (TA), COMPRIMENTO 25 MM</t>
        </is>
      </c>
      <c r="E1852" s="11">
        <f t="array" ref="E1852">_xlfn.XLOOKUP(D1852,Insumos!B:B,Insumos!C:$C)</f>
        <v/>
      </c>
      <c r="F1852" s="14" t="n">
        <v>20.1868</v>
      </c>
      <c r="G1852" s="92">
        <f t="array" ref="G1852">IF(B1852="insumo",_xlfn.XLOOKUP($D1852,Insumos!$B$1:$B$996,Insumos!$D$1:$D$996),"")</f>
        <v/>
      </c>
      <c r="H1852" s="92" t="n">
        <v>1.816812</v>
      </c>
      <c r="I1852" s="2162" t="n">
        <v>0</v>
      </c>
      <c r="J1852" s="2162" t="n">
        <v>0</v>
      </c>
      <c r="K1852" s="2162" t="n"/>
    </row>
    <row r="1853" outlineLevel="3" ht="15.75" customHeight="1">
      <c r="A1853" s="10" t="n">
        <v>95</v>
      </c>
      <c r="B1853" s="10" t="inlineStr">
        <is>
          <t>Insumo</t>
        </is>
      </c>
      <c r="C1853" s="10" t="inlineStr">
        <is>
          <t>36_DRY 90 mm LV - 2 PLACAS - 11,50cm  -  Lado A: PLACA PERFORMANCE RU - Lado B: PLACA PERFORMANCE RU</t>
        </is>
      </c>
      <c r="D1853" s="10" t="inlineStr">
        <is>
          <t>PARAFUSO DRY WALL, EM ACO ZINCADO, CABECA LENTILHA E PONTA BROCA (LB), LARGURA 4,2 MM, COMPRIMENTO 13 MM</t>
        </is>
      </c>
      <c r="E1853" s="11">
        <f t="array" ref="E1853">_xlfn.XLOOKUP(D1853,Insumos!B:B,Insumos!C:$C)</f>
        <v/>
      </c>
      <c r="F1853" s="14" t="n">
        <v>0.5441</v>
      </c>
      <c r="G1853" s="92">
        <f t="array" ref="G1853">IF(B1853="insumo",_xlfn.XLOOKUP($D1853,Insumos!$B$1:$B$996,Insumos!$D$1:$D$996),"")</f>
        <v/>
      </c>
      <c r="H1853" s="92" t="n">
        <v>0.10882</v>
      </c>
      <c r="I1853" s="2162" t="n">
        <v>0</v>
      </c>
      <c r="J1853" s="2162" t="n">
        <v>0</v>
      </c>
      <c r="K1853" s="2162" t="n"/>
    </row>
    <row r="1854" outlineLevel="3" ht="15.75" customHeight="1">
      <c r="A1854" s="10" t="n">
        <v>35</v>
      </c>
      <c r="B1854" s="10" t="inlineStr">
        <is>
          <t>Insumo</t>
        </is>
      </c>
      <c r="C1854" s="10" t="inlineStr">
        <is>
          <t>36_DRY 90 mm LV - 2 PLACAS - 11,50cm  -  Lado A: PLACA PERFORMANCE RU - Lado B: PLACA PERFORMANCE RU</t>
        </is>
      </c>
      <c r="D1854" s="10" t="inlineStr">
        <is>
          <t>Lã de pet 50 X 1200 X 12500 MM</t>
        </is>
      </c>
      <c r="E1854" s="11">
        <f t="array" ref="E1854">_xlfn.XLOOKUP(D1854,Insumos!B:B,Insumos!C:$C)</f>
        <v/>
      </c>
      <c r="F1854" s="14" t="n">
        <v>1.1</v>
      </c>
      <c r="G1854" s="92">
        <f t="array" ref="G1854">IF(B1854="insumo",_xlfn.XLOOKUP($D1854,Insumos!$B$1:$B$996,Insumos!$D$1:$D$996),"")</f>
        <v/>
      </c>
      <c r="H1854" s="92" t="n">
        <v>14.3212666666667</v>
      </c>
      <c r="I1854" s="2162" t="n">
        <v>0</v>
      </c>
      <c r="J1854" s="2162" t="n">
        <v>0</v>
      </c>
      <c r="K1854" s="2162" t="n"/>
    </row>
    <row r="1855" outlineLevel="2" ht="15.75" customHeight="1">
      <c r="A1855" s="1067" t="n">
        <v>1</v>
      </c>
      <c r="B1855" s="1067" t="inlineStr">
        <is>
          <t>Serviço</t>
        </is>
      </c>
      <c r="C1855" s="1067" t="inlineStr">
        <is>
          <t>36_DRY 90 mm LV - 2 PLACAS - 11,50cm  -  Lado A: PLACA PERFORMANCE RU - Lado B: PLACA RU</t>
        </is>
      </c>
      <c r="D1855" s="1067" t="inlineStr">
        <is>
          <t>36_DRY 90 mm LV - 2 PLACAS - 11,50cm  -  Lado A: PLACA PERFORMANCE RU - Lado B: PLACA RU</t>
        </is>
      </c>
      <c r="E1855" s="1068" t="inlineStr">
        <is>
          <t>M2</t>
        </is>
      </c>
      <c r="F1855" s="1067" t="n"/>
      <c r="G1855" s="1069">
        <f t="array" ref="G1855">IF(B1855="insumo",_xlfn.XLOOKUP($D1855,Insumos!$B$1:$B$996,Insumos!$D$1:$D$996),"")</f>
        <v/>
      </c>
      <c r="H1855" s="1069" t="n">
        <v>240.741814666667</v>
      </c>
      <c r="I1855" s="2161" t="n">
        <v>0</v>
      </c>
      <c r="J1855" s="2161" t="n">
        <v>0</v>
      </c>
      <c r="K1855" s="2161" t="n"/>
    </row>
    <row r="1856" outlineLevel="3" ht="15.75" customHeight="1">
      <c r="A1856" s="10" t="n">
        <v>86</v>
      </c>
      <c r="B1856" s="10" t="inlineStr">
        <is>
          <t>Insumo</t>
        </is>
      </c>
      <c r="C1856" s="10" t="inlineStr">
        <is>
          <t>36_DRY 90 mm LV - 2 PLACAS - 11,50cm  -  Lado A: PLACA PERFORMANCE RU - Lado B: PLACA RU</t>
        </is>
      </c>
      <c r="D1856" s="10" t="inlineStr">
        <is>
          <t>SERVICO - CONFECCAO SHAFT GESSO</t>
        </is>
      </c>
      <c r="E1856" s="11">
        <f t="array" ref="E1856">_xlfn.XLOOKUP(D1856,Insumos!B:B,Insumos!C:$C)</f>
        <v/>
      </c>
      <c r="F1856" s="14" t="n">
        <v>1</v>
      </c>
      <c r="G1856" s="92">
        <f t="array" ref="G1856">IF(B1856="insumo",_xlfn.XLOOKUP($D1856,Insumos!$B$1:$B$996,Insumos!$D$1:$D$996),"")</f>
        <v/>
      </c>
      <c r="H1856" s="92" t="n">
        <v>70</v>
      </c>
      <c r="I1856" s="2162" t="n">
        <v>0</v>
      </c>
      <c r="J1856" s="2162" t="n">
        <v>0</v>
      </c>
      <c r="K1856" s="2162" t="n"/>
    </row>
    <row r="1857" outlineLevel="3" ht="15.75" customHeight="1">
      <c r="A1857" s="10" t="n">
        <v>49</v>
      </c>
      <c r="B1857" s="10" t="inlineStr">
        <is>
          <t>Insumo</t>
        </is>
      </c>
      <c r="C1857" s="10" t="inlineStr">
        <is>
          <t>36_DRY 90 mm LV - 2 PLACAS - 11,50cm  -  Lado A: PLACA PERFORMANCE RU - Lado B: PLACA RU</t>
        </is>
      </c>
      <c r="D1857" s="10" t="inlineStr">
        <is>
          <t>PLACA / CHAPA DE GESSO ACARTONADO, RESISTENTE A UMIDADE (RU), COR VERDE, E = 12,5 MM, 1200 X 2400 MM (L X C)</t>
        </is>
      </c>
      <c r="E1857" s="11">
        <f t="array" ref="E1857">_xlfn.XLOOKUP(D1857,Insumos!B:B,Insumos!C:$C)</f>
        <v/>
      </c>
      <c r="F1857" s="14" t="n">
        <v>2.106</v>
      </c>
      <c r="G1857" s="92">
        <f t="array" ref="G1857">IF(B1857="insumo",_xlfn.XLOOKUP($D1857,Insumos!$B$1:$B$996,Insumos!$D$1:$D$996),"")</f>
        <v/>
      </c>
      <c r="H1857" s="92" t="n">
        <v>57.0726</v>
      </c>
      <c r="I1857" s="2162" t="n">
        <v>0</v>
      </c>
      <c r="J1857" s="2162" t="n">
        <v>0</v>
      </c>
      <c r="K1857" s="2162" t="n"/>
    </row>
    <row r="1858" outlineLevel="3" ht="15.75" customHeight="1">
      <c r="A1858" s="10" t="n">
        <v>95</v>
      </c>
      <c r="B1858" s="10" t="inlineStr">
        <is>
          <t>Insumo</t>
        </is>
      </c>
      <c r="C1858" s="10" t="inlineStr">
        <is>
          <t>36_DRY 90 mm LV - 2 PLACAS - 11,50cm  -  Lado A: PLACA PERFORMANCE RU - Lado B: PLACA RU</t>
        </is>
      </c>
      <c r="D1858" s="10" t="inlineStr">
        <is>
          <t>PINO DE ACO COM ARRUELA CONICA, DIAMETRO ARRUELA = *23* MM E COMP HASTE = *27* MM (ACAO INDIRETA)</t>
        </is>
      </c>
      <c r="E1858" s="11">
        <f t="array" ref="E1858">_xlfn.XLOOKUP(D1858,Insumos!B:B,Insumos!C:$C)</f>
        <v/>
      </c>
      <c r="F1858" s="14" t="n">
        <v>5.92</v>
      </c>
      <c r="G1858" s="92">
        <f t="array" ref="G1858">IF(B1858="insumo",_xlfn.XLOOKUP($D1858,Insumos!$B$1:$B$996,Insumos!$D$1:$D$996),"")</f>
        <v/>
      </c>
      <c r="H1858" s="92" t="n">
        <v>2.98368</v>
      </c>
      <c r="I1858" s="2162" t="n">
        <v>0</v>
      </c>
      <c r="J1858" s="2162" t="n">
        <v>0</v>
      </c>
      <c r="K1858" s="2162" t="n"/>
    </row>
    <row r="1859" outlineLevel="3" ht="15.75" customHeight="1">
      <c r="A1859" s="10" t="n">
        <v>26</v>
      </c>
      <c r="B1859" s="10" t="inlineStr">
        <is>
          <t>Insumo</t>
        </is>
      </c>
      <c r="C1859" s="10" t="inlineStr">
        <is>
          <t>36_DRY 90 mm LV - 2 PLACAS - 11,50cm  -  Lado A: PLACA PERFORMANCE RU - Lado B: PLACA RU</t>
        </is>
      </c>
      <c r="D1859" s="10" t="inlineStr">
        <is>
          <t>PERFIL GUIA, FORMATO U, EM ACO ZINCADO, PARA ESTRUTURA PAREDE DRYWALL, E = 0,5 MM, 90 X 3000 MM (L X C)</t>
        </is>
      </c>
      <c r="E1859" s="11">
        <f t="array" ref="E1859">_xlfn.XLOOKUP(D1859,Insumos!B:B,Insumos!C:$C)</f>
        <v/>
      </c>
      <c r="F1859" s="14" t="n">
        <v>1.5248</v>
      </c>
      <c r="G1859" s="92">
        <f t="array" ref="G1859">IF(B1859="insumo",_xlfn.XLOOKUP($D1859,Insumos!$B$1:$B$996,Insumos!$D$1:$D$996),"")</f>
        <v/>
      </c>
      <c r="H1859" s="92" t="n">
        <v>13.174272</v>
      </c>
      <c r="I1859" s="2162" t="n">
        <v>0</v>
      </c>
      <c r="J1859" s="2162" t="n">
        <v>0</v>
      </c>
      <c r="K1859" s="2162" t="n"/>
    </row>
    <row r="1860" outlineLevel="3" ht="15.75" customHeight="1">
      <c r="A1860" s="10" t="n">
        <v>26</v>
      </c>
      <c r="B1860" s="10" t="inlineStr">
        <is>
          <t>Insumo</t>
        </is>
      </c>
      <c r="C1860" s="10" t="inlineStr">
        <is>
          <t>36_DRY 90 mm LV - 2 PLACAS - 11,50cm  -  Lado A: PLACA PERFORMANCE RU - Lado B: PLACA RU</t>
        </is>
      </c>
      <c r="D1860" s="10" t="inlineStr">
        <is>
          <t>PERFIL MONTANTE, FORMATO C, EM ACO ZINCADO, PARA ESTRUTURA PAREDE DRYWALL, E = 0,5 MM, 90 X 3000 MM (L X C)</t>
        </is>
      </c>
      <c r="E1860" s="11">
        <f t="array" ref="E1860">_xlfn.XLOOKUP(D1860,Insumos!B:B,Insumos!C:$C)</f>
        <v/>
      </c>
      <c r="F1860" s="14" t="n">
        <v>4.0011</v>
      </c>
      <c r="G1860" s="92">
        <f t="array" ref="G1860">IF(B1860="insumo",_xlfn.XLOOKUP($D1860,Insumos!$B$1:$B$996,Insumos!$D$1:$D$996),"")</f>
        <v/>
      </c>
      <c r="H1860" s="92" t="n">
        <v>72.37989899999999</v>
      </c>
      <c r="I1860" s="2162" t="n">
        <v>0</v>
      </c>
      <c r="J1860" s="2162" t="n">
        <v>0</v>
      </c>
      <c r="K1860" s="2162" t="n"/>
    </row>
    <row r="1861" outlineLevel="3" ht="15.75" customHeight="1">
      <c r="A1861" s="10" t="n">
        <v>95</v>
      </c>
      <c r="B1861" s="10" t="inlineStr">
        <is>
          <t>Insumo</t>
        </is>
      </c>
      <c r="C1861" s="10" t="inlineStr">
        <is>
          <t>36_DRY 90 mm LV - 2 PLACAS - 11,50cm  -  Lado A: PLACA PERFORMANCE RU - Lado B: PLACA RU</t>
        </is>
      </c>
      <c r="D1861" s="10" t="inlineStr">
        <is>
          <t>MASSA DE REJUNTE EM PO PARA DRYWALL, A BASE DE GESSO, SECAGEM RAPIDA, PARA TRATAMENTO DE JUNTAS DE CHAPA DE GESSO (NECESSITA ADICAO DE AGUA)</t>
        </is>
      </c>
      <c r="E1861" s="11">
        <f t="array" ref="E1861">_xlfn.XLOOKUP(D1861,Insumos!B:B,Insumos!C:$C)</f>
        <v/>
      </c>
      <c r="F1861" s="14" t="n">
        <v>1.0978</v>
      </c>
      <c r="G1861" s="92">
        <f t="array" ref="G1861">IF(B1861="insumo",_xlfn.XLOOKUP($D1861,Insumos!$B$1:$B$996,Insumos!$D$1:$D$996),"")</f>
        <v/>
      </c>
      <c r="H1861" s="92" t="n">
        <v>3.765454</v>
      </c>
      <c r="I1861" s="2162" t="n">
        <v>0</v>
      </c>
      <c r="J1861" s="2162" t="n">
        <v>0</v>
      </c>
      <c r="K1861" s="2162" t="n"/>
    </row>
    <row r="1862" outlineLevel="3" ht="15.75" customHeight="1">
      <c r="A1862" s="10" t="n">
        <v>94</v>
      </c>
      <c r="B1862" s="10" t="inlineStr">
        <is>
          <t>Insumo</t>
        </is>
      </c>
      <c r="C1862" s="10" t="inlineStr">
        <is>
          <t>36_DRY 90 mm LV - 2 PLACAS - 11,50cm  -  Lado A: PLACA PERFORMANCE RU - Lado B: PLACA RU</t>
        </is>
      </c>
      <c r="D1862" s="10" t="inlineStr">
        <is>
          <t>FITA DE PAPEL MICROPERFURADO, 50 X 150 MM, PARA TRATAMENTO DE JUNTAS DE CHAPA DE GESSO PARA DRYWALL</t>
        </is>
      </c>
      <c r="E1862" s="11">
        <f t="array" ref="E1862">_xlfn.XLOOKUP(D1862,Insumos!B:B,Insumos!C:$C)</f>
        <v/>
      </c>
      <c r="F1862" s="14" t="n">
        <v>2.5027</v>
      </c>
      <c r="G1862" s="92">
        <f t="array" ref="G1862">IF(B1862="insumo",_xlfn.XLOOKUP($D1862,Insumos!$B$1:$B$996,Insumos!$D$1:$D$996),"")</f>
        <v/>
      </c>
      <c r="H1862" s="92" t="n">
        <v>0.775837</v>
      </c>
      <c r="I1862" s="2162" t="n">
        <v>0</v>
      </c>
      <c r="J1862" s="2162" t="n">
        <v>0</v>
      </c>
      <c r="K1862" s="2162" t="n"/>
    </row>
    <row r="1863" outlineLevel="3" ht="15.75" customHeight="1">
      <c r="A1863" s="10" t="n">
        <v>94</v>
      </c>
      <c r="B1863" s="10" t="inlineStr">
        <is>
          <t>Insumo</t>
        </is>
      </c>
      <c r="C1863" s="10" t="inlineStr">
        <is>
          <t>36_DRY 90 mm LV - 2 PLACAS - 11,50cm  -  Lado A: PLACA PERFORMANCE RU - Lado B: PLACA RU</t>
        </is>
      </c>
      <c r="D1863" s="10" t="inlineStr">
        <is>
          <t>FITA DE PAPEL REFORCADA COM LAMINA DE METAL PARA REFORCO DE CANTOS DE CHAPA DE GESSO PARA DRYWALL</t>
        </is>
      </c>
      <c r="E1863" s="11">
        <f t="array" ref="E1863">_xlfn.XLOOKUP(D1863,Insumos!B:B,Insumos!C:$C)</f>
        <v/>
      </c>
      <c r="F1863" s="14" t="n">
        <v>1.5851</v>
      </c>
      <c r="G1863" s="92">
        <f t="array" ref="G1863">IF(B1863="insumo",_xlfn.XLOOKUP($D1863,Insumos!$B$1:$B$996,Insumos!$D$1:$D$996),"")</f>
        <v/>
      </c>
      <c r="H1863" s="92" t="n">
        <v>4.343174</v>
      </c>
      <c r="I1863" s="2162" t="n">
        <v>0</v>
      </c>
      <c r="J1863" s="2162" t="n">
        <v>0</v>
      </c>
      <c r="K1863" s="2162" t="n"/>
    </row>
    <row r="1864" outlineLevel="3" ht="15.75" customHeight="1">
      <c r="A1864" s="10" t="n">
        <v>97</v>
      </c>
      <c r="B1864" s="10" t="inlineStr">
        <is>
          <t>Insumo</t>
        </is>
      </c>
      <c r="C1864" s="10" t="inlineStr">
        <is>
          <t>36_DRY 90 mm LV - 2 PLACAS - 11,50cm  -  Lado A: PLACA PERFORMANCE RU - Lado B: PLACA RU</t>
        </is>
      </c>
      <c r="D1864" s="10" t="inlineStr">
        <is>
          <t>PARAFUSO DRY WALL, EM ACO FOSFATIZADO, CABECA TROMBETA E PONTA AGULHA (TA), COMPRIMENTO 25 MM</t>
        </is>
      </c>
      <c r="E1864" s="11">
        <f t="array" ref="E1864">_xlfn.XLOOKUP(D1864,Insumos!B:B,Insumos!C:$C)</f>
        <v/>
      </c>
      <c r="F1864" s="14" t="n">
        <v>20.1868</v>
      </c>
      <c r="G1864" s="92">
        <f t="array" ref="G1864">IF(B1864="insumo",_xlfn.XLOOKUP($D1864,Insumos!$B$1:$B$996,Insumos!$D$1:$D$996),"")</f>
        <v/>
      </c>
      <c r="H1864" s="92" t="n">
        <v>1.816812</v>
      </c>
      <c r="I1864" s="2162" t="n">
        <v>0</v>
      </c>
      <c r="J1864" s="2162" t="n">
        <v>0</v>
      </c>
      <c r="K1864" s="2162" t="n"/>
    </row>
    <row r="1865" outlineLevel="3" ht="15.75" customHeight="1">
      <c r="A1865" s="10" t="n">
        <v>95</v>
      </c>
      <c r="B1865" s="10" t="inlineStr">
        <is>
          <t>Insumo</t>
        </is>
      </c>
      <c r="C1865" s="10" t="inlineStr">
        <is>
          <t>36_DRY 90 mm LV - 2 PLACAS - 11,50cm  -  Lado A: PLACA PERFORMANCE RU - Lado B: PLACA RU</t>
        </is>
      </c>
      <c r="D1865" s="10" t="inlineStr">
        <is>
          <t>PARAFUSO DRY WALL, EM ACO ZINCADO, CABECA LENTILHA E PONTA BROCA (LB), LARGURA 4,2 MM, COMPRIMENTO 13 MM</t>
        </is>
      </c>
      <c r="E1865" s="11">
        <f t="array" ref="E1865">_xlfn.XLOOKUP(D1865,Insumos!B:B,Insumos!C:$C)</f>
        <v/>
      </c>
      <c r="F1865" s="14" t="n">
        <v>0.5441</v>
      </c>
      <c r="G1865" s="92">
        <f t="array" ref="G1865">IF(B1865="insumo",_xlfn.XLOOKUP($D1865,Insumos!$B$1:$B$996,Insumos!$D$1:$D$996),"")</f>
        <v/>
      </c>
      <c r="H1865" s="92" t="n">
        <v>0.10882</v>
      </c>
      <c r="I1865" s="2162" t="n">
        <v>0</v>
      </c>
      <c r="J1865" s="2162" t="n">
        <v>0</v>
      </c>
      <c r="K1865" s="2162" t="n"/>
    </row>
    <row r="1866" outlineLevel="3" ht="15.75" customHeight="1">
      <c r="A1866" s="10" t="n">
        <v>35</v>
      </c>
      <c r="B1866" s="10" t="inlineStr">
        <is>
          <t>Insumo</t>
        </is>
      </c>
      <c r="C1866" s="10" t="inlineStr">
        <is>
          <t>36_DRY 90 mm LV - 2 PLACAS - 11,50cm  -  Lado A: PLACA PERFORMANCE RU - Lado B: PLACA RU</t>
        </is>
      </c>
      <c r="D1866" s="10" t="inlineStr">
        <is>
          <t>Lã de pet 50 X 1200 X 12500 MM</t>
        </is>
      </c>
      <c r="E1866" s="11">
        <f t="array" ref="E1866">_xlfn.XLOOKUP(D1866,Insumos!B:B,Insumos!C:$C)</f>
        <v/>
      </c>
      <c r="F1866" s="14" t="n">
        <v>1.1</v>
      </c>
      <c r="G1866" s="92">
        <f t="array" ref="G1866">IF(B1866="insumo",_xlfn.XLOOKUP($D1866,Insumos!$B$1:$B$996,Insumos!$D$1:$D$996),"")</f>
        <v/>
      </c>
      <c r="H1866" s="92" t="n">
        <v>14.3212666666667</v>
      </c>
      <c r="I1866" s="2162" t="n">
        <v>0</v>
      </c>
      <c r="J1866" s="2162" t="n">
        <v>0</v>
      </c>
      <c r="K1866" s="2162" t="n"/>
    </row>
    <row r="1867" outlineLevel="2" ht="15.75" customHeight="1">
      <c r="A1867" s="1067" t="n">
        <v>1</v>
      </c>
      <c r="B1867" s="1067" t="inlineStr">
        <is>
          <t>Serviço</t>
        </is>
      </c>
      <c r="C1867" s="1067" t="inlineStr">
        <is>
          <t>36_DRY 90 mm LV - 2 PLACAS - 11,50cm  -  Lado A: PLACA PERFORMANCE RU - Lado B: PLACA ST</t>
        </is>
      </c>
      <c r="D1867" s="1067" t="inlineStr">
        <is>
          <t>36_DRY 90 mm LV - 2 PLACAS - 11,50cm  -  Lado A: PLACA PERFORMANCE RU - Lado B: PLACA ST</t>
        </is>
      </c>
      <c r="E1867" s="1068" t="inlineStr">
        <is>
          <t>M2</t>
        </is>
      </c>
      <c r="F1867" s="1067" t="n"/>
      <c r="G1867" s="1069">
        <f t="array" ref="G1867">IF(B1867="insumo",_xlfn.XLOOKUP($D1867,Insumos!$B$1:$B$996,Insumos!$D$1:$D$996),"")</f>
        <v/>
      </c>
      <c r="H1867" s="1069" t="n">
        <v>235.938774666667</v>
      </c>
      <c r="I1867" s="2161" t="n">
        <v>0</v>
      </c>
      <c r="J1867" s="2161" t="n">
        <v>0</v>
      </c>
      <c r="K1867" s="2161" t="n"/>
    </row>
    <row r="1868" outlineLevel="3" ht="15.75" customHeight="1">
      <c r="A1868" s="10" t="n">
        <v>86</v>
      </c>
      <c r="B1868" s="10" t="inlineStr">
        <is>
          <t>Insumo</t>
        </is>
      </c>
      <c r="C1868" s="10" t="inlineStr">
        <is>
          <t>36_DRY 90 mm LV - 2 PLACAS - 11,50cm  -  Lado A: PLACA PERFORMANCE RU - Lado B: PLACA ST</t>
        </is>
      </c>
      <c r="D1868" s="10" t="inlineStr">
        <is>
          <t>SERVICO - CONFECCAO SHAFT GESSO</t>
        </is>
      </c>
      <c r="E1868" s="11">
        <f t="array" ref="E1868">_xlfn.XLOOKUP(D1868,Insumos!B:B,Insumos!C:$C)</f>
        <v/>
      </c>
      <c r="F1868" s="14" t="n">
        <v>1</v>
      </c>
      <c r="G1868" s="92">
        <f t="array" ref="G1868">IF(B1868="insumo",_xlfn.XLOOKUP($D1868,Insumos!$B$1:$B$996,Insumos!$D$1:$D$996),"")</f>
        <v/>
      </c>
      <c r="H1868" s="92" t="n">
        <v>70</v>
      </c>
      <c r="I1868" s="2162" t="n">
        <v>0</v>
      </c>
      <c r="J1868" s="2162" t="n">
        <v>0</v>
      </c>
      <c r="K1868" s="2162" t="n"/>
    </row>
    <row r="1869" outlineLevel="3" ht="15.75" customHeight="1">
      <c r="A1869" s="10" t="n">
        <v>49</v>
      </c>
      <c r="B1869" s="10" t="inlineStr">
        <is>
          <t>Insumo</t>
        </is>
      </c>
      <c r="C1869" s="10" t="inlineStr">
        <is>
          <t>36_DRY 90 mm LV - 2 PLACAS - 11,50cm  -  Lado A: PLACA PERFORMANCE RU - Lado B: PLACA ST</t>
        </is>
      </c>
      <c r="D1869" s="10" t="inlineStr">
        <is>
          <t>PLACA / CHAPA DE GESSO ACARTONADO, RESISTENTE A UMIDADE (RU), COR VERDE, E = 12,5 MM, 1200 X 2400 MM (L X C)</t>
        </is>
      </c>
      <c r="E1869" s="11">
        <f t="array" ref="E1869">_xlfn.XLOOKUP(D1869,Insumos!B:B,Insumos!C:$C)</f>
        <v/>
      </c>
      <c r="F1869" s="14">
        <f>1.106</f>
        <v/>
      </c>
      <c r="G1869" s="92">
        <f t="array" ref="G1869">IF(B1869="insumo",_xlfn.XLOOKUP($D1869,Insumos!$B$1:$B$996,Insumos!$D$1:$D$996),"")</f>
        <v/>
      </c>
      <c r="H1869" s="92" t="n">
        <v>29.9726</v>
      </c>
      <c r="I1869" s="2162" t="n">
        <v>0</v>
      </c>
      <c r="J1869" s="2162" t="n">
        <v>0</v>
      </c>
      <c r="K1869" s="2162" t="n"/>
    </row>
    <row r="1870" outlineLevel="3" ht="15.75" customHeight="1">
      <c r="A1870" s="10" t="n">
        <v>47</v>
      </c>
      <c r="B1870" s="10" t="inlineStr">
        <is>
          <t>Insumo</t>
        </is>
      </c>
      <c r="C1870" s="10" t="inlineStr">
        <is>
          <t>36_DRY 90 mm LV - 2 PLACAS - 11,50cm  -  Lado A: PLACA PERFORMANCE RU - Lado B: PLACA ST</t>
        </is>
      </c>
      <c r="D1870" s="10" t="inlineStr">
        <is>
          <t>PLACA / CHAPA DE GESSO ACARTONADO, STANDARD (ST), COR BRANCA, E = 12,5 MM, 1200 X 2400 MM (L X C)</t>
        </is>
      </c>
      <c r="E1870" s="11">
        <f t="array" ref="E1870">_xlfn.XLOOKUP(D1870,Insumos!B:B,Insumos!C:$C)</f>
        <v/>
      </c>
      <c r="F1870" s="14" t="n">
        <v>1.106</v>
      </c>
      <c r="G1870" s="92">
        <f t="array" ref="G1870">IF(B1870="insumo",_xlfn.XLOOKUP($D1870,Insumos!$B$1:$B$996,Insumos!$D$1:$D$996),"")</f>
        <v/>
      </c>
      <c r="H1870" s="92" t="n">
        <v>22.29696</v>
      </c>
      <c r="I1870" s="2162" t="n">
        <v>0</v>
      </c>
      <c r="J1870" s="2162" t="n">
        <v>0</v>
      </c>
      <c r="K1870" s="2162" t="n"/>
    </row>
    <row r="1871" outlineLevel="3" ht="15.75" customHeight="1">
      <c r="A1871" s="10" t="n">
        <v>95</v>
      </c>
      <c r="B1871" s="10" t="inlineStr">
        <is>
          <t>Insumo</t>
        </is>
      </c>
      <c r="C1871" s="10" t="inlineStr">
        <is>
          <t>36_DRY 90 mm LV - 2 PLACAS - 11,50cm  -  Lado A: PLACA PERFORMANCE RU - Lado B: PLACA ST</t>
        </is>
      </c>
      <c r="D1871" s="10" t="inlineStr">
        <is>
          <t>PINO DE ACO COM ARRUELA CONICA, DIAMETRO ARRUELA = *23* MM E COMP HASTE = *27* MM (ACAO INDIRETA)</t>
        </is>
      </c>
      <c r="E1871" s="11">
        <f t="array" ref="E1871">_xlfn.XLOOKUP(D1871,Insumos!B:B,Insumos!C:$C)</f>
        <v/>
      </c>
      <c r="F1871" s="14" t="n">
        <v>5.92</v>
      </c>
      <c r="G1871" s="92">
        <f t="array" ref="G1871">IF(B1871="insumo",_xlfn.XLOOKUP($D1871,Insumos!$B$1:$B$996,Insumos!$D$1:$D$996),"")</f>
        <v/>
      </c>
      <c r="H1871" s="92" t="n">
        <v>2.98368</v>
      </c>
      <c r="I1871" s="2162" t="n">
        <v>0</v>
      </c>
      <c r="J1871" s="2162" t="n">
        <v>0</v>
      </c>
      <c r="K1871" s="2162" t="n"/>
    </row>
    <row r="1872" outlineLevel="3" ht="15.75" customHeight="1">
      <c r="A1872" s="10" t="n">
        <v>26</v>
      </c>
      <c r="B1872" s="10" t="inlineStr">
        <is>
          <t>Insumo</t>
        </is>
      </c>
      <c r="C1872" s="10" t="inlineStr">
        <is>
          <t>36_DRY 90 mm LV - 2 PLACAS - 11,50cm  -  Lado A: PLACA PERFORMANCE RU - Lado B: PLACA ST</t>
        </is>
      </c>
      <c r="D1872" s="10" t="inlineStr">
        <is>
          <t>PERFIL GUIA, FORMATO U, EM ACO ZINCADO, PARA ESTRUTURA PAREDE DRYWALL, E = 0,5 MM, 90 X 3000 MM (L X C)</t>
        </is>
      </c>
      <c r="E1872" s="11">
        <f t="array" ref="E1872">_xlfn.XLOOKUP(D1872,Insumos!B:B,Insumos!C:$C)</f>
        <v/>
      </c>
      <c r="F1872" s="14" t="n">
        <v>1.5248</v>
      </c>
      <c r="G1872" s="92">
        <f t="array" ref="G1872">IF(B1872="insumo",_xlfn.XLOOKUP($D1872,Insumos!$B$1:$B$996,Insumos!$D$1:$D$996),"")</f>
        <v/>
      </c>
      <c r="H1872" s="92" t="n">
        <v>13.174272</v>
      </c>
      <c r="I1872" s="2162" t="n">
        <v>0</v>
      </c>
      <c r="J1872" s="2162" t="n">
        <v>0</v>
      </c>
      <c r="K1872" s="2162" t="n"/>
    </row>
    <row r="1873" outlineLevel="3" ht="15.75" customHeight="1">
      <c r="A1873" s="10" t="n">
        <v>26</v>
      </c>
      <c r="B1873" s="10" t="inlineStr">
        <is>
          <t>Insumo</t>
        </is>
      </c>
      <c r="C1873" s="10" t="inlineStr">
        <is>
          <t>36_DRY 90 mm LV - 2 PLACAS - 11,50cm  -  Lado A: PLACA PERFORMANCE RU - Lado B: PLACA ST</t>
        </is>
      </c>
      <c r="D1873" s="10" t="inlineStr">
        <is>
          <t>PERFIL MONTANTE, FORMATO C, EM ACO ZINCADO, PARA ESTRUTURA PAREDE DRYWALL, E = 0,5 MM, 90 X 3000 MM (L X C)</t>
        </is>
      </c>
      <c r="E1873" s="11">
        <f t="array" ref="E1873">_xlfn.XLOOKUP(D1873,Insumos!B:B,Insumos!C:$C)</f>
        <v/>
      </c>
      <c r="F1873" s="14" t="n">
        <v>4.0011</v>
      </c>
      <c r="G1873" s="92">
        <f t="array" ref="G1873">IF(B1873="insumo",_xlfn.XLOOKUP($D1873,Insumos!$B$1:$B$996,Insumos!$D$1:$D$996),"")</f>
        <v/>
      </c>
      <c r="H1873" s="92" t="n">
        <v>72.37989899999999</v>
      </c>
      <c r="I1873" s="2162" t="n">
        <v>0</v>
      </c>
      <c r="J1873" s="2162" t="n">
        <v>0</v>
      </c>
      <c r="K1873" s="2162" t="n"/>
    </row>
    <row r="1874" outlineLevel="3" ht="15.75" customHeight="1">
      <c r="A1874" s="10" t="n">
        <v>95</v>
      </c>
      <c r="B1874" s="10" t="inlineStr">
        <is>
          <t>Insumo</t>
        </is>
      </c>
      <c r="C1874" s="10" t="inlineStr">
        <is>
          <t>36_DRY 90 mm LV - 2 PLACAS - 11,50cm  -  Lado A: PLACA PERFORMANCE RU - Lado B: PLACA ST</t>
        </is>
      </c>
      <c r="D1874" s="10" t="inlineStr">
        <is>
          <t>MASSA DE REJUNTE EM PO PARA DRYWALL, A BASE DE GESSO, SECAGEM RAPIDA, PARA TRATAMENTO DE JUNTAS DE CHAPA DE GESSO (NECESSITA ADICAO DE AGUA)</t>
        </is>
      </c>
      <c r="E1874" s="11">
        <f t="array" ref="E1874">_xlfn.XLOOKUP(D1874,Insumos!B:B,Insumos!C:$C)</f>
        <v/>
      </c>
      <c r="F1874" s="14" t="n">
        <v>1.0978</v>
      </c>
      <c r="G1874" s="92">
        <f t="array" ref="G1874">IF(B1874="insumo",_xlfn.XLOOKUP($D1874,Insumos!$B$1:$B$996,Insumos!$D$1:$D$996),"")</f>
        <v/>
      </c>
      <c r="H1874" s="92" t="n">
        <v>3.765454</v>
      </c>
      <c r="I1874" s="2162" t="n">
        <v>0</v>
      </c>
      <c r="J1874" s="2162" t="n">
        <v>0</v>
      </c>
      <c r="K1874" s="2162" t="n"/>
    </row>
    <row r="1875" outlineLevel="3" ht="15.75" customHeight="1">
      <c r="A1875" s="10" t="n">
        <v>94</v>
      </c>
      <c r="B1875" s="10" t="inlineStr">
        <is>
          <t>Insumo</t>
        </is>
      </c>
      <c r="C1875" s="10" t="inlineStr">
        <is>
          <t>36_DRY 90 mm LV - 2 PLACAS - 11,50cm  -  Lado A: PLACA PERFORMANCE RU - Lado B: PLACA ST</t>
        </is>
      </c>
      <c r="D1875" s="10" t="inlineStr">
        <is>
          <t>FITA DE PAPEL MICROPERFURADO, 50 X 150 MM, PARA TRATAMENTO DE JUNTAS DE CHAPA DE GESSO PARA DRYWALL</t>
        </is>
      </c>
      <c r="E1875" s="11">
        <f t="array" ref="E1875">_xlfn.XLOOKUP(D1875,Insumos!B:B,Insumos!C:$C)</f>
        <v/>
      </c>
      <c r="F1875" s="14" t="n">
        <v>2.5027</v>
      </c>
      <c r="G1875" s="92">
        <f t="array" ref="G1875">IF(B1875="insumo",_xlfn.XLOOKUP($D1875,Insumos!$B$1:$B$996,Insumos!$D$1:$D$996),"")</f>
        <v/>
      </c>
      <c r="H1875" s="92" t="n">
        <v>0.775837</v>
      </c>
      <c r="I1875" s="2162" t="n">
        <v>0</v>
      </c>
      <c r="J1875" s="2162" t="n">
        <v>0</v>
      </c>
      <c r="K1875" s="2162" t="n"/>
    </row>
    <row r="1876" outlineLevel="3" ht="15.75" customHeight="1">
      <c r="A1876" s="10" t="n">
        <v>94</v>
      </c>
      <c r="B1876" s="10" t="inlineStr">
        <is>
          <t>Insumo</t>
        </is>
      </c>
      <c r="C1876" s="10" t="inlineStr">
        <is>
          <t>36_DRY 90 mm LV - 2 PLACAS - 11,50cm  -  Lado A: PLACA PERFORMANCE RU - Lado B: PLACA ST</t>
        </is>
      </c>
      <c r="D1876" s="10" t="inlineStr">
        <is>
          <t>FITA DE PAPEL REFORCADA COM LAMINA DE METAL PARA REFORCO DE CANTOS DE CHAPA DE GESSO PARA DRYWALL</t>
        </is>
      </c>
      <c r="E1876" s="11">
        <f t="array" ref="E1876">_xlfn.XLOOKUP(D1876,Insumos!B:B,Insumos!C:$C)</f>
        <v/>
      </c>
      <c r="F1876" s="14" t="n">
        <v>1.5851</v>
      </c>
      <c r="G1876" s="92">
        <f t="array" ref="G1876">IF(B1876="insumo",_xlfn.XLOOKUP($D1876,Insumos!$B$1:$B$996,Insumos!$D$1:$D$996),"")</f>
        <v/>
      </c>
      <c r="H1876" s="92" t="n">
        <v>4.343174</v>
      </c>
      <c r="I1876" s="2162" t="n">
        <v>0</v>
      </c>
      <c r="J1876" s="2162" t="n">
        <v>0</v>
      </c>
      <c r="K1876" s="2162" t="n"/>
    </row>
    <row r="1877" outlineLevel="3" ht="15.75" customHeight="1">
      <c r="A1877" s="10" t="n">
        <v>97</v>
      </c>
      <c r="B1877" s="10" t="inlineStr">
        <is>
          <t>Insumo</t>
        </is>
      </c>
      <c r="C1877" s="10" t="inlineStr">
        <is>
          <t>36_DRY 90 mm LV - 2 PLACAS - 11,50cm  -  Lado A: PLACA PERFORMANCE RU - Lado B: PLACA ST</t>
        </is>
      </c>
      <c r="D1877" s="10" t="inlineStr">
        <is>
          <t>PARAFUSO DRY WALL, EM ACO FOSFATIZADO, CABECA TROMBETA E PONTA AGULHA (TA), COMPRIMENTO 25 MM</t>
        </is>
      </c>
      <c r="E1877" s="11">
        <f t="array" ref="E1877">_xlfn.XLOOKUP(D1877,Insumos!B:B,Insumos!C:$C)</f>
        <v/>
      </c>
      <c r="F1877" s="14" t="n">
        <v>20.1868</v>
      </c>
      <c r="G1877" s="92">
        <f t="array" ref="G1877">IF(B1877="insumo",_xlfn.XLOOKUP($D1877,Insumos!$B$1:$B$996,Insumos!$D$1:$D$996),"")</f>
        <v/>
      </c>
      <c r="H1877" s="92" t="n">
        <v>1.816812</v>
      </c>
      <c r="I1877" s="2162" t="n">
        <v>0</v>
      </c>
      <c r="J1877" s="2162" t="n">
        <v>0</v>
      </c>
      <c r="K1877" s="2162" t="n"/>
    </row>
    <row r="1878" outlineLevel="3" ht="15.75" customHeight="1">
      <c r="A1878" s="10" t="n">
        <v>95</v>
      </c>
      <c r="B1878" s="10" t="inlineStr">
        <is>
          <t>Insumo</t>
        </is>
      </c>
      <c r="C1878" s="10" t="inlineStr">
        <is>
          <t>36_DRY 90 mm LV - 2 PLACAS - 11,50cm  -  Lado A: PLACA PERFORMANCE RU - Lado B: PLACA ST</t>
        </is>
      </c>
      <c r="D1878" s="10" t="inlineStr">
        <is>
          <t>PARAFUSO DRY WALL, EM ACO ZINCADO, CABECA LENTILHA E PONTA BROCA (LB), LARGURA 4,2 MM, COMPRIMENTO 13 MM</t>
        </is>
      </c>
      <c r="E1878" s="11">
        <f t="array" ref="E1878">_xlfn.XLOOKUP(D1878,Insumos!B:B,Insumos!C:$C)</f>
        <v/>
      </c>
      <c r="F1878" s="14" t="n">
        <v>0.5441</v>
      </c>
      <c r="G1878" s="92">
        <f t="array" ref="G1878">IF(B1878="insumo",_xlfn.XLOOKUP($D1878,Insumos!$B$1:$B$996,Insumos!$D$1:$D$996),"")</f>
        <v/>
      </c>
      <c r="H1878" s="92" t="n">
        <v>0.10882</v>
      </c>
      <c r="I1878" s="2162" t="n">
        <v>0</v>
      </c>
      <c r="J1878" s="2162" t="n">
        <v>0</v>
      </c>
      <c r="K1878" s="2162" t="n"/>
    </row>
    <row r="1879" outlineLevel="3" ht="15.75" customHeight="1">
      <c r="A1879" s="10" t="n">
        <v>35</v>
      </c>
      <c r="B1879" s="10" t="inlineStr">
        <is>
          <t>Insumo</t>
        </is>
      </c>
      <c r="C1879" s="10" t="inlineStr">
        <is>
          <t>36_DRY 90 mm LV - 2 PLACAS - 11,50cm  -  Lado A: PLACA PERFORMANCE RU - Lado B: PLACA ST</t>
        </is>
      </c>
      <c r="D1879" s="10" t="inlineStr">
        <is>
          <t>Lã de pet 50 X 1200 X 12500 MM</t>
        </is>
      </c>
      <c r="E1879" s="11">
        <f t="array" ref="E1879">_xlfn.XLOOKUP(D1879,Insumos!B:B,Insumos!C:$C)</f>
        <v/>
      </c>
      <c r="F1879" s="14" t="n">
        <v>1.1</v>
      </c>
      <c r="G1879" s="92">
        <f t="array" ref="G1879">IF(B1879="insumo",_xlfn.XLOOKUP($D1879,Insumos!$B$1:$B$996,Insumos!$D$1:$D$996),"")</f>
        <v/>
      </c>
      <c r="H1879" s="92" t="n">
        <v>14.3212666666667</v>
      </c>
      <c r="I1879" s="2162" t="n">
        <v>0</v>
      </c>
      <c r="J1879" s="2162" t="n">
        <v>0</v>
      </c>
      <c r="K1879" s="2162" t="n"/>
    </row>
    <row r="1880" outlineLevel="2" ht="15.75" customHeight="1">
      <c r="A1880" s="1067" t="n">
        <v>1</v>
      </c>
      <c r="B1880" s="1067" t="inlineStr">
        <is>
          <t>Serviço</t>
        </is>
      </c>
      <c r="C1880" s="1067" t="inlineStr">
        <is>
          <t>36_DRY 90 mm LV - 2 PLACAS - 11,50cm  -  Lado A: PLACA RU - Lado B: PLACA RU</t>
        </is>
      </c>
      <c r="D1880" s="1067" t="inlineStr">
        <is>
          <t>36_DRY 90 mm LV - 2 PLACAS - 11,50cm  -  Lado A: PLACA RU - Lado B: PLACA RU</t>
        </is>
      </c>
      <c r="E1880" s="1068" t="inlineStr">
        <is>
          <t>M2</t>
        </is>
      </c>
      <c r="F1880" s="1067" t="n"/>
      <c r="G1880" s="1069">
        <f t="array" ref="G1880">IF(B1880="insumo",_xlfn.XLOOKUP($D1880,Insumos!$B$1:$B$996,Insumos!$D$1:$D$996),"")</f>
        <v/>
      </c>
      <c r="H1880" s="1069" t="n">
        <v>240.741814666667</v>
      </c>
      <c r="I1880" s="2161" t="n">
        <v>0</v>
      </c>
      <c r="J1880" s="2161" t="n">
        <v>0</v>
      </c>
      <c r="K1880" s="2161" t="n"/>
    </row>
    <row r="1881" outlineLevel="3" ht="15.75" customHeight="1">
      <c r="A1881" s="10" t="n">
        <v>86</v>
      </c>
      <c r="B1881" s="10" t="inlineStr">
        <is>
          <t>Insumo</t>
        </is>
      </c>
      <c r="C1881" s="10" t="inlineStr">
        <is>
          <t>36_DRY 90 mm LV - 2 PLACAS - 11,50cm  -  Lado A: PLACA RU - Lado B: PLACA RU</t>
        </is>
      </c>
      <c r="D1881" s="10" t="inlineStr">
        <is>
          <t>SERVICO - CONFECCAO SHAFT GESSO</t>
        </is>
      </c>
      <c r="E1881" s="11">
        <f t="array" ref="E1881">_xlfn.XLOOKUP(D1881,Insumos!B:B,Insumos!C:$C)</f>
        <v/>
      </c>
      <c r="F1881" s="14" t="n">
        <v>1</v>
      </c>
      <c r="G1881" s="92">
        <f t="array" ref="G1881">IF(B1881="insumo",_xlfn.XLOOKUP($D1881,Insumos!$B$1:$B$996,Insumos!$D$1:$D$996),"")</f>
        <v/>
      </c>
      <c r="H1881" s="92" t="n">
        <v>70</v>
      </c>
      <c r="I1881" s="2162" t="n">
        <v>0</v>
      </c>
      <c r="J1881" s="2162" t="n">
        <v>0</v>
      </c>
      <c r="K1881" s="2162" t="n"/>
    </row>
    <row r="1882" outlineLevel="3" ht="15.75" customHeight="1">
      <c r="A1882" s="10" t="n">
        <v>49</v>
      </c>
      <c r="B1882" s="10" t="inlineStr">
        <is>
          <t>Insumo</t>
        </is>
      </c>
      <c r="C1882" s="10" t="inlineStr">
        <is>
          <t>36_DRY 90 mm LV - 2 PLACAS - 11,50cm  -  Lado A: PLACA RU - Lado B: PLACA RU</t>
        </is>
      </c>
      <c r="D1882" s="10" t="inlineStr">
        <is>
          <t>PLACA / CHAPA DE GESSO ACARTONADO, RESISTENTE A UMIDADE (RU), COR VERDE, E = 12,5 MM, 1200 X 2400 MM (L X C)</t>
        </is>
      </c>
      <c r="E1882" s="11">
        <f t="array" ref="E1882">_xlfn.XLOOKUP(D1882,Insumos!B:B,Insumos!C:$C)</f>
        <v/>
      </c>
      <c r="F1882" s="14" t="n">
        <v>2.106</v>
      </c>
      <c r="G1882" s="92">
        <f t="array" ref="G1882">IF(B1882="insumo",_xlfn.XLOOKUP($D1882,Insumos!$B$1:$B$996,Insumos!$D$1:$D$996),"")</f>
        <v/>
      </c>
      <c r="H1882" s="92" t="n">
        <v>57.0726</v>
      </c>
      <c r="I1882" s="2162" t="n">
        <v>0</v>
      </c>
      <c r="J1882" s="2162" t="n">
        <v>0</v>
      </c>
      <c r="K1882" s="2162" t="n"/>
    </row>
    <row r="1883" outlineLevel="3" ht="15.75" customHeight="1">
      <c r="A1883" s="10" t="n">
        <v>95</v>
      </c>
      <c r="B1883" s="10" t="inlineStr">
        <is>
          <t>Insumo</t>
        </is>
      </c>
      <c r="C1883" s="10" t="inlineStr">
        <is>
          <t>36_DRY 90 mm LV - 2 PLACAS - 11,50cm  -  Lado A: PLACA RU - Lado B: PLACA RU</t>
        </is>
      </c>
      <c r="D1883" s="10" t="inlineStr">
        <is>
          <t>PINO DE ACO COM ARRUELA CONICA, DIAMETRO ARRUELA = *23* MM E COMP HASTE = *27* MM (ACAO INDIRETA)</t>
        </is>
      </c>
      <c r="E1883" s="11">
        <f t="array" ref="E1883">_xlfn.XLOOKUP(D1883,Insumos!B:B,Insumos!C:$C)</f>
        <v/>
      </c>
      <c r="F1883" s="14" t="n">
        <v>5.92</v>
      </c>
      <c r="G1883" s="92">
        <f t="array" ref="G1883">IF(B1883="insumo",_xlfn.XLOOKUP($D1883,Insumos!$B$1:$B$996,Insumos!$D$1:$D$996),"")</f>
        <v/>
      </c>
      <c r="H1883" s="92" t="n">
        <v>2.98368</v>
      </c>
      <c r="I1883" s="2162" t="n">
        <v>0</v>
      </c>
      <c r="J1883" s="2162" t="n">
        <v>0</v>
      </c>
      <c r="K1883" s="2162" t="n"/>
    </row>
    <row r="1884" outlineLevel="3" ht="15.75" customHeight="1">
      <c r="A1884" s="10" t="n">
        <v>26</v>
      </c>
      <c r="B1884" s="10" t="inlineStr">
        <is>
          <t>Insumo</t>
        </is>
      </c>
      <c r="C1884" s="10" t="inlineStr">
        <is>
          <t>36_DRY 90 mm LV - 2 PLACAS - 11,50cm  -  Lado A: PLACA RU - Lado B: PLACA RU</t>
        </is>
      </c>
      <c r="D1884" s="10" t="inlineStr">
        <is>
          <t>PERFIL GUIA, FORMATO U, EM ACO ZINCADO, PARA ESTRUTURA PAREDE DRYWALL, E = 0,5 MM, 90 X 3000 MM (L X C)</t>
        </is>
      </c>
      <c r="E1884" s="11">
        <f t="array" ref="E1884">_xlfn.XLOOKUP(D1884,Insumos!B:B,Insumos!C:$C)</f>
        <v/>
      </c>
      <c r="F1884" s="14" t="n">
        <v>1.5248</v>
      </c>
      <c r="G1884" s="92">
        <f t="array" ref="G1884">IF(B1884="insumo",_xlfn.XLOOKUP($D1884,Insumos!$B$1:$B$996,Insumos!$D$1:$D$996),"")</f>
        <v/>
      </c>
      <c r="H1884" s="92" t="n">
        <v>13.174272</v>
      </c>
      <c r="I1884" s="2162" t="n">
        <v>0</v>
      </c>
      <c r="J1884" s="2162" t="n">
        <v>0</v>
      </c>
      <c r="K1884" s="2162" t="n"/>
    </row>
    <row r="1885" outlineLevel="3" ht="15.75" customHeight="1">
      <c r="A1885" s="10" t="n">
        <v>26</v>
      </c>
      <c r="B1885" s="10" t="inlineStr">
        <is>
          <t>Insumo</t>
        </is>
      </c>
      <c r="C1885" s="10" t="inlineStr">
        <is>
          <t>36_DRY 90 mm LV - 2 PLACAS - 11,50cm  -  Lado A: PLACA RU - Lado B: PLACA RU</t>
        </is>
      </c>
      <c r="D1885" s="10" t="inlineStr">
        <is>
          <t>PERFIL MONTANTE, FORMATO C, EM ACO ZINCADO, PARA ESTRUTURA PAREDE DRYWALL, E = 0,5 MM, 90 X 3000 MM (L X C)</t>
        </is>
      </c>
      <c r="E1885" s="11">
        <f t="array" ref="E1885">_xlfn.XLOOKUP(D1885,Insumos!B:B,Insumos!C:$C)</f>
        <v/>
      </c>
      <c r="F1885" s="14" t="n">
        <v>4.0011</v>
      </c>
      <c r="G1885" s="92">
        <f t="array" ref="G1885">IF(B1885="insumo",_xlfn.XLOOKUP($D1885,Insumos!$B$1:$B$996,Insumos!$D$1:$D$996),"")</f>
        <v/>
      </c>
      <c r="H1885" s="92" t="n">
        <v>72.37989899999999</v>
      </c>
      <c r="I1885" s="2162" t="n">
        <v>0</v>
      </c>
      <c r="J1885" s="2162" t="n">
        <v>0</v>
      </c>
      <c r="K1885" s="2162" t="n"/>
    </row>
    <row r="1886" outlineLevel="3" ht="15.75" customHeight="1">
      <c r="A1886" s="10" t="n">
        <v>95</v>
      </c>
      <c r="B1886" s="10" t="inlineStr">
        <is>
          <t>Insumo</t>
        </is>
      </c>
      <c r="C1886" s="10" t="inlineStr">
        <is>
          <t>36_DRY 90 mm LV - 2 PLACAS - 11,50cm  -  Lado A: PLACA RU - Lado B: PLACA RU</t>
        </is>
      </c>
      <c r="D1886" s="10" t="inlineStr">
        <is>
          <t>MASSA DE REJUNTE EM PO PARA DRYWALL, A BASE DE GESSO, SECAGEM RAPIDA, PARA TRATAMENTO DE JUNTAS DE CHAPA DE GESSO (NECESSITA ADICAO DE AGUA)</t>
        </is>
      </c>
      <c r="E1886" s="11">
        <f t="array" ref="E1886">_xlfn.XLOOKUP(D1886,Insumos!B:B,Insumos!C:$C)</f>
        <v/>
      </c>
      <c r="F1886" s="14" t="n">
        <v>1.0978</v>
      </c>
      <c r="G1886" s="92">
        <f t="array" ref="G1886">IF(B1886="insumo",_xlfn.XLOOKUP($D1886,Insumos!$B$1:$B$996,Insumos!$D$1:$D$996),"")</f>
        <v/>
      </c>
      <c r="H1886" s="92" t="n">
        <v>3.765454</v>
      </c>
      <c r="I1886" s="2162" t="n">
        <v>0</v>
      </c>
      <c r="J1886" s="2162" t="n">
        <v>0</v>
      </c>
      <c r="K1886" s="2162" t="n"/>
    </row>
    <row r="1887" outlineLevel="3" ht="15.75" customHeight="1">
      <c r="A1887" s="10" t="n">
        <v>94</v>
      </c>
      <c r="B1887" s="10" t="inlineStr">
        <is>
          <t>Insumo</t>
        </is>
      </c>
      <c r="C1887" s="10" t="inlineStr">
        <is>
          <t>36_DRY 90 mm LV - 2 PLACAS - 11,50cm  -  Lado A: PLACA RU - Lado B: PLACA RU</t>
        </is>
      </c>
      <c r="D1887" s="10" t="inlineStr">
        <is>
          <t>FITA DE PAPEL MICROPERFURADO, 50 X 150 MM, PARA TRATAMENTO DE JUNTAS DE CHAPA DE GESSO PARA DRYWALL</t>
        </is>
      </c>
      <c r="E1887" s="11">
        <f t="array" ref="E1887">_xlfn.XLOOKUP(D1887,Insumos!B:B,Insumos!C:$C)</f>
        <v/>
      </c>
      <c r="F1887" s="14" t="n">
        <v>2.5027</v>
      </c>
      <c r="G1887" s="92">
        <f t="array" ref="G1887">IF(B1887="insumo",_xlfn.XLOOKUP($D1887,Insumos!$B$1:$B$996,Insumos!$D$1:$D$996),"")</f>
        <v/>
      </c>
      <c r="H1887" s="92" t="n">
        <v>0.775837</v>
      </c>
      <c r="I1887" s="2162" t="n">
        <v>0</v>
      </c>
      <c r="J1887" s="2162" t="n">
        <v>0</v>
      </c>
      <c r="K1887" s="2162" t="n"/>
    </row>
    <row r="1888" outlineLevel="3" ht="15.75" customHeight="1">
      <c r="A1888" s="10" t="n">
        <v>94</v>
      </c>
      <c r="B1888" s="10" t="inlineStr">
        <is>
          <t>Insumo</t>
        </is>
      </c>
      <c r="C1888" s="10" t="inlineStr">
        <is>
          <t>36_DRY 90 mm LV - 2 PLACAS - 11,50cm  -  Lado A: PLACA RU - Lado B: PLACA RU</t>
        </is>
      </c>
      <c r="D1888" s="10" t="inlineStr">
        <is>
          <t>FITA DE PAPEL REFORCADA COM LAMINA DE METAL PARA REFORCO DE CANTOS DE CHAPA DE GESSO PARA DRYWALL</t>
        </is>
      </c>
      <c r="E1888" s="11">
        <f t="array" ref="E1888">_xlfn.XLOOKUP(D1888,Insumos!B:B,Insumos!C:$C)</f>
        <v/>
      </c>
      <c r="F1888" s="14" t="n">
        <v>1.5851</v>
      </c>
      <c r="G1888" s="92">
        <f t="array" ref="G1888">IF(B1888="insumo",_xlfn.XLOOKUP($D1888,Insumos!$B$1:$B$996,Insumos!$D$1:$D$996),"")</f>
        <v/>
      </c>
      <c r="H1888" s="92" t="n">
        <v>4.343174</v>
      </c>
      <c r="I1888" s="2162" t="n">
        <v>0</v>
      </c>
      <c r="J1888" s="2162" t="n">
        <v>0</v>
      </c>
      <c r="K1888" s="2162" t="n"/>
    </row>
    <row r="1889" outlineLevel="3" ht="15.75" customHeight="1">
      <c r="A1889" s="10" t="n">
        <v>97</v>
      </c>
      <c r="B1889" s="10" t="inlineStr">
        <is>
          <t>Insumo</t>
        </is>
      </c>
      <c r="C1889" s="10" t="inlineStr">
        <is>
          <t>36_DRY 90 mm LV - 2 PLACAS - 11,50cm  -  Lado A: PLACA RU - Lado B: PLACA RU</t>
        </is>
      </c>
      <c r="D1889" s="10" t="inlineStr">
        <is>
          <t>PARAFUSO DRY WALL, EM ACO FOSFATIZADO, CABECA TROMBETA E PONTA AGULHA (TA), COMPRIMENTO 25 MM</t>
        </is>
      </c>
      <c r="E1889" s="11">
        <f t="array" ref="E1889">_xlfn.XLOOKUP(D1889,Insumos!B:B,Insumos!C:$C)</f>
        <v/>
      </c>
      <c r="F1889" s="14" t="n">
        <v>20.1868</v>
      </c>
      <c r="G1889" s="92">
        <f t="array" ref="G1889">IF(B1889="insumo",_xlfn.XLOOKUP($D1889,Insumos!$B$1:$B$996,Insumos!$D$1:$D$996),"")</f>
        <v/>
      </c>
      <c r="H1889" s="92" t="n">
        <v>1.816812</v>
      </c>
      <c r="I1889" s="2162" t="n">
        <v>0</v>
      </c>
      <c r="J1889" s="2162" t="n">
        <v>0</v>
      </c>
      <c r="K1889" s="2162" t="n"/>
    </row>
    <row r="1890" outlineLevel="3" ht="15.75" customHeight="1">
      <c r="A1890" s="10" t="n">
        <v>95</v>
      </c>
      <c r="B1890" s="10" t="inlineStr">
        <is>
          <t>Insumo</t>
        </is>
      </c>
      <c r="C1890" s="10" t="inlineStr">
        <is>
          <t>36_DRY 90 mm LV - 2 PLACAS - 11,50cm  -  Lado A: PLACA RU - Lado B: PLACA RU</t>
        </is>
      </c>
      <c r="D1890" s="10" t="inlineStr">
        <is>
          <t>PARAFUSO DRY WALL, EM ACO ZINCADO, CABECA LENTILHA E PONTA BROCA (LB), LARGURA 4,2 MM, COMPRIMENTO 13 MM</t>
        </is>
      </c>
      <c r="E1890" s="11">
        <f t="array" ref="E1890">_xlfn.XLOOKUP(D1890,Insumos!B:B,Insumos!C:$C)</f>
        <v/>
      </c>
      <c r="F1890" s="14" t="n">
        <v>0.5441</v>
      </c>
      <c r="G1890" s="92">
        <f t="array" ref="G1890">IF(B1890="insumo",_xlfn.XLOOKUP($D1890,Insumos!$B$1:$B$996,Insumos!$D$1:$D$996),"")</f>
        <v/>
      </c>
      <c r="H1890" s="92" t="n">
        <v>0.10882</v>
      </c>
      <c r="I1890" s="2162" t="n">
        <v>0</v>
      </c>
      <c r="J1890" s="2162" t="n">
        <v>0</v>
      </c>
      <c r="K1890" s="2162" t="n"/>
    </row>
    <row r="1891" outlineLevel="3" ht="15.75" customHeight="1">
      <c r="A1891" s="10" t="n">
        <v>35</v>
      </c>
      <c r="B1891" s="10" t="inlineStr">
        <is>
          <t>Insumo</t>
        </is>
      </c>
      <c r="C1891" s="10" t="inlineStr">
        <is>
          <t>36_DRY 90 mm LV - 2 PLACAS - 11,50cm  -  Lado A: PLACA RU - Lado B: PLACA RU</t>
        </is>
      </c>
      <c r="D1891" s="10" t="inlineStr">
        <is>
          <t>Lã de pet 50 X 1200 X 12500 MM</t>
        </is>
      </c>
      <c r="E1891" s="11">
        <f t="array" ref="E1891">_xlfn.XLOOKUP(D1891,Insumos!B:B,Insumos!C:$C)</f>
        <v/>
      </c>
      <c r="F1891" s="14" t="n">
        <v>1.1</v>
      </c>
      <c r="G1891" s="92">
        <f t="array" ref="G1891">IF(B1891="insumo",_xlfn.XLOOKUP($D1891,Insumos!$B$1:$B$996,Insumos!$D$1:$D$996),"")</f>
        <v/>
      </c>
      <c r="H1891" s="92" t="n">
        <v>14.3212666666667</v>
      </c>
      <c r="I1891" s="2162" t="n">
        <v>0</v>
      </c>
      <c r="J1891" s="2162" t="n">
        <v>0</v>
      </c>
      <c r="K1891" s="2162" t="n"/>
    </row>
    <row r="1892" outlineLevel="2" ht="15.75" customHeight="1">
      <c r="A1892" s="1067" t="n">
        <v>1</v>
      </c>
      <c r="B1892" s="1067" t="inlineStr">
        <is>
          <t>Serviço</t>
        </is>
      </c>
      <c r="C1892" s="1067" t="inlineStr">
        <is>
          <t>36_DRY 90 mm LV - 2 PLACAS - 11,50cm  -  Lado A: PLACA RU - Lado B: PLACA ST</t>
        </is>
      </c>
      <c r="D1892" s="1067" t="inlineStr">
        <is>
          <t>36_DRY 90 mm LV - 2 PLACAS - 11,50cm  -  Lado A: PLACA RU - Lado B: PLACA ST</t>
        </is>
      </c>
      <c r="E1892" s="1068" t="inlineStr">
        <is>
          <t>M2</t>
        </is>
      </c>
      <c r="F1892" s="1067" t="n"/>
      <c r="G1892" s="1069">
        <f t="array" ref="G1892">IF(B1892="insumo",_xlfn.XLOOKUP($D1892,Insumos!$B$1:$B$996,Insumos!$D$1:$D$996),"")</f>
        <v/>
      </c>
      <c r="H1892" s="1069" t="n">
        <v>235.938774666667</v>
      </c>
      <c r="I1892" s="2161" t="n">
        <v>0</v>
      </c>
      <c r="J1892" s="2161" t="n">
        <v>0</v>
      </c>
      <c r="K1892" s="2161" t="n"/>
    </row>
    <row r="1893" outlineLevel="3" ht="15.75" customHeight="1">
      <c r="A1893" s="10" t="n">
        <v>86</v>
      </c>
      <c r="B1893" s="10" t="inlineStr">
        <is>
          <t>Insumo</t>
        </is>
      </c>
      <c r="C1893" s="10" t="inlineStr">
        <is>
          <t>36_DRY 90 mm LV - 2 PLACAS - 11,50cm  -  Lado A: PLACA RU - Lado B: PLACA ST</t>
        </is>
      </c>
      <c r="D1893" s="10" t="inlineStr">
        <is>
          <t>SERVICO - CONFECCAO SHAFT GESSO</t>
        </is>
      </c>
      <c r="E1893" s="11">
        <f t="array" ref="E1893">_xlfn.XLOOKUP(D1893,Insumos!B:B,Insumos!C:$C)</f>
        <v/>
      </c>
      <c r="F1893" s="14" t="n">
        <v>1</v>
      </c>
      <c r="G1893" s="92">
        <f t="array" ref="G1893">IF(B1893="insumo",_xlfn.XLOOKUP($D1893,Insumos!$B$1:$B$996,Insumos!$D$1:$D$996),"")</f>
        <v/>
      </c>
      <c r="H1893" s="92" t="n">
        <v>70</v>
      </c>
      <c r="I1893" s="2162" t="n">
        <v>0</v>
      </c>
      <c r="J1893" s="2162" t="n">
        <v>0</v>
      </c>
      <c r="K1893" s="2162" t="n"/>
    </row>
    <row r="1894" outlineLevel="3" ht="15.75" customHeight="1">
      <c r="A1894" s="10" t="n">
        <v>49</v>
      </c>
      <c r="B1894" s="10" t="inlineStr">
        <is>
          <t>Insumo</t>
        </is>
      </c>
      <c r="C1894" s="10" t="inlineStr">
        <is>
          <t>36_DRY 90 mm LV - 2 PLACAS - 11,50cm  -  Lado A: PLACA RU - Lado B: PLACA ST</t>
        </is>
      </c>
      <c r="D1894" s="10" t="inlineStr">
        <is>
          <t>PLACA / CHAPA DE GESSO ACARTONADO, RESISTENTE A UMIDADE (RU), COR VERDE, E = 12,5 MM, 1200 X 2400 MM (L X C)</t>
        </is>
      </c>
      <c r="E1894" s="11">
        <f t="array" ref="E1894">_xlfn.XLOOKUP(D1894,Insumos!B:B,Insumos!C:$C)</f>
        <v/>
      </c>
      <c r="F1894" s="14">
        <f>1.106</f>
        <v/>
      </c>
      <c r="G1894" s="92">
        <f t="array" ref="G1894">IF(B1894="insumo",_xlfn.XLOOKUP($D1894,Insumos!$B$1:$B$996,Insumos!$D$1:$D$996),"")</f>
        <v/>
      </c>
      <c r="H1894" s="92" t="n">
        <v>29.9726</v>
      </c>
      <c r="I1894" s="2162" t="n">
        <v>0</v>
      </c>
      <c r="J1894" s="2162" t="n">
        <v>0</v>
      </c>
      <c r="K1894" s="2162" t="n"/>
    </row>
    <row r="1895" outlineLevel="3" ht="15.75" customHeight="1">
      <c r="A1895" s="10" t="n">
        <v>47</v>
      </c>
      <c r="B1895" s="10" t="inlineStr">
        <is>
          <t>Insumo</t>
        </is>
      </c>
      <c r="C1895" s="10" t="inlineStr">
        <is>
          <t>36_DRY 90 mm LV - 2 PLACAS - 11,50cm  -  Lado A: PLACA RU - Lado B: PLACA ST</t>
        </is>
      </c>
      <c r="D1895" s="10" t="inlineStr">
        <is>
          <t>PLACA / CHAPA DE GESSO ACARTONADO, STANDARD (ST), COR BRANCA, E = 12,5 MM, 1200 X 2400 MM (L X C)</t>
        </is>
      </c>
      <c r="E1895" s="11">
        <f t="array" ref="E1895">_xlfn.XLOOKUP(D1895,Insumos!B:B,Insumos!C:$C)</f>
        <v/>
      </c>
      <c r="F1895" s="14" t="n">
        <v>1.106</v>
      </c>
      <c r="G1895" s="92">
        <f t="array" ref="G1895">IF(B1895="insumo",_xlfn.XLOOKUP($D1895,Insumos!$B$1:$B$996,Insumos!$D$1:$D$996),"")</f>
        <v/>
      </c>
      <c r="H1895" s="92" t="n">
        <v>22.29696</v>
      </c>
      <c r="I1895" s="2162" t="n">
        <v>0</v>
      </c>
      <c r="J1895" s="2162" t="n">
        <v>0</v>
      </c>
      <c r="K1895" s="2162" t="n"/>
    </row>
    <row r="1896" outlineLevel="3" ht="15.75" customHeight="1">
      <c r="A1896" s="10" t="n">
        <v>95</v>
      </c>
      <c r="B1896" s="10" t="inlineStr">
        <is>
          <t>Insumo</t>
        </is>
      </c>
      <c r="C1896" s="10" t="inlineStr">
        <is>
          <t>36_DRY 90 mm LV - 2 PLACAS - 11,50cm  -  Lado A: PLACA RU - Lado B: PLACA ST</t>
        </is>
      </c>
      <c r="D1896" s="10" t="inlineStr">
        <is>
          <t>PINO DE ACO COM ARRUELA CONICA, DIAMETRO ARRUELA = *23* MM E COMP HASTE = *27* MM (ACAO INDIRETA)</t>
        </is>
      </c>
      <c r="E1896" s="11">
        <f t="array" ref="E1896">_xlfn.XLOOKUP(D1896,Insumos!B:B,Insumos!C:$C)</f>
        <v/>
      </c>
      <c r="F1896" s="14" t="n">
        <v>5.92</v>
      </c>
      <c r="G1896" s="92">
        <f t="array" ref="G1896">IF(B1896="insumo",_xlfn.XLOOKUP($D1896,Insumos!$B$1:$B$996,Insumos!$D$1:$D$996),"")</f>
        <v/>
      </c>
      <c r="H1896" s="92" t="n">
        <v>2.98368</v>
      </c>
      <c r="I1896" s="2162" t="n">
        <v>0</v>
      </c>
      <c r="J1896" s="2162" t="n">
        <v>0</v>
      </c>
      <c r="K1896" s="2162" t="n"/>
    </row>
    <row r="1897" outlineLevel="3" ht="15.75" customHeight="1">
      <c r="A1897" s="10" t="n">
        <v>26</v>
      </c>
      <c r="B1897" s="10" t="inlineStr">
        <is>
          <t>Insumo</t>
        </is>
      </c>
      <c r="C1897" s="10" t="inlineStr">
        <is>
          <t>36_DRY 90 mm LV - 2 PLACAS - 11,50cm  -  Lado A: PLACA RU - Lado B: PLACA ST</t>
        </is>
      </c>
      <c r="D1897" s="10" t="inlineStr">
        <is>
          <t>PERFIL GUIA, FORMATO U, EM ACO ZINCADO, PARA ESTRUTURA PAREDE DRYWALL, E = 0,5 MM, 90 X 3000 MM (L X C)</t>
        </is>
      </c>
      <c r="E1897" s="11">
        <f t="array" ref="E1897">_xlfn.XLOOKUP(D1897,Insumos!B:B,Insumos!C:$C)</f>
        <v/>
      </c>
      <c r="F1897" s="14" t="n">
        <v>1.5248</v>
      </c>
      <c r="G1897" s="92">
        <f t="array" ref="G1897">IF(B1897="insumo",_xlfn.XLOOKUP($D1897,Insumos!$B$1:$B$996,Insumos!$D$1:$D$996),"")</f>
        <v/>
      </c>
      <c r="H1897" s="92" t="n">
        <v>13.174272</v>
      </c>
      <c r="I1897" s="2162" t="n">
        <v>0</v>
      </c>
      <c r="J1897" s="2162" t="n">
        <v>0</v>
      </c>
      <c r="K1897" s="2162" t="n"/>
    </row>
    <row r="1898" outlineLevel="3" ht="15.75" customHeight="1">
      <c r="A1898" s="10" t="n">
        <v>26</v>
      </c>
      <c r="B1898" s="10" t="inlineStr">
        <is>
          <t>Insumo</t>
        </is>
      </c>
      <c r="C1898" s="10" t="inlineStr">
        <is>
          <t>36_DRY 90 mm LV - 2 PLACAS - 11,50cm  -  Lado A: PLACA RU - Lado B: PLACA ST</t>
        </is>
      </c>
      <c r="D1898" s="10" t="inlineStr">
        <is>
          <t>PERFIL MONTANTE, FORMATO C, EM ACO ZINCADO, PARA ESTRUTURA PAREDE DRYWALL, E = 0,5 MM, 90 X 3000 MM (L X C)</t>
        </is>
      </c>
      <c r="E1898" s="11">
        <f t="array" ref="E1898">_xlfn.XLOOKUP(D1898,Insumos!B:B,Insumos!C:$C)</f>
        <v/>
      </c>
      <c r="F1898" s="14" t="n">
        <v>4.0011</v>
      </c>
      <c r="G1898" s="92">
        <f t="array" ref="G1898">IF(B1898="insumo",_xlfn.XLOOKUP($D1898,Insumos!$B$1:$B$996,Insumos!$D$1:$D$996),"")</f>
        <v/>
      </c>
      <c r="H1898" s="92" t="n">
        <v>72.37989899999999</v>
      </c>
      <c r="I1898" s="2162" t="n">
        <v>0</v>
      </c>
      <c r="J1898" s="2162" t="n">
        <v>0</v>
      </c>
      <c r="K1898" s="2162" t="n"/>
    </row>
    <row r="1899" outlineLevel="3" ht="15.75" customHeight="1">
      <c r="A1899" s="10" t="n">
        <v>95</v>
      </c>
      <c r="B1899" s="10" t="inlineStr">
        <is>
          <t>Insumo</t>
        </is>
      </c>
      <c r="C1899" s="10" t="inlineStr">
        <is>
          <t>36_DRY 90 mm LV - 2 PLACAS - 11,50cm  -  Lado A: PLACA RU - Lado B: PLACA ST</t>
        </is>
      </c>
      <c r="D1899" s="10" t="inlineStr">
        <is>
          <t>MASSA DE REJUNTE EM PO PARA DRYWALL, A BASE DE GESSO, SECAGEM RAPIDA, PARA TRATAMENTO DE JUNTAS DE CHAPA DE GESSO (NECESSITA ADICAO DE AGUA)</t>
        </is>
      </c>
      <c r="E1899" s="11">
        <f t="array" ref="E1899">_xlfn.XLOOKUP(D1899,Insumos!B:B,Insumos!C:$C)</f>
        <v/>
      </c>
      <c r="F1899" s="14" t="n">
        <v>1.0978</v>
      </c>
      <c r="G1899" s="92">
        <f t="array" ref="G1899">IF(B1899="insumo",_xlfn.XLOOKUP($D1899,Insumos!$B$1:$B$996,Insumos!$D$1:$D$996),"")</f>
        <v/>
      </c>
      <c r="H1899" s="92" t="n">
        <v>3.765454</v>
      </c>
      <c r="I1899" s="2162" t="n">
        <v>0</v>
      </c>
      <c r="J1899" s="2162" t="n">
        <v>0</v>
      </c>
      <c r="K1899" s="2162" t="n"/>
    </row>
    <row r="1900" outlineLevel="3" ht="15.75" customHeight="1">
      <c r="A1900" s="10" t="n">
        <v>94</v>
      </c>
      <c r="B1900" s="10" t="inlineStr">
        <is>
          <t>Insumo</t>
        </is>
      </c>
      <c r="C1900" s="10" t="inlineStr">
        <is>
          <t>36_DRY 90 mm LV - 2 PLACAS - 11,50cm  -  Lado A: PLACA RU - Lado B: PLACA ST</t>
        </is>
      </c>
      <c r="D1900" s="10" t="inlineStr">
        <is>
          <t>FITA DE PAPEL MICROPERFURADO, 50 X 150 MM, PARA TRATAMENTO DE JUNTAS DE CHAPA DE GESSO PARA DRYWALL</t>
        </is>
      </c>
      <c r="E1900" s="11">
        <f t="array" ref="E1900">_xlfn.XLOOKUP(D1900,Insumos!B:B,Insumos!C:$C)</f>
        <v/>
      </c>
      <c r="F1900" s="14" t="n">
        <v>2.5027</v>
      </c>
      <c r="G1900" s="92">
        <f t="array" ref="G1900">IF(B1900="insumo",_xlfn.XLOOKUP($D1900,Insumos!$B$1:$B$996,Insumos!$D$1:$D$996),"")</f>
        <v/>
      </c>
      <c r="H1900" s="92" t="n">
        <v>0.775837</v>
      </c>
      <c r="I1900" s="2162" t="n">
        <v>0</v>
      </c>
      <c r="J1900" s="2162" t="n">
        <v>0</v>
      </c>
      <c r="K1900" s="2162" t="n"/>
    </row>
    <row r="1901" outlineLevel="3" ht="15.75" customHeight="1">
      <c r="A1901" s="10" t="n">
        <v>94</v>
      </c>
      <c r="B1901" s="10" t="inlineStr">
        <is>
          <t>Insumo</t>
        </is>
      </c>
      <c r="C1901" s="10" t="inlineStr">
        <is>
          <t>36_DRY 90 mm LV - 2 PLACAS - 11,50cm  -  Lado A: PLACA RU - Lado B: PLACA ST</t>
        </is>
      </c>
      <c r="D1901" s="10" t="inlineStr">
        <is>
          <t>FITA DE PAPEL REFORCADA COM LAMINA DE METAL PARA REFORCO DE CANTOS DE CHAPA DE GESSO PARA DRYWALL</t>
        </is>
      </c>
      <c r="E1901" s="11">
        <f t="array" ref="E1901">_xlfn.XLOOKUP(D1901,Insumos!B:B,Insumos!C:$C)</f>
        <v/>
      </c>
      <c r="F1901" s="14" t="n">
        <v>1.5851</v>
      </c>
      <c r="G1901" s="92">
        <f t="array" ref="G1901">IF(B1901="insumo",_xlfn.XLOOKUP($D1901,Insumos!$B$1:$B$996,Insumos!$D$1:$D$996),"")</f>
        <v/>
      </c>
      <c r="H1901" s="92" t="n">
        <v>4.343174</v>
      </c>
      <c r="I1901" s="2162" t="n">
        <v>0</v>
      </c>
      <c r="J1901" s="2162" t="n">
        <v>0</v>
      </c>
      <c r="K1901" s="2162" t="n"/>
    </row>
    <row r="1902" outlineLevel="3" ht="15.75" customHeight="1">
      <c r="A1902" s="10" t="n">
        <v>97</v>
      </c>
      <c r="B1902" s="10" t="inlineStr">
        <is>
          <t>Insumo</t>
        </is>
      </c>
      <c r="C1902" s="10" t="inlineStr">
        <is>
          <t>36_DRY 90 mm LV - 2 PLACAS - 11,50cm  -  Lado A: PLACA RU - Lado B: PLACA ST</t>
        </is>
      </c>
      <c r="D1902" s="10" t="inlineStr">
        <is>
          <t>PARAFUSO DRY WALL, EM ACO FOSFATIZADO, CABECA TROMBETA E PONTA AGULHA (TA), COMPRIMENTO 25 MM</t>
        </is>
      </c>
      <c r="E1902" s="11">
        <f t="array" ref="E1902">_xlfn.XLOOKUP(D1902,Insumos!B:B,Insumos!C:$C)</f>
        <v/>
      </c>
      <c r="F1902" s="14" t="n">
        <v>20.1868</v>
      </c>
      <c r="G1902" s="92">
        <f t="array" ref="G1902">IF(B1902="insumo",_xlfn.XLOOKUP($D1902,Insumos!$B$1:$B$996,Insumos!$D$1:$D$996),"")</f>
        <v/>
      </c>
      <c r="H1902" s="92" t="n">
        <v>1.816812</v>
      </c>
      <c r="I1902" s="2162" t="n">
        <v>0</v>
      </c>
      <c r="J1902" s="2162" t="n">
        <v>0</v>
      </c>
      <c r="K1902" s="2162" t="n"/>
    </row>
    <row r="1903" outlineLevel="3" ht="15.75" customHeight="1">
      <c r="A1903" s="10" t="n">
        <v>95</v>
      </c>
      <c r="B1903" s="10" t="inlineStr">
        <is>
          <t>Insumo</t>
        </is>
      </c>
      <c r="C1903" s="10" t="inlineStr">
        <is>
          <t>36_DRY 90 mm LV - 2 PLACAS - 11,50cm  -  Lado A: PLACA RU - Lado B: PLACA ST</t>
        </is>
      </c>
      <c r="D1903" s="10" t="inlineStr">
        <is>
          <t>PARAFUSO DRY WALL, EM ACO ZINCADO, CABECA LENTILHA E PONTA BROCA (LB), LARGURA 4,2 MM, COMPRIMENTO 13 MM</t>
        </is>
      </c>
      <c r="E1903" s="11">
        <f t="array" ref="E1903">_xlfn.XLOOKUP(D1903,Insumos!B:B,Insumos!C:$C)</f>
        <v/>
      </c>
      <c r="F1903" s="14" t="n">
        <v>0.5441</v>
      </c>
      <c r="G1903" s="92">
        <f t="array" ref="G1903">IF(B1903="insumo",_xlfn.XLOOKUP($D1903,Insumos!$B$1:$B$996,Insumos!$D$1:$D$996),"")</f>
        <v/>
      </c>
      <c r="H1903" s="92" t="n">
        <v>0.10882</v>
      </c>
      <c r="I1903" s="2162" t="n">
        <v>0</v>
      </c>
      <c r="J1903" s="2162" t="n">
        <v>0</v>
      </c>
      <c r="K1903" s="2162" t="n"/>
    </row>
    <row r="1904" outlineLevel="3" ht="15.75" customHeight="1">
      <c r="A1904" s="10" t="n">
        <v>35</v>
      </c>
      <c r="B1904" s="10" t="inlineStr">
        <is>
          <t>Insumo</t>
        </is>
      </c>
      <c r="C1904" s="10" t="inlineStr">
        <is>
          <t>36_DRY 90 mm LV - 2 PLACAS - 11,50cm  -  Lado A: PLACA RU - Lado B: PLACA ST</t>
        </is>
      </c>
      <c r="D1904" s="10" t="inlineStr">
        <is>
          <t>Lã de pet 50 X 1200 X 12500 MM</t>
        </is>
      </c>
      <c r="E1904" s="11">
        <f t="array" ref="E1904">_xlfn.XLOOKUP(D1904,Insumos!B:B,Insumos!C:$C)</f>
        <v/>
      </c>
      <c r="F1904" s="14" t="n">
        <v>1.1</v>
      </c>
      <c r="G1904" s="92">
        <f t="array" ref="G1904">IF(B1904="insumo",_xlfn.XLOOKUP($D1904,Insumos!$B$1:$B$996,Insumos!$D$1:$D$996),"")</f>
        <v/>
      </c>
      <c r="H1904" s="92" t="n">
        <v>14.3212666666667</v>
      </c>
      <c r="I1904" s="2162" t="n">
        <v>0</v>
      </c>
      <c r="J1904" s="2162" t="n">
        <v>0</v>
      </c>
      <c r="K1904" s="2162" t="n"/>
    </row>
    <row r="1905" outlineLevel="2" ht="15.75" customHeight="1">
      <c r="A1905" s="1067" t="n">
        <v>1</v>
      </c>
      <c r="B1905" s="1067" t="inlineStr">
        <is>
          <t>Serviço</t>
        </is>
      </c>
      <c r="C1905" s="1067" t="inlineStr">
        <is>
          <t>36_DRY 90 mm LV - 2 PLACAS - 11,50cm  -  Lado A: PLACA ST - Lado B: PLACA ST</t>
        </is>
      </c>
      <c r="D1905" s="1067" t="inlineStr">
        <is>
          <t>36_DRY 90 mm LV - 2 PLACAS - 11,50cm  -  Lado A: PLACA ST - Lado B: PLACA ST</t>
        </is>
      </c>
      <c r="E1905" s="1068" t="inlineStr">
        <is>
          <t>M2</t>
        </is>
      </c>
      <c r="F1905" s="1067" t="n"/>
      <c r="G1905" s="1069">
        <f t="array" ref="G1905">IF(B1905="insumo",_xlfn.XLOOKUP($D1905,Insumos!$B$1:$B$996,Insumos!$D$1:$D$996),"")</f>
        <v/>
      </c>
      <c r="H1905" s="1069" t="n">
        <v>226.126174666667</v>
      </c>
      <c r="I1905" s="2161" t="n">
        <v>0</v>
      </c>
      <c r="J1905" s="2161" t="n">
        <v>0</v>
      </c>
      <c r="K1905" s="2161" t="n"/>
    </row>
    <row r="1906" outlineLevel="3" ht="15.75" customHeight="1">
      <c r="A1906" s="10" t="n">
        <v>86</v>
      </c>
      <c r="B1906" s="10" t="inlineStr">
        <is>
          <t>Insumo</t>
        </is>
      </c>
      <c r="C1906" s="10" t="inlineStr">
        <is>
          <t>36_DRY 90 mm LV - 2 PLACAS - 11,50cm  -  Lado A: PLACA ST - Lado B: PLACA ST</t>
        </is>
      </c>
      <c r="D1906" s="10" t="inlineStr">
        <is>
          <t>SERVICO - CONFECCAO SHAFT GESSO</t>
        </is>
      </c>
      <c r="E1906" s="11">
        <f t="array" ref="E1906">_xlfn.XLOOKUP(D1906,Insumos!B:B,Insumos!C:$C)</f>
        <v/>
      </c>
      <c r="F1906" s="14" t="n">
        <v>1</v>
      </c>
      <c r="G1906" s="92">
        <f t="array" ref="G1906">IF(B1906="insumo",_xlfn.XLOOKUP($D1906,Insumos!$B$1:$B$996,Insumos!$D$1:$D$996),"")</f>
        <v/>
      </c>
      <c r="H1906" s="92" t="n">
        <v>70</v>
      </c>
      <c r="I1906" s="2162" t="n">
        <v>0</v>
      </c>
      <c r="J1906" s="2162" t="n">
        <v>0</v>
      </c>
      <c r="K1906" s="2162" t="n"/>
    </row>
    <row r="1907" outlineLevel="3" ht="15.75" customHeight="1">
      <c r="A1907" s="10" t="n">
        <v>47</v>
      </c>
      <c r="B1907" s="10" t="inlineStr">
        <is>
          <t>Insumo</t>
        </is>
      </c>
      <c r="C1907" s="10" t="inlineStr">
        <is>
          <t>36_DRY 90 mm LV - 2 PLACAS - 11,50cm  -  Lado A: PLACA ST - Lado B: PLACA ST</t>
        </is>
      </c>
      <c r="D1907" s="10" t="inlineStr">
        <is>
          <t>PLACA / CHAPA DE GESSO ACARTONADO, STANDARD (ST), COR BRANCA, E = 12,5 MM, 1200 X 2400 MM (L X C)</t>
        </is>
      </c>
      <c r="E1907" s="11">
        <f t="array" ref="E1907">_xlfn.XLOOKUP(D1907,Insumos!B:B,Insumos!C:$C)</f>
        <v/>
      </c>
      <c r="F1907" s="14" t="n">
        <v>2.106</v>
      </c>
      <c r="G1907" s="92">
        <f t="array" ref="G1907">IF(B1907="insumo",_xlfn.XLOOKUP($D1907,Insumos!$B$1:$B$996,Insumos!$D$1:$D$996),"")</f>
        <v/>
      </c>
      <c r="H1907" s="92" t="n">
        <v>42.45696</v>
      </c>
      <c r="I1907" s="2162" t="n">
        <v>0</v>
      </c>
      <c r="J1907" s="2162" t="n">
        <v>0</v>
      </c>
      <c r="K1907" s="2162" t="n"/>
    </row>
    <row r="1908" outlineLevel="3" ht="15.75" customHeight="1">
      <c r="A1908" s="10" t="n">
        <v>95</v>
      </c>
      <c r="B1908" s="10" t="inlineStr">
        <is>
          <t>Insumo</t>
        </is>
      </c>
      <c r="C1908" s="10" t="inlineStr">
        <is>
          <t>36_DRY 90 mm LV - 2 PLACAS - 11,50cm  -  Lado A: PLACA ST - Lado B: PLACA ST</t>
        </is>
      </c>
      <c r="D1908" s="10" t="inlineStr">
        <is>
          <t>PINO DE ACO COM ARRUELA CONICA, DIAMETRO ARRUELA = *23* MM E COMP HASTE = *27* MM (ACAO INDIRETA)</t>
        </is>
      </c>
      <c r="E1908" s="11">
        <f t="array" ref="E1908">_xlfn.XLOOKUP(D1908,Insumos!B:B,Insumos!C:$C)</f>
        <v/>
      </c>
      <c r="F1908" s="14" t="n">
        <v>5.92</v>
      </c>
      <c r="G1908" s="92">
        <f t="array" ref="G1908">IF(B1908="insumo",_xlfn.XLOOKUP($D1908,Insumos!$B$1:$B$996,Insumos!$D$1:$D$996),"")</f>
        <v/>
      </c>
      <c r="H1908" s="92" t="n">
        <v>2.98368</v>
      </c>
      <c r="I1908" s="2162" t="n">
        <v>0</v>
      </c>
      <c r="J1908" s="2162" t="n">
        <v>0</v>
      </c>
      <c r="K1908" s="2162" t="n"/>
    </row>
    <row r="1909" outlineLevel="3" ht="15.75" customHeight="1">
      <c r="A1909" s="10" t="n">
        <v>26</v>
      </c>
      <c r="B1909" s="10" t="inlineStr">
        <is>
          <t>Insumo</t>
        </is>
      </c>
      <c r="C1909" s="10" t="inlineStr">
        <is>
          <t>36_DRY 90 mm LV - 2 PLACAS - 11,50cm  -  Lado A: PLACA ST - Lado B: PLACA ST</t>
        </is>
      </c>
      <c r="D1909" s="10" t="inlineStr">
        <is>
          <t>PERFIL GUIA, FORMATO U, EM ACO ZINCADO, PARA ESTRUTURA PAREDE DRYWALL, E = 0,5 MM, 90 X 3000 MM (L X C)</t>
        </is>
      </c>
      <c r="E1909" s="11">
        <f t="array" ref="E1909">_xlfn.XLOOKUP(D1909,Insumos!B:B,Insumos!C:$C)</f>
        <v/>
      </c>
      <c r="F1909" s="14" t="n">
        <v>1.5248</v>
      </c>
      <c r="G1909" s="92">
        <f t="array" ref="G1909">IF(B1909="insumo",_xlfn.XLOOKUP($D1909,Insumos!$B$1:$B$996,Insumos!$D$1:$D$996),"")</f>
        <v/>
      </c>
      <c r="H1909" s="92" t="n">
        <v>13.174272</v>
      </c>
      <c r="I1909" s="2162" t="n">
        <v>0</v>
      </c>
      <c r="J1909" s="2162" t="n">
        <v>0</v>
      </c>
      <c r="K1909" s="2162" t="n"/>
    </row>
    <row r="1910" outlineLevel="3" ht="15.75" customHeight="1">
      <c r="A1910" s="10" t="n">
        <v>26</v>
      </c>
      <c r="B1910" s="10" t="inlineStr">
        <is>
          <t>Insumo</t>
        </is>
      </c>
      <c r="C1910" s="10" t="inlineStr">
        <is>
          <t>36_DRY 90 mm LV - 2 PLACAS - 11,50cm  -  Lado A: PLACA ST - Lado B: PLACA ST</t>
        </is>
      </c>
      <c r="D1910" s="10" t="inlineStr">
        <is>
          <t>PERFIL MONTANTE, FORMATO C, EM ACO ZINCADO, PARA ESTRUTURA PAREDE DRYWALL, E = 0,5 MM, 90 X 3000 MM (L X C)</t>
        </is>
      </c>
      <c r="E1910" s="11">
        <f t="array" ref="E1910">_xlfn.XLOOKUP(D1910,Insumos!B:B,Insumos!C:$C)</f>
        <v/>
      </c>
      <c r="F1910" s="14" t="n">
        <v>4.0011</v>
      </c>
      <c r="G1910" s="92">
        <f t="array" ref="G1910">IF(B1910="insumo",_xlfn.XLOOKUP($D1910,Insumos!$B$1:$B$996,Insumos!$D$1:$D$996),"")</f>
        <v/>
      </c>
      <c r="H1910" s="92" t="n">
        <v>72.37989899999999</v>
      </c>
      <c r="I1910" s="2162" t="n">
        <v>0</v>
      </c>
      <c r="J1910" s="2162" t="n">
        <v>0</v>
      </c>
      <c r="K1910" s="2162" t="n"/>
    </row>
    <row r="1911" outlineLevel="3" ht="15.75" customHeight="1">
      <c r="A1911" s="10" t="n">
        <v>95</v>
      </c>
      <c r="B1911" s="10" t="inlineStr">
        <is>
          <t>Insumo</t>
        </is>
      </c>
      <c r="C1911" s="10" t="inlineStr">
        <is>
          <t>36_DRY 90 mm LV - 2 PLACAS - 11,50cm  -  Lado A: PLACA ST - Lado B: PLACA ST</t>
        </is>
      </c>
      <c r="D1911" s="10" t="inlineStr">
        <is>
          <t>MASSA DE REJUNTE EM PO PARA DRYWALL, A BASE DE GESSO, SECAGEM RAPIDA, PARA TRATAMENTO DE JUNTAS DE CHAPA DE GESSO (NECESSITA ADICAO DE AGUA)</t>
        </is>
      </c>
      <c r="E1911" s="11">
        <f t="array" ref="E1911">_xlfn.XLOOKUP(D1911,Insumos!B:B,Insumos!C:$C)</f>
        <v/>
      </c>
      <c r="F1911" s="14" t="n">
        <v>1.0978</v>
      </c>
      <c r="G1911" s="92">
        <f t="array" ref="G1911">IF(B1911="insumo",_xlfn.XLOOKUP($D1911,Insumos!$B$1:$B$996,Insumos!$D$1:$D$996),"")</f>
        <v/>
      </c>
      <c r="H1911" s="92" t="n">
        <v>3.765454</v>
      </c>
      <c r="I1911" s="2162" t="n">
        <v>0</v>
      </c>
      <c r="J1911" s="2162" t="n">
        <v>0</v>
      </c>
      <c r="K1911" s="2162" t="n"/>
    </row>
    <row r="1912" outlineLevel="3" ht="15.75" customHeight="1">
      <c r="A1912" s="10" t="n">
        <v>94</v>
      </c>
      <c r="B1912" s="10" t="inlineStr">
        <is>
          <t>Insumo</t>
        </is>
      </c>
      <c r="C1912" s="10" t="inlineStr">
        <is>
          <t>36_DRY 90 mm LV - 2 PLACAS - 11,50cm  -  Lado A: PLACA ST - Lado B: PLACA ST</t>
        </is>
      </c>
      <c r="D1912" s="10" t="inlineStr">
        <is>
          <t>FITA DE PAPEL MICROPERFURADO, 50 X 150 MM, PARA TRATAMENTO DE JUNTAS DE CHAPA DE GESSO PARA DRYWALL</t>
        </is>
      </c>
      <c r="E1912" s="11">
        <f t="array" ref="E1912">_xlfn.XLOOKUP(D1912,Insumos!B:B,Insumos!C:$C)</f>
        <v/>
      </c>
      <c r="F1912" s="14" t="n">
        <v>2.5027</v>
      </c>
      <c r="G1912" s="92">
        <f t="array" ref="G1912">IF(B1912="insumo",_xlfn.XLOOKUP($D1912,Insumos!$B$1:$B$996,Insumos!$D$1:$D$996),"")</f>
        <v/>
      </c>
      <c r="H1912" s="92" t="n">
        <v>0.775837</v>
      </c>
      <c r="I1912" s="2162" t="n">
        <v>0</v>
      </c>
      <c r="J1912" s="2162" t="n">
        <v>0</v>
      </c>
      <c r="K1912" s="2162" t="n"/>
    </row>
    <row r="1913" outlineLevel="3" ht="15.75" customHeight="1">
      <c r="A1913" s="10" t="n">
        <v>94</v>
      </c>
      <c r="B1913" s="10" t="inlineStr">
        <is>
          <t>Insumo</t>
        </is>
      </c>
      <c r="C1913" s="10" t="inlineStr">
        <is>
          <t>36_DRY 90 mm LV - 2 PLACAS - 11,50cm  -  Lado A: PLACA ST - Lado B: PLACA ST</t>
        </is>
      </c>
      <c r="D1913" s="10" t="inlineStr">
        <is>
          <t>FITA DE PAPEL REFORCADA COM LAMINA DE METAL PARA REFORCO DE CANTOS DE CHAPA DE GESSO PARA DRYWALL</t>
        </is>
      </c>
      <c r="E1913" s="11">
        <f t="array" ref="E1913">_xlfn.XLOOKUP(D1913,Insumos!B:B,Insumos!C:$C)</f>
        <v/>
      </c>
      <c r="F1913" s="14" t="n">
        <v>1.5851</v>
      </c>
      <c r="G1913" s="92">
        <f t="array" ref="G1913">IF(B1913="insumo",_xlfn.XLOOKUP($D1913,Insumos!$B$1:$B$996,Insumos!$D$1:$D$996),"")</f>
        <v/>
      </c>
      <c r="H1913" s="92" t="n">
        <v>4.343174</v>
      </c>
      <c r="I1913" s="2162" t="n">
        <v>0</v>
      </c>
      <c r="J1913" s="2162" t="n">
        <v>0</v>
      </c>
      <c r="K1913" s="2162" t="n"/>
    </row>
    <row r="1914" outlineLevel="3" ht="15.75" customHeight="1">
      <c r="A1914" s="10" t="n">
        <v>97</v>
      </c>
      <c r="B1914" s="10" t="inlineStr">
        <is>
          <t>Insumo</t>
        </is>
      </c>
      <c r="C1914" s="10" t="inlineStr">
        <is>
          <t>36_DRY 90 mm LV - 2 PLACAS - 11,50cm  -  Lado A: PLACA ST - Lado B: PLACA ST</t>
        </is>
      </c>
      <c r="D1914" s="10" t="inlineStr">
        <is>
          <t>PARAFUSO DRY WALL, EM ACO FOSFATIZADO, CABECA TROMBETA E PONTA AGULHA (TA), COMPRIMENTO 25 MM</t>
        </is>
      </c>
      <c r="E1914" s="11">
        <f t="array" ref="E1914">_xlfn.XLOOKUP(D1914,Insumos!B:B,Insumos!C:$C)</f>
        <v/>
      </c>
      <c r="F1914" s="14" t="n">
        <v>20.1868</v>
      </c>
      <c r="G1914" s="92">
        <f t="array" ref="G1914">IF(B1914="insumo",_xlfn.XLOOKUP($D1914,Insumos!$B$1:$B$996,Insumos!$D$1:$D$996),"")</f>
        <v/>
      </c>
      <c r="H1914" s="92" t="n">
        <v>1.816812</v>
      </c>
      <c r="I1914" s="2162" t="n">
        <v>0</v>
      </c>
      <c r="J1914" s="2162" t="n">
        <v>0</v>
      </c>
      <c r="K1914" s="2162" t="n"/>
    </row>
    <row r="1915" outlineLevel="3" ht="15.75" customHeight="1">
      <c r="A1915" s="10" t="n">
        <v>95</v>
      </c>
      <c r="B1915" s="10" t="inlineStr">
        <is>
          <t>Insumo</t>
        </is>
      </c>
      <c r="C1915" s="10" t="inlineStr">
        <is>
          <t>36_DRY 90 mm LV - 2 PLACAS - 11,50cm  -  Lado A: PLACA ST - Lado B: PLACA ST</t>
        </is>
      </c>
      <c r="D1915" s="10" t="inlineStr">
        <is>
          <t>PARAFUSO DRY WALL, EM ACO ZINCADO, CABECA LENTILHA E PONTA BROCA (LB), LARGURA 4,2 MM, COMPRIMENTO 13 MM</t>
        </is>
      </c>
      <c r="E1915" s="11">
        <f t="array" ref="E1915">_xlfn.XLOOKUP(D1915,Insumos!B:B,Insumos!C:$C)</f>
        <v/>
      </c>
      <c r="F1915" s="14" t="n">
        <v>0.5441</v>
      </c>
      <c r="G1915" s="92">
        <f t="array" ref="G1915">IF(B1915="insumo",_xlfn.XLOOKUP($D1915,Insumos!$B$1:$B$996,Insumos!$D$1:$D$996),"")</f>
        <v/>
      </c>
      <c r="H1915" s="92" t="n">
        <v>0.10882</v>
      </c>
      <c r="I1915" s="2162" t="n">
        <v>0</v>
      </c>
      <c r="J1915" s="2162" t="n">
        <v>0</v>
      </c>
      <c r="K1915" s="2162" t="n"/>
    </row>
    <row r="1916" outlineLevel="3" ht="15.75" customHeight="1">
      <c r="A1916" s="10" t="n">
        <v>35</v>
      </c>
      <c r="B1916" s="10" t="inlineStr">
        <is>
          <t>Insumo</t>
        </is>
      </c>
      <c r="C1916" s="10" t="inlineStr">
        <is>
          <t>36_DRY 90 mm LV - 2 PLACAS - 11,50cm  -  Lado A: PLACA ST - Lado B: PLACA ST</t>
        </is>
      </c>
      <c r="D1916" s="10" t="inlineStr">
        <is>
          <t>Lã de pet 50 X 1200 X 12500 MM</t>
        </is>
      </c>
      <c r="E1916" s="11">
        <f t="array" ref="E1916">_xlfn.XLOOKUP(D1916,Insumos!B:B,Insumos!C:$C)</f>
        <v/>
      </c>
      <c r="F1916" s="14" t="n">
        <v>1.1</v>
      </c>
      <c r="G1916" s="92">
        <f t="array" ref="G1916">IF(B1916="insumo",_xlfn.XLOOKUP($D1916,Insumos!$B$1:$B$996,Insumos!$D$1:$D$996),"")</f>
        <v/>
      </c>
      <c r="H1916" s="92" t="n">
        <v>14.3212666666667</v>
      </c>
      <c r="I1916" s="2162" t="n">
        <v>0</v>
      </c>
      <c r="J1916" s="2162" t="n">
        <v>0</v>
      </c>
      <c r="K1916" s="2162" t="n"/>
    </row>
    <row r="1917" outlineLevel="2" ht="15.75" customHeight="1">
      <c r="A1917" s="1067" t="n">
        <v>1</v>
      </c>
      <c r="B1917" s="1067" t="inlineStr">
        <is>
          <t>Serviço</t>
        </is>
      </c>
      <c r="C1917" s="1067" t="inlineStr">
        <is>
          <t>36_DRY 90 mm LV - 1 PLACA - 10,25cm  -  Lado A: PLACA ST - Lado B: N/A</t>
        </is>
      </c>
      <c r="D1917" s="1067" t="inlineStr">
        <is>
          <t>36_DRY 90 mm LV - 1 PLACA - 10,25cm  -  Lado A: PLACA ST - Lado B: N/A</t>
        </is>
      </c>
      <c r="E1917" s="1068" t="inlineStr">
        <is>
          <t>M2</t>
        </is>
      </c>
      <c r="F1917" s="1067" t="n"/>
      <c r="G1917" s="1069">
        <f t="array" ref="G1917">IF(B1917="insumo",_xlfn.XLOOKUP($D1917,Insumos!$B$1:$B$996,Insumos!$D$1:$D$996),"")</f>
        <v/>
      </c>
      <c r="H1917" s="1069" t="n">
        <v>200.615536166667</v>
      </c>
      <c r="I1917" s="2161" t="n">
        <v>0</v>
      </c>
      <c r="J1917" s="2161" t="n">
        <v>0</v>
      </c>
      <c r="K1917" s="2161" t="n"/>
    </row>
    <row r="1918" outlineLevel="3" ht="15.75" customHeight="1">
      <c r="A1918" s="10" t="n">
        <v>86</v>
      </c>
      <c r="B1918" s="10" t="inlineStr">
        <is>
          <t>Insumo</t>
        </is>
      </c>
      <c r="C1918" s="10" t="inlineStr">
        <is>
          <t>36_DRY 90 mm LV - 1 PLACA - 10,25cm  -  Lado A: PLACA ST - Lado B: N/A</t>
        </is>
      </c>
      <c r="D1918" s="10" t="inlineStr">
        <is>
          <t>SERVICO - CONFECCAO SHAFT GESSO</t>
        </is>
      </c>
      <c r="E1918" s="11">
        <f t="array" ref="E1918">_xlfn.XLOOKUP(D1918,Insumos!B:B,Insumos!C:$C)</f>
        <v/>
      </c>
      <c r="F1918" s="14" t="n">
        <v>1</v>
      </c>
      <c r="G1918" s="92">
        <f t="array" ref="G1918">IF(B1918="insumo",_xlfn.XLOOKUP($D1918,Insumos!$B$1:$B$996,Insumos!$D$1:$D$996),"")</f>
        <v/>
      </c>
      <c r="H1918" s="92" t="n">
        <v>70</v>
      </c>
      <c r="I1918" s="2162" t="n">
        <v>0</v>
      </c>
      <c r="J1918" s="2162" t="n">
        <v>0</v>
      </c>
      <c r="K1918" s="2162" t="n"/>
    </row>
    <row r="1919" outlineLevel="3" ht="15.75" customHeight="1">
      <c r="A1919" s="10" t="n">
        <v>47</v>
      </c>
      <c r="B1919" s="10" t="inlineStr">
        <is>
          <t>Insumo</t>
        </is>
      </c>
      <c r="C1919" s="10" t="inlineStr">
        <is>
          <t>36_DRY 90 mm LV - 1 PLACA - 10,25cm  -  Lado A: PLACA ST - Lado B: N/A</t>
        </is>
      </c>
      <c r="D1919" s="10" t="inlineStr">
        <is>
          <t>PLACA / CHAPA DE GESSO ACARTONADO, STANDARD (ST), COR BRANCA, E = 12,5 MM, 1200 X 2400 MM (L X C)</t>
        </is>
      </c>
      <c r="E1919" s="11">
        <f t="array" ref="E1919">_xlfn.XLOOKUP(D1919,Insumos!B:B,Insumos!C:$C)</f>
        <v/>
      </c>
      <c r="F1919" s="14" t="n">
        <v>1.106</v>
      </c>
      <c r="G1919" s="92">
        <f t="array" ref="G1919">IF(B1919="insumo",_xlfn.XLOOKUP($D1919,Insumos!$B$1:$B$996,Insumos!$D$1:$D$996),"")</f>
        <v/>
      </c>
      <c r="H1919" s="92" t="n">
        <v>22.29696</v>
      </c>
      <c r="I1919" s="2162" t="n">
        <v>0</v>
      </c>
      <c r="J1919" s="2162" t="n">
        <v>0</v>
      </c>
      <c r="K1919" s="2162" t="n"/>
    </row>
    <row r="1920" outlineLevel="3" ht="15.75" customHeight="1">
      <c r="A1920" s="10" t="n">
        <v>95</v>
      </c>
      <c r="B1920" s="10" t="inlineStr">
        <is>
          <t>Insumo</t>
        </is>
      </c>
      <c r="C1920" s="10" t="inlineStr">
        <is>
          <t>36_DRY 90 mm LV - 1 PLACA - 10,25cm  -  Lado A: PLACA ST - Lado B: N/A</t>
        </is>
      </c>
      <c r="D1920" s="10" t="inlineStr">
        <is>
          <t>PINO DE ACO COM ARRUELA CONICA, DIAMETRO ARRUELA = *23* MM E COMP HASTE = *27* MM (ACAO INDIRETA)</t>
        </is>
      </c>
      <c r="E1920" s="11">
        <f t="array" ref="E1920">_xlfn.XLOOKUP(D1920,Insumos!B:B,Insumos!C:$C)</f>
        <v/>
      </c>
      <c r="F1920" s="14" t="n">
        <v>5.92</v>
      </c>
      <c r="G1920" s="92">
        <f t="array" ref="G1920">IF(B1920="insumo",_xlfn.XLOOKUP($D1920,Insumos!$B$1:$B$996,Insumos!$D$1:$D$996),"")</f>
        <v/>
      </c>
      <c r="H1920" s="92" t="n">
        <v>2.98368</v>
      </c>
      <c r="I1920" s="2162" t="n">
        <v>0</v>
      </c>
      <c r="J1920" s="2162" t="n">
        <v>0</v>
      </c>
      <c r="K1920" s="2162" t="n"/>
    </row>
    <row r="1921" outlineLevel="3" ht="15.75" customHeight="1">
      <c r="A1921" s="10" t="n">
        <v>26</v>
      </c>
      <c r="B1921" s="10" t="inlineStr">
        <is>
          <t>Insumo</t>
        </is>
      </c>
      <c r="C1921" s="10" t="inlineStr">
        <is>
          <t>36_DRY 90 mm LV - 1 PLACA - 10,25cm  -  Lado A: PLACA ST - Lado B: N/A</t>
        </is>
      </c>
      <c r="D1921" s="10" t="inlineStr">
        <is>
          <t>PERFIL GUIA, FORMATO U, EM ACO ZINCADO, PARA ESTRUTURA PAREDE DRYWALL, E = 0,5 MM, 90 X 3000 MM (L X C)</t>
        </is>
      </c>
      <c r="E1921" s="11">
        <f t="array" ref="E1921">_xlfn.XLOOKUP(D1921,Insumos!B:B,Insumos!C:$C)</f>
        <v/>
      </c>
      <c r="F1921" s="14" t="n">
        <v>1.5248</v>
      </c>
      <c r="G1921" s="92">
        <f t="array" ref="G1921">IF(B1921="insumo",_xlfn.XLOOKUP($D1921,Insumos!$B$1:$B$996,Insumos!$D$1:$D$996),"")</f>
        <v/>
      </c>
      <c r="H1921" s="92" t="n">
        <v>13.174272</v>
      </c>
      <c r="I1921" s="2162" t="n">
        <v>0</v>
      </c>
      <c r="J1921" s="2162" t="n">
        <v>0</v>
      </c>
      <c r="K1921" s="2162" t="n"/>
    </row>
    <row r="1922" outlineLevel="3" ht="15.75" customHeight="1">
      <c r="A1922" s="10" t="n">
        <v>26</v>
      </c>
      <c r="B1922" s="10" t="inlineStr">
        <is>
          <t>Insumo</t>
        </is>
      </c>
      <c r="C1922" s="10" t="inlineStr">
        <is>
          <t>36_DRY 90 mm LV - 1 PLACA - 10,25cm  -  Lado A: PLACA ST - Lado B: N/A</t>
        </is>
      </c>
      <c r="D1922" s="10" t="inlineStr">
        <is>
          <t>PERFIL MONTANTE, FORMATO C, EM ACO ZINCADO, PARA ESTRUTURA PAREDE DRYWALL, E = 0,5 MM, 90 X 3000 MM (L X C)</t>
        </is>
      </c>
      <c r="E1922" s="11">
        <f t="array" ref="E1922">_xlfn.XLOOKUP(D1922,Insumos!B:B,Insumos!C:$C)</f>
        <v/>
      </c>
      <c r="F1922" s="14" t="n">
        <v>4.0011</v>
      </c>
      <c r="G1922" s="92">
        <f t="array" ref="G1922">IF(B1922="insumo",_xlfn.XLOOKUP($D1922,Insumos!$B$1:$B$996,Insumos!$D$1:$D$996),"")</f>
        <v/>
      </c>
      <c r="H1922" s="92" t="n">
        <v>72.37989899999999</v>
      </c>
      <c r="I1922" s="2162" t="n">
        <v>0</v>
      </c>
      <c r="J1922" s="2162" t="n">
        <v>0</v>
      </c>
      <c r="K1922" s="2162" t="n"/>
    </row>
    <row r="1923" outlineLevel="3" ht="15.75" customHeight="1">
      <c r="A1923" s="10" t="n">
        <v>95</v>
      </c>
      <c r="B1923" s="10" t="inlineStr">
        <is>
          <t>Insumo</t>
        </is>
      </c>
      <c r="C1923" s="10" t="inlineStr">
        <is>
          <t>36_DRY 90 mm LV - 1 PLACA - 10,25cm  -  Lado A: PLACA ST - Lado B: N/A</t>
        </is>
      </c>
      <c r="D1923" s="10" t="inlineStr">
        <is>
          <t>MASSA DE REJUNTE EM PO PARA DRYWALL, A BASE DE GESSO, SECAGEM RAPIDA, PARA TRATAMENTO DE JUNTAS DE CHAPA DE GESSO (NECESSITA ADICAO DE AGUA)</t>
        </is>
      </c>
      <c r="E1923" s="11">
        <f t="array" ref="E1923">_xlfn.XLOOKUP(D1923,Insumos!B:B,Insumos!C:$C)</f>
        <v/>
      </c>
      <c r="F1923" s="14">
        <f>1.0978/2</f>
        <v/>
      </c>
      <c r="G1923" s="92">
        <f t="array" ref="G1923">IF(B1923="insumo",_xlfn.XLOOKUP($D1923,Insumos!$B$1:$B$996,Insumos!$D$1:$D$996),"")</f>
        <v/>
      </c>
      <c r="H1923" s="92" t="n">
        <v>1.882727</v>
      </c>
      <c r="I1923" s="2162" t="n">
        <v>0</v>
      </c>
      <c r="J1923" s="2162" t="n">
        <v>0</v>
      </c>
      <c r="K1923" s="2162" t="n"/>
    </row>
    <row r="1924" outlineLevel="3" ht="15.75" customHeight="1">
      <c r="A1924" s="10" t="n">
        <v>94</v>
      </c>
      <c r="B1924" s="10" t="inlineStr">
        <is>
          <t>Insumo</t>
        </is>
      </c>
      <c r="C1924" s="10" t="inlineStr">
        <is>
          <t>36_DRY 90 mm LV - 1 PLACA - 10,25cm  -  Lado A: PLACA ST - Lado B: N/A</t>
        </is>
      </c>
      <c r="D1924" s="10" t="inlineStr">
        <is>
          <t>FITA DE PAPEL MICROPERFURADO, 50 X 150 MM, PARA TRATAMENTO DE JUNTAS DE CHAPA DE GESSO PARA DRYWALL</t>
        </is>
      </c>
      <c r="E1924" s="11">
        <f t="array" ref="E1924">_xlfn.XLOOKUP(D1924,Insumos!B:B,Insumos!C:$C)</f>
        <v/>
      </c>
      <c r="F1924" s="14">
        <f>2.5027/2</f>
        <v/>
      </c>
      <c r="G1924" s="92">
        <f t="array" ref="G1924">IF(B1924="insumo",_xlfn.XLOOKUP($D1924,Insumos!$B$1:$B$996,Insumos!$D$1:$D$996),"")</f>
        <v/>
      </c>
      <c r="H1924" s="92" t="n">
        <v>0.3879185</v>
      </c>
      <c r="I1924" s="2162" t="n">
        <v>0</v>
      </c>
      <c r="J1924" s="2162" t="n">
        <v>0</v>
      </c>
      <c r="K1924" s="2162" t="n"/>
    </row>
    <row r="1925" outlineLevel="3" ht="15.75" customHeight="1">
      <c r="A1925" s="10" t="n">
        <v>94</v>
      </c>
      <c r="B1925" s="10" t="inlineStr">
        <is>
          <t>Insumo</t>
        </is>
      </c>
      <c r="C1925" s="10" t="inlineStr">
        <is>
          <t>36_DRY 90 mm LV - 1 PLACA - 10,25cm  -  Lado A: PLACA ST - Lado B: N/A</t>
        </is>
      </c>
      <c r="D1925" s="10" t="inlineStr">
        <is>
          <t>FITA DE PAPEL REFORCADA COM LAMINA DE METAL PARA REFORCO DE CANTOS DE CHAPA DE GESSO PARA DRYWALL</t>
        </is>
      </c>
      <c r="E1925" s="11">
        <f t="array" ref="E1925">_xlfn.XLOOKUP(D1925,Insumos!B:B,Insumos!C:$C)</f>
        <v/>
      </c>
      <c r="F1925" s="14">
        <f>1.5851/2</f>
        <v/>
      </c>
      <c r="G1925" s="92">
        <f t="array" ref="G1925">IF(B1925="insumo",_xlfn.XLOOKUP($D1925,Insumos!$B$1:$B$996,Insumos!$D$1:$D$996),"")</f>
        <v/>
      </c>
      <c r="H1925" s="92" t="n">
        <v>2.171587</v>
      </c>
      <c r="I1925" s="2162" t="n">
        <v>0</v>
      </c>
      <c r="J1925" s="2162" t="n">
        <v>0</v>
      </c>
      <c r="K1925" s="2162" t="n"/>
    </row>
    <row r="1926" outlineLevel="3" ht="15.75" customHeight="1">
      <c r="A1926" s="10" t="n">
        <v>97</v>
      </c>
      <c r="B1926" s="10" t="inlineStr">
        <is>
          <t>Insumo</t>
        </is>
      </c>
      <c r="C1926" s="10" t="inlineStr">
        <is>
          <t>36_DRY 90 mm LV - 1 PLACA - 10,25cm  -  Lado A: PLACA ST - Lado B: N/A</t>
        </is>
      </c>
      <c r="D1926" s="10" t="inlineStr">
        <is>
          <t>PARAFUSO DRY WALL, EM ACO FOSFATIZADO, CABECA TROMBETA E PONTA AGULHA (TA), COMPRIMENTO 25 MM</t>
        </is>
      </c>
      <c r="E1926" s="11">
        <f t="array" ref="E1926">_xlfn.XLOOKUP(D1926,Insumos!B:B,Insumos!C:$C)</f>
        <v/>
      </c>
      <c r="F1926" s="14">
        <f>20.1868/2</f>
        <v/>
      </c>
      <c r="G1926" s="92">
        <f t="array" ref="G1926">IF(B1926="insumo",_xlfn.XLOOKUP($D1926,Insumos!$B$1:$B$996,Insumos!$D$1:$D$996),"")</f>
        <v/>
      </c>
      <c r="H1926" s="92" t="n">
        <v>0.908406</v>
      </c>
      <c r="I1926" s="2162" t="n">
        <v>0</v>
      </c>
      <c r="J1926" s="2162" t="n">
        <v>0</v>
      </c>
      <c r="K1926" s="2162" t="n"/>
    </row>
    <row r="1927" outlineLevel="3" ht="15.75" customHeight="1">
      <c r="A1927" s="10" t="n">
        <v>95</v>
      </c>
      <c r="B1927" s="10" t="inlineStr">
        <is>
          <t>Insumo</t>
        </is>
      </c>
      <c r="C1927" s="10" t="inlineStr">
        <is>
          <t>36_DRY 90 mm LV - 1 PLACA - 10,25cm  -  Lado A: PLACA ST - Lado B: N/A</t>
        </is>
      </c>
      <c r="D1927" s="10" t="inlineStr">
        <is>
          <t>PARAFUSO DRY WALL, EM ACO ZINCADO, CABECA LENTILHA E PONTA BROCA (LB), LARGURA 4,2 MM, COMPRIMENTO 13 MM</t>
        </is>
      </c>
      <c r="E1927" s="11">
        <f t="array" ref="E1927">_xlfn.XLOOKUP(D1927,Insumos!B:B,Insumos!C:$C)</f>
        <v/>
      </c>
      <c r="F1927" s="14" t="n">
        <v>0.5441</v>
      </c>
      <c r="G1927" s="92">
        <f t="array" ref="G1927">IF(B1927="insumo",_xlfn.XLOOKUP($D1927,Insumos!$B$1:$B$996,Insumos!$D$1:$D$996),"")</f>
        <v/>
      </c>
      <c r="H1927" s="92" t="n">
        <v>0.10882</v>
      </c>
      <c r="I1927" s="2162" t="n">
        <v>0</v>
      </c>
      <c r="J1927" s="2162" t="n">
        <v>0</v>
      </c>
      <c r="K1927" s="2162" t="n"/>
    </row>
    <row r="1928" outlineLevel="3" ht="15.75" customHeight="1">
      <c r="A1928" s="10" t="n">
        <v>35</v>
      </c>
      <c r="B1928" s="10" t="inlineStr">
        <is>
          <t>Insumo</t>
        </is>
      </c>
      <c r="C1928" s="10" t="inlineStr">
        <is>
          <t>36_DRY 90 mm LV - 1 PLACA - 10,25cm  -  Lado A: PLACA ST - Lado B: N/A</t>
        </is>
      </c>
      <c r="D1928" s="10" t="inlineStr">
        <is>
          <t>Lã de pet 50 X 1200 X 12500 MM</t>
        </is>
      </c>
      <c r="E1928" s="11">
        <f t="array" ref="E1928">_xlfn.XLOOKUP(D1928,Insumos!B:B,Insumos!C:$C)</f>
        <v/>
      </c>
      <c r="F1928" s="14" t="n">
        <v>1.1</v>
      </c>
      <c r="G1928" s="92">
        <f t="array" ref="G1928">IF(B1928="insumo",_xlfn.XLOOKUP($D1928,Insumos!$B$1:$B$996,Insumos!$D$1:$D$996),"")</f>
        <v/>
      </c>
      <c r="H1928" s="92" t="n">
        <v>14.3212666666667</v>
      </c>
      <c r="I1928" s="2162" t="n">
        <v>0</v>
      </c>
      <c r="J1928" s="2162" t="n">
        <v>0</v>
      </c>
      <c r="K1928" s="2162" t="n"/>
    </row>
    <row r="1929" outlineLevel="2" ht="15.75" customHeight="1">
      <c r="A1929" s="1067" t="n">
        <v>1</v>
      </c>
      <c r="B1929" s="1067" t="inlineStr">
        <is>
          <t>Serviço</t>
        </is>
      </c>
      <c r="C1929" s="1067" t="inlineStr">
        <is>
          <t>36_DRY 90 mm LV - 2 PLACAS - 11,50cm  -  Lado A: PLACA PERFORMANCE RU - Lado B: PLACA CT</t>
        </is>
      </c>
      <c r="D1929" s="1067" t="inlineStr">
        <is>
          <t>36_DRY 90 mm LV - 2 PLACAS - 11,50cm  -  Lado A: PLACA PERFORMANCE RU - Lado B: PLACA CT</t>
        </is>
      </c>
      <c r="E1929" s="1068" t="inlineStr">
        <is>
          <t>M2</t>
        </is>
      </c>
      <c r="F1929" s="1067" t="n"/>
      <c r="G1929" s="1069">
        <f t="array" ref="G1929">IF(B1929="insumo",_xlfn.XLOOKUP($D1929,Insumos!$B$1:$B$996,Insumos!$D$1:$D$996),"")</f>
        <v/>
      </c>
      <c r="H1929" s="1069" t="n">
        <v>246.920893833333</v>
      </c>
      <c r="I1929" s="2161" t="n">
        <v>0</v>
      </c>
      <c r="J1929" s="2161" t="n">
        <v>0</v>
      </c>
      <c r="K1929" s="2161" t="n"/>
    </row>
    <row r="1930" outlineLevel="3" ht="15.75" customHeight="1">
      <c r="A1930" s="10" t="n">
        <v>86</v>
      </c>
      <c r="B1930" s="10" t="inlineStr">
        <is>
          <t>Insumo</t>
        </is>
      </c>
      <c r="C1930" s="10" t="inlineStr">
        <is>
          <t>36_DRY 90 mm LV - 2 PLACAS - 11,50cm  -  Lado A: PLACA PERFORMANCE RU - Lado B: PLACA CT</t>
        </is>
      </c>
      <c r="D1930" s="10" t="inlineStr">
        <is>
          <t>SERVICO - CONFECCAO SHAFT GESSO</t>
        </is>
      </c>
      <c r="E1930" s="11">
        <f t="array" ref="E1930">_xlfn.XLOOKUP(D1930,Insumos!B:B,Insumos!C:$C)</f>
        <v/>
      </c>
      <c r="F1930" s="14" t="n">
        <v>1</v>
      </c>
      <c r="G1930" s="92">
        <f t="array" ref="G1930">IF(B1930="insumo",_xlfn.XLOOKUP($D1930,Insumos!$B$1:$B$996,Insumos!$D$1:$D$996),"")</f>
        <v/>
      </c>
      <c r="H1930" s="92" t="n">
        <v>70</v>
      </c>
      <c r="I1930" s="2162" t="n">
        <v>0</v>
      </c>
      <c r="J1930" s="2162" t="n">
        <v>0</v>
      </c>
      <c r="K1930" s="2162" t="n"/>
    </row>
    <row r="1931" outlineLevel="3" ht="15.75" customHeight="1">
      <c r="A1931" s="10" t="n">
        <v>49</v>
      </c>
      <c r="B1931" s="10" t="inlineStr">
        <is>
          <t>Insumo</t>
        </is>
      </c>
      <c r="C1931" s="10" t="inlineStr">
        <is>
          <t>36_DRY 90 mm LV - 2 PLACAS - 11,50cm  -  Lado A: PLACA PERFORMANCE RU - Lado B: PLACA CT</t>
        </is>
      </c>
      <c r="D1931" s="10" t="inlineStr">
        <is>
          <t>PLACA / CHAPA DE GESSO ACARTONADO, RESISTENTE A UMIDADE (RU), COR VERDE, E = 12,5 MM, 1200 X 2400 MM (L X C)</t>
        </is>
      </c>
      <c r="E1931" s="11">
        <f t="array" ref="E1931">_xlfn.XLOOKUP(D1931,Insumos!B:B,Insumos!C:$C)</f>
        <v/>
      </c>
      <c r="F1931" s="14">
        <f>1.106</f>
        <v/>
      </c>
      <c r="G1931" s="92">
        <f t="array" ref="G1931">IF(B1931="insumo",_xlfn.XLOOKUP($D1931,Insumos!$B$1:$B$996,Insumos!$D$1:$D$996),"")</f>
        <v/>
      </c>
      <c r="H1931" s="92" t="n">
        <v>29.9726</v>
      </c>
      <c r="I1931" s="2162" t="n">
        <v>0</v>
      </c>
      <c r="J1931" s="2162" t="n">
        <v>0</v>
      </c>
      <c r="K1931" s="2162" t="n"/>
    </row>
    <row r="1932" outlineLevel="3" ht="15.75" customHeight="1">
      <c r="A1932" s="10" t="n">
        <v>11</v>
      </c>
      <c r="B1932" s="10" t="inlineStr">
        <is>
          <t>Insumo</t>
        </is>
      </c>
      <c r="C1932" s="10" t="inlineStr">
        <is>
          <t>36_DRY 90 mm LV - 2 PLACAS - 11,50cm  -  Lado A: PLACA PERFORMANCE RU - Lado B: PLACA CT</t>
        </is>
      </c>
      <c r="D1932" s="10" t="inlineStr">
        <is>
          <t>PLACA CIMENTÍCIA(CT) PARA STEEL FRAME BRASILIT-ETERNIT 8MM X 1,20M X 2,40M</t>
        </is>
      </c>
      <c r="E1932" s="11">
        <f t="array" ref="E1932">_xlfn.XLOOKUP(D1932,Insumos!B:B,Insumos!C:$C)</f>
        <v/>
      </c>
      <c r="F1932" s="14" t="n">
        <v>1.106</v>
      </c>
      <c r="G1932" s="92">
        <f t="array" ref="G1932">IF(B1932="insumo",_xlfn.XLOOKUP($D1932,Insumos!$B$1:$B$996,Insumos!$D$1:$D$996),"")</f>
        <v/>
      </c>
      <c r="H1932" s="92" t="n">
        <v>33.2790791666667</v>
      </c>
      <c r="I1932" s="2162" t="n">
        <v>0</v>
      </c>
      <c r="J1932" s="2162" t="n">
        <v>0</v>
      </c>
      <c r="K1932" s="2162" t="n"/>
    </row>
    <row r="1933" outlineLevel="3" ht="15.75" customHeight="1">
      <c r="A1933" s="10" t="n">
        <v>95</v>
      </c>
      <c r="B1933" s="10" t="inlineStr">
        <is>
          <t>Insumo</t>
        </is>
      </c>
      <c r="C1933" s="10" t="inlineStr">
        <is>
          <t>36_DRY 90 mm LV - 2 PLACAS - 11,50cm  -  Lado A: PLACA PERFORMANCE RU - Lado B: PLACA CT</t>
        </is>
      </c>
      <c r="D1933" s="10" t="inlineStr">
        <is>
          <t>PINO DE ACO COM ARRUELA CONICA, DIAMETRO ARRUELA = *23* MM E COMP HASTE = *27* MM (ACAO INDIRETA)</t>
        </is>
      </c>
      <c r="E1933" s="11">
        <f t="array" ref="E1933">_xlfn.XLOOKUP(D1933,Insumos!B:B,Insumos!C:$C)</f>
        <v/>
      </c>
      <c r="F1933" s="14" t="n">
        <v>5.92</v>
      </c>
      <c r="G1933" s="92">
        <f t="array" ref="G1933">IF(B1933="insumo",_xlfn.XLOOKUP($D1933,Insumos!$B$1:$B$996,Insumos!$D$1:$D$996),"")</f>
        <v/>
      </c>
      <c r="H1933" s="92" t="n">
        <v>2.98368</v>
      </c>
      <c r="I1933" s="2162" t="n">
        <v>0</v>
      </c>
      <c r="J1933" s="2162" t="n">
        <v>0</v>
      </c>
      <c r="K1933" s="2162" t="n"/>
    </row>
    <row r="1934" outlineLevel="3" ht="15.75" customHeight="1">
      <c r="A1934" s="10" t="n">
        <v>26</v>
      </c>
      <c r="B1934" s="10" t="inlineStr">
        <is>
          <t>Insumo</t>
        </is>
      </c>
      <c r="C1934" s="10" t="inlineStr">
        <is>
          <t>36_DRY 90 mm LV - 2 PLACAS - 11,50cm  -  Lado A: PLACA PERFORMANCE RU - Lado B: PLACA CT</t>
        </is>
      </c>
      <c r="D1934" s="10" t="inlineStr">
        <is>
          <t>PERFIL GUIA, FORMATO U, EM ACO ZINCADO, PARA ESTRUTURA PAREDE DRYWALL, E = 0,5 MM, 90 X 3000 MM (L X C)</t>
        </is>
      </c>
      <c r="E1934" s="11">
        <f t="array" ref="E1934">_xlfn.XLOOKUP(D1934,Insumos!B:B,Insumos!C:$C)</f>
        <v/>
      </c>
      <c r="F1934" s="14" t="n">
        <v>1.5248</v>
      </c>
      <c r="G1934" s="92">
        <f t="array" ref="G1934">IF(B1934="insumo",_xlfn.XLOOKUP($D1934,Insumos!$B$1:$B$996,Insumos!$D$1:$D$996),"")</f>
        <v/>
      </c>
      <c r="H1934" s="92" t="n">
        <v>13.174272</v>
      </c>
      <c r="I1934" s="2162" t="n">
        <v>0</v>
      </c>
      <c r="J1934" s="2162" t="n">
        <v>0</v>
      </c>
      <c r="K1934" s="2162" t="n"/>
    </row>
    <row r="1935" outlineLevel="3" ht="15.75" customHeight="1">
      <c r="A1935" s="10" t="n">
        <v>26</v>
      </c>
      <c r="B1935" s="10" t="inlineStr">
        <is>
          <t>Insumo</t>
        </is>
      </c>
      <c r="C1935" s="10" t="inlineStr">
        <is>
          <t>36_DRY 90 mm LV - 2 PLACAS - 11,50cm  -  Lado A: PLACA PERFORMANCE RU - Lado B: PLACA CT</t>
        </is>
      </c>
      <c r="D1935" s="10" t="inlineStr">
        <is>
          <t>PERFIL MONTANTE, FORMATO C, EM ACO ZINCADO, PARA ESTRUTURA PAREDE DRYWALL, E = 0,5 MM, 90 X 3000 MM (L X C)</t>
        </is>
      </c>
      <c r="E1935" s="11">
        <f t="array" ref="E1935">_xlfn.XLOOKUP(D1935,Insumos!B:B,Insumos!C:$C)</f>
        <v/>
      </c>
      <c r="F1935" s="14" t="n">
        <v>4.0011</v>
      </c>
      <c r="G1935" s="92">
        <f t="array" ref="G1935">IF(B1935="insumo",_xlfn.XLOOKUP($D1935,Insumos!$B$1:$B$996,Insumos!$D$1:$D$996),"")</f>
        <v/>
      </c>
      <c r="H1935" s="92" t="n">
        <v>72.37989899999999</v>
      </c>
      <c r="I1935" s="2162" t="n">
        <v>0</v>
      </c>
      <c r="J1935" s="2162" t="n">
        <v>0</v>
      </c>
      <c r="K1935" s="2162" t="n"/>
    </row>
    <row r="1936" outlineLevel="3" ht="15.75" customHeight="1">
      <c r="A1936" s="10" t="n">
        <v>95</v>
      </c>
      <c r="B1936" s="10" t="inlineStr">
        <is>
          <t>Insumo</t>
        </is>
      </c>
      <c r="C1936" s="10" t="inlineStr">
        <is>
          <t>36_DRY 90 mm LV - 2 PLACAS - 11,50cm  -  Lado A: PLACA PERFORMANCE RU - Lado B: PLACA CT</t>
        </is>
      </c>
      <c r="D1936" s="10" t="inlineStr">
        <is>
          <t>MASSA DE REJUNTE EM PO PARA DRYWALL, A BASE DE GESSO, SECAGEM RAPIDA, PARA TRATAMENTO DE JUNTAS DE CHAPA DE GESSO (NECESSITA ADICAO DE AGUA)</t>
        </is>
      </c>
      <c r="E1936" s="11">
        <f t="array" ref="E1936">_xlfn.XLOOKUP(D1936,Insumos!B:B,Insumos!C:$C)</f>
        <v/>
      </c>
      <c r="F1936" s="14" t="n">
        <v>1.0978</v>
      </c>
      <c r="G1936" s="92">
        <f t="array" ref="G1936">IF(B1936="insumo",_xlfn.XLOOKUP($D1936,Insumos!$B$1:$B$996,Insumos!$D$1:$D$996),"")</f>
        <v/>
      </c>
      <c r="H1936" s="92" t="n">
        <v>3.765454</v>
      </c>
      <c r="I1936" s="2162" t="n">
        <v>0</v>
      </c>
      <c r="J1936" s="2162" t="n">
        <v>0</v>
      </c>
      <c r="K1936" s="2162" t="n"/>
    </row>
    <row r="1937" outlineLevel="3" ht="15.75" customHeight="1">
      <c r="A1937" s="10" t="n">
        <v>94</v>
      </c>
      <c r="B1937" s="10" t="inlineStr">
        <is>
          <t>Insumo</t>
        </is>
      </c>
      <c r="C1937" s="10" t="inlineStr">
        <is>
          <t>36_DRY 90 mm LV - 2 PLACAS - 11,50cm  -  Lado A: PLACA PERFORMANCE RU - Lado B: PLACA CT</t>
        </is>
      </c>
      <c r="D1937" s="10" t="inlineStr">
        <is>
          <t>FITA DE PAPEL MICROPERFURADO, 50 X 150 MM, PARA TRATAMENTO DE JUNTAS DE CHAPA DE GESSO PARA DRYWALL</t>
        </is>
      </c>
      <c r="E1937" s="11">
        <f t="array" ref="E1937">_xlfn.XLOOKUP(D1937,Insumos!B:B,Insumos!C:$C)</f>
        <v/>
      </c>
      <c r="F1937" s="14" t="n">
        <v>2.5027</v>
      </c>
      <c r="G1937" s="92">
        <f t="array" ref="G1937">IF(B1937="insumo",_xlfn.XLOOKUP($D1937,Insumos!$B$1:$B$996,Insumos!$D$1:$D$996),"")</f>
        <v/>
      </c>
      <c r="H1937" s="92" t="n">
        <v>0.775837</v>
      </c>
      <c r="I1937" s="2162" t="n">
        <v>0</v>
      </c>
      <c r="J1937" s="2162" t="n">
        <v>0</v>
      </c>
      <c r="K1937" s="2162" t="n"/>
    </row>
    <row r="1938" outlineLevel="3" ht="15.75" customHeight="1">
      <c r="A1938" s="10" t="n">
        <v>94</v>
      </c>
      <c r="B1938" s="10" t="inlineStr">
        <is>
          <t>Insumo</t>
        </is>
      </c>
      <c r="C1938" s="10" t="inlineStr">
        <is>
          <t>36_DRY 90 mm LV - 2 PLACAS - 11,50cm  -  Lado A: PLACA PERFORMANCE RU - Lado B: PLACA CT</t>
        </is>
      </c>
      <c r="D1938" s="10" t="inlineStr">
        <is>
          <t>FITA DE PAPEL REFORCADA COM LAMINA DE METAL PARA REFORCO DE CANTOS DE CHAPA DE GESSO PARA DRYWALL</t>
        </is>
      </c>
      <c r="E1938" s="11">
        <f t="array" ref="E1938">_xlfn.XLOOKUP(D1938,Insumos!B:B,Insumos!C:$C)</f>
        <v/>
      </c>
      <c r="F1938" s="14" t="n">
        <v>1.5851</v>
      </c>
      <c r="G1938" s="92">
        <f t="array" ref="G1938">IF(B1938="insumo",_xlfn.XLOOKUP($D1938,Insumos!$B$1:$B$996,Insumos!$D$1:$D$996),"")</f>
        <v/>
      </c>
      <c r="H1938" s="92" t="n">
        <v>4.343174</v>
      </c>
      <c r="I1938" s="2162" t="n">
        <v>0</v>
      </c>
      <c r="J1938" s="2162" t="n">
        <v>0</v>
      </c>
      <c r="K1938" s="2162" t="n"/>
    </row>
    <row r="1939" outlineLevel="3" ht="15.75" customHeight="1">
      <c r="A1939" s="10" t="n">
        <v>97</v>
      </c>
      <c r="B1939" s="10" t="inlineStr">
        <is>
          <t>Insumo</t>
        </is>
      </c>
      <c r="C1939" s="10" t="inlineStr">
        <is>
          <t>36_DRY 90 mm LV - 2 PLACAS - 11,50cm  -  Lado A: PLACA PERFORMANCE RU - Lado B: PLACA CT</t>
        </is>
      </c>
      <c r="D1939" s="10" t="inlineStr">
        <is>
          <t>PARAFUSO DRY WALL, EM ACO FOSFATIZADO, CABECA TROMBETA E PONTA AGULHA (TA), COMPRIMENTO 25 MM</t>
        </is>
      </c>
      <c r="E1939" s="11">
        <f t="array" ref="E1939">_xlfn.XLOOKUP(D1939,Insumos!B:B,Insumos!C:$C)</f>
        <v/>
      </c>
      <c r="F1939" s="14" t="n">
        <v>20.1868</v>
      </c>
      <c r="G1939" s="92">
        <f t="array" ref="G1939">IF(B1939="insumo",_xlfn.XLOOKUP($D1939,Insumos!$B$1:$B$996,Insumos!$D$1:$D$996),"")</f>
        <v/>
      </c>
      <c r="H1939" s="92" t="n">
        <v>1.816812</v>
      </c>
      <c r="I1939" s="2162" t="n">
        <v>0</v>
      </c>
      <c r="J1939" s="2162" t="n">
        <v>0</v>
      </c>
      <c r="K1939" s="2162" t="n"/>
    </row>
    <row r="1940" outlineLevel="3" ht="15.75" customHeight="1">
      <c r="A1940" s="10" t="n">
        <v>95</v>
      </c>
      <c r="B1940" s="10" t="inlineStr">
        <is>
          <t>Insumo</t>
        </is>
      </c>
      <c r="C1940" s="10" t="inlineStr">
        <is>
          <t>36_DRY 90 mm LV - 2 PLACAS - 11,50cm  -  Lado A: PLACA PERFORMANCE RU - Lado B: PLACA CT</t>
        </is>
      </c>
      <c r="D1940" s="10" t="inlineStr">
        <is>
          <t>PARAFUSO DRY WALL, EM ACO ZINCADO, CABECA LENTILHA E PONTA BROCA (LB), LARGURA 4,2 MM, COMPRIMENTO 13 MM</t>
        </is>
      </c>
      <c r="E1940" s="11">
        <f t="array" ref="E1940">_xlfn.XLOOKUP(D1940,Insumos!B:B,Insumos!C:$C)</f>
        <v/>
      </c>
      <c r="F1940" s="14" t="n">
        <v>0.5441</v>
      </c>
      <c r="G1940" s="92">
        <f t="array" ref="G1940">IF(B1940="insumo",_xlfn.XLOOKUP($D1940,Insumos!$B$1:$B$996,Insumos!$D$1:$D$996),"")</f>
        <v/>
      </c>
      <c r="H1940" s="92" t="n">
        <v>0.10882</v>
      </c>
      <c r="I1940" s="2162" t="n">
        <v>0</v>
      </c>
      <c r="J1940" s="2162" t="n">
        <v>0</v>
      </c>
      <c r="K1940" s="2162" t="n"/>
    </row>
    <row r="1941" outlineLevel="3" ht="15.75" customHeight="1">
      <c r="A1941" s="10" t="n">
        <v>35</v>
      </c>
      <c r="B1941" s="10" t="inlineStr">
        <is>
          <t>Insumo</t>
        </is>
      </c>
      <c r="C1941" s="10" t="inlineStr">
        <is>
          <t>36_DRY 90 mm LV - 2 PLACAS - 11,50cm  -  Lado A: PLACA PERFORMANCE RU - Lado B: PLACA CT</t>
        </is>
      </c>
      <c r="D1941" s="10" t="inlineStr">
        <is>
          <t>Lã de pet 50 X 1200 X 12500 MM</t>
        </is>
      </c>
      <c r="E1941" s="11">
        <f t="array" ref="E1941">_xlfn.XLOOKUP(D1941,Insumos!B:B,Insumos!C:$C)</f>
        <v/>
      </c>
      <c r="F1941" s="14" t="n">
        <v>1.1</v>
      </c>
      <c r="G1941" s="92">
        <f t="array" ref="G1941">IF(B1941="insumo",_xlfn.XLOOKUP($D1941,Insumos!$B$1:$B$996,Insumos!$D$1:$D$996),"")</f>
        <v/>
      </c>
      <c r="H1941" s="92" t="n">
        <v>14.3212666666667</v>
      </c>
      <c r="I1941" s="2162" t="n">
        <v>0</v>
      </c>
      <c r="J1941" s="2162" t="n">
        <v>0</v>
      </c>
      <c r="K1941" s="2162" t="n"/>
    </row>
    <row r="1942" outlineLevel="2" ht="15.75" customHeight="1">
      <c r="A1942" s="1067" t="n">
        <v>1</v>
      </c>
      <c r="B1942" s="1067" t="inlineStr">
        <is>
          <t>Serviço</t>
        </is>
      </c>
      <c r="C1942" s="1067" t="inlineStr">
        <is>
          <t>36_DRY 90 mm LV - 2 PLACAS - 11,50cm  -  Lado A: PLACA RU - Lado B: PLACA CT</t>
        </is>
      </c>
      <c r="D1942" s="1067" t="inlineStr">
        <is>
          <t>36_DRY 90 mm LV - 2 PLACAS - 11,50cm  -  Lado A: PLACA RU - Lado B: PLACA CT</t>
        </is>
      </c>
      <c r="E1942" s="1068" t="inlineStr">
        <is>
          <t>M2</t>
        </is>
      </c>
      <c r="F1942" s="1067" t="n"/>
      <c r="G1942" s="1069">
        <f t="array" ref="G1942">IF(B1942="insumo",_xlfn.XLOOKUP($D1942,Insumos!$B$1:$B$996,Insumos!$D$1:$D$996),"")</f>
        <v/>
      </c>
      <c r="H1942" s="1069" t="n">
        <v>246.920893833333</v>
      </c>
      <c r="I1942" s="2161" t="n">
        <v>0</v>
      </c>
      <c r="J1942" s="2161" t="n">
        <v>0</v>
      </c>
      <c r="K1942" s="2161" t="n"/>
    </row>
    <row r="1943" outlineLevel="3" ht="15.75" customHeight="1">
      <c r="A1943" s="10" t="n">
        <v>86</v>
      </c>
      <c r="B1943" s="10" t="inlineStr">
        <is>
          <t>Insumo</t>
        </is>
      </c>
      <c r="C1943" s="10" t="inlineStr">
        <is>
          <t>36_DRY 90 mm LV - 2 PLACAS - 11,50cm  -  Lado A: PLACA RU - Lado B: PLACA CT</t>
        </is>
      </c>
      <c r="D1943" s="10" t="inlineStr">
        <is>
          <t>SERVICO - CONFECCAO SHAFT GESSO</t>
        </is>
      </c>
      <c r="E1943" s="11">
        <f t="array" ref="E1943">_xlfn.XLOOKUP(D1943,Insumos!B:B,Insumos!C:$C)</f>
        <v/>
      </c>
      <c r="F1943" s="14" t="n">
        <v>1</v>
      </c>
      <c r="G1943" s="92">
        <f t="array" ref="G1943">IF(B1943="insumo",_xlfn.XLOOKUP($D1943,Insumos!$B$1:$B$996,Insumos!$D$1:$D$996),"")</f>
        <v/>
      </c>
      <c r="H1943" s="92" t="n">
        <v>70</v>
      </c>
      <c r="I1943" s="2162" t="n">
        <v>0</v>
      </c>
      <c r="J1943" s="2162" t="n">
        <v>0</v>
      </c>
      <c r="K1943" s="2162" t="n"/>
    </row>
    <row r="1944" outlineLevel="3" ht="15.75" customHeight="1">
      <c r="A1944" s="10" t="n">
        <v>49</v>
      </c>
      <c r="B1944" s="10" t="inlineStr">
        <is>
          <t>Insumo</t>
        </is>
      </c>
      <c r="C1944" s="10" t="inlineStr">
        <is>
          <t>36_DRY 90 mm LV - 2 PLACAS - 11,50cm  -  Lado A: PLACA RU - Lado B: PLACA CT</t>
        </is>
      </c>
      <c r="D1944" s="10" t="inlineStr">
        <is>
          <t>PLACA / CHAPA DE GESSO ACARTONADO, RESISTENTE A UMIDADE (RU), COR VERDE, E = 12,5 MM, 1200 X 2400 MM (L X C)</t>
        </is>
      </c>
      <c r="E1944" s="11">
        <f t="array" ref="E1944">_xlfn.XLOOKUP(D1944,Insumos!B:B,Insumos!C:$C)</f>
        <v/>
      </c>
      <c r="F1944" s="14">
        <f>1.106</f>
        <v/>
      </c>
      <c r="G1944" s="92">
        <f t="array" ref="G1944">IF(B1944="insumo",_xlfn.XLOOKUP($D1944,Insumos!$B$1:$B$996,Insumos!$D$1:$D$996),"")</f>
        <v/>
      </c>
      <c r="H1944" s="92" t="n">
        <v>29.9726</v>
      </c>
      <c r="I1944" s="2162" t="n">
        <v>0</v>
      </c>
      <c r="J1944" s="2162" t="n">
        <v>0</v>
      </c>
      <c r="K1944" s="2162" t="n"/>
    </row>
    <row r="1945" outlineLevel="3" ht="15.75" customHeight="1">
      <c r="A1945" s="10" t="n">
        <v>11</v>
      </c>
      <c r="B1945" s="10" t="inlineStr">
        <is>
          <t>Insumo</t>
        </is>
      </c>
      <c r="C1945" s="10" t="inlineStr">
        <is>
          <t>36_DRY 90 mm LV - 2 PLACAS - 11,50cm  -  Lado A: PLACA RU - Lado B: PLACA CT</t>
        </is>
      </c>
      <c r="D1945" s="10" t="inlineStr">
        <is>
          <t>PLACA CIMENTÍCIA(CT) PARA STEEL FRAME BRASILIT-ETERNIT 8MM X 1,20M X 2,40M</t>
        </is>
      </c>
      <c r="E1945" s="11">
        <f t="array" ref="E1945">_xlfn.XLOOKUP(D1945,Insumos!B:B,Insumos!C:$C)</f>
        <v/>
      </c>
      <c r="F1945" s="14" t="n">
        <v>1.106</v>
      </c>
      <c r="G1945" s="92">
        <f t="array" ref="G1945">IF(B1945="insumo",_xlfn.XLOOKUP($D1945,Insumos!$B$1:$B$996,Insumos!$D$1:$D$996),"")</f>
        <v/>
      </c>
      <c r="H1945" s="92" t="n">
        <v>33.2790791666667</v>
      </c>
      <c r="I1945" s="2162" t="n">
        <v>0</v>
      </c>
      <c r="J1945" s="2162" t="n">
        <v>0</v>
      </c>
      <c r="K1945" s="2162" t="n"/>
    </row>
    <row r="1946" outlineLevel="3" ht="15.75" customHeight="1">
      <c r="A1946" s="10" t="n">
        <v>95</v>
      </c>
      <c r="B1946" s="10" t="inlineStr">
        <is>
          <t>Insumo</t>
        </is>
      </c>
      <c r="C1946" s="10" t="inlineStr">
        <is>
          <t>36_DRY 90 mm LV - 2 PLACAS - 11,50cm  -  Lado A: PLACA RU - Lado B: PLACA CT</t>
        </is>
      </c>
      <c r="D1946" s="10" t="inlineStr">
        <is>
          <t>PINO DE ACO COM ARRUELA CONICA, DIAMETRO ARRUELA = *23* MM E COMP HASTE = *27* MM (ACAO INDIRETA)</t>
        </is>
      </c>
      <c r="E1946" s="11">
        <f t="array" ref="E1946">_xlfn.XLOOKUP(D1946,Insumos!B:B,Insumos!C:$C)</f>
        <v/>
      </c>
      <c r="F1946" s="14" t="n">
        <v>5.92</v>
      </c>
      <c r="G1946" s="92">
        <f t="array" ref="G1946">IF(B1946="insumo",_xlfn.XLOOKUP($D1946,Insumos!$B$1:$B$996,Insumos!$D$1:$D$996),"")</f>
        <v/>
      </c>
      <c r="H1946" s="92" t="n">
        <v>2.98368</v>
      </c>
      <c r="I1946" s="2162" t="n">
        <v>0</v>
      </c>
      <c r="J1946" s="2162" t="n">
        <v>0</v>
      </c>
      <c r="K1946" s="2162" t="n"/>
    </row>
    <row r="1947" outlineLevel="3" ht="15.75" customHeight="1">
      <c r="A1947" s="10" t="n">
        <v>26</v>
      </c>
      <c r="B1947" s="10" t="inlineStr">
        <is>
          <t>Insumo</t>
        </is>
      </c>
      <c r="C1947" s="10" t="inlineStr">
        <is>
          <t>36_DRY 90 mm LV - 2 PLACAS - 11,50cm  -  Lado A: PLACA RU - Lado B: PLACA CT</t>
        </is>
      </c>
      <c r="D1947" s="10" t="inlineStr">
        <is>
          <t>PERFIL GUIA, FORMATO U, EM ACO ZINCADO, PARA ESTRUTURA PAREDE DRYWALL, E = 0,5 MM, 90 X 3000 MM (L X C)</t>
        </is>
      </c>
      <c r="E1947" s="11">
        <f t="array" ref="E1947">_xlfn.XLOOKUP(D1947,Insumos!B:B,Insumos!C:$C)</f>
        <v/>
      </c>
      <c r="F1947" s="14" t="n">
        <v>1.5248</v>
      </c>
      <c r="G1947" s="92">
        <f t="array" ref="G1947">IF(B1947="insumo",_xlfn.XLOOKUP($D1947,Insumos!$B$1:$B$996,Insumos!$D$1:$D$996),"")</f>
        <v/>
      </c>
      <c r="H1947" s="92" t="n">
        <v>13.174272</v>
      </c>
      <c r="I1947" s="2162" t="n">
        <v>0</v>
      </c>
      <c r="J1947" s="2162" t="n">
        <v>0</v>
      </c>
      <c r="K1947" s="2162" t="n"/>
    </row>
    <row r="1948" outlineLevel="3" ht="15.75" customHeight="1">
      <c r="A1948" s="10" t="n">
        <v>26</v>
      </c>
      <c r="B1948" s="10" t="inlineStr">
        <is>
          <t>Insumo</t>
        </is>
      </c>
      <c r="C1948" s="10" t="inlineStr">
        <is>
          <t>36_DRY 90 mm LV - 2 PLACAS - 11,50cm  -  Lado A: PLACA RU - Lado B: PLACA CT</t>
        </is>
      </c>
      <c r="D1948" s="10" t="inlineStr">
        <is>
          <t>PERFIL MONTANTE, FORMATO C, EM ACO ZINCADO, PARA ESTRUTURA PAREDE DRYWALL, E = 0,5 MM, 90 X 3000 MM (L X C)</t>
        </is>
      </c>
      <c r="E1948" s="11">
        <f t="array" ref="E1948">_xlfn.XLOOKUP(D1948,Insumos!B:B,Insumos!C:$C)</f>
        <v/>
      </c>
      <c r="F1948" s="14" t="n">
        <v>4.0011</v>
      </c>
      <c r="G1948" s="92">
        <f t="array" ref="G1948">IF(B1948="insumo",_xlfn.XLOOKUP($D1948,Insumos!$B$1:$B$996,Insumos!$D$1:$D$996),"")</f>
        <v/>
      </c>
      <c r="H1948" s="92" t="n">
        <v>72.37989899999999</v>
      </c>
      <c r="I1948" s="2162" t="n">
        <v>0</v>
      </c>
      <c r="J1948" s="2162" t="n">
        <v>0</v>
      </c>
      <c r="K1948" s="2162" t="n"/>
    </row>
    <row r="1949" outlineLevel="3" ht="15.75" customHeight="1">
      <c r="A1949" s="10" t="n">
        <v>95</v>
      </c>
      <c r="B1949" s="10" t="inlineStr">
        <is>
          <t>Insumo</t>
        </is>
      </c>
      <c r="C1949" s="10" t="inlineStr">
        <is>
          <t>36_DRY 90 mm LV - 2 PLACAS - 11,50cm  -  Lado A: PLACA RU - Lado B: PLACA CT</t>
        </is>
      </c>
      <c r="D1949" s="10" t="inlineStr">
        <is>
          <t>MASSA DE REJUNTE EM PO PARA DRYWALL, A BASE DE GESSO, SECAGEM RAPIDA, PARA TRATAMENTO DE JUNTAS DE CHAPA DE GESSO (NECESSITA ADICAO DE AGUA)</t>
        </is>
      </c>
      <c r="E1949" s="11">
        <f t="array" ref="E1949">_xlfn.XLOOKUP(D1949,Insumos!B:B,Insumos!C:$C)</f>
        <v/>
      </c>
      <c r="F1949" s="14" t="n">
        <v>1.0978</v>
      </c>
      <c r="G1949" s="92">
        <f t="array" ref="G1949">IF(B1949="insumo",_xlfn.XLOOKUP($D1949,Insumos!$B$1:$B$996,Insumos!$D$1:$D$996),"")</f>
        <v/>
      </c>
      <c r="H1949" s="92" t="n">
        <v>3.765454</v>
      </c>
      <c r="I1949" s="2162" t="n">
        <v>0</v>
      </c>
      <c r="J1949" s="2162" t="n">
        <v>0</v>
      </c>
      <c r="K1949" s="2162" t="n"/>
    </row>
    <row r="1950" outlineLevel="3" ht="15.75" customHeight="1">
      <c r="A1950" s="10" t="n">
        <v>94</v>
      </c>
      <c r="B1950" s="10" t="inlineStr">
        <is>
          <t>Insumo</t>
        </is>
      </c>
      <c r="C1950" s="10" t="inlineStr">
        <is>
          <t>36_DRY 90 mm LV - 2 PLACAS - 11,50cm  -  Lado A: PLACA RU - Lado B: PLACA CT</t>
        </is>
      </c>
      <c r="D1950" s="10" t="inlineStr">
        <is>
          <t>FITA DE PAPEL MICROPERFURADO, 50 X 150 MM, PARA TRATAMENTO DE JUNTAS DE CHAPA DE GESSO PARA DRYWALL</t>
        </is>
      </c>
      <c r="E1950" s="11">
        <f t="array" ref="E1950">_xlfn.XLOOKUP(D1950,Insumos!B:B,Insumos!C:$C)</f>
        <v/>
      </c>
      <c r="F1950" s="14" t="n">
        <v>2.5027</v>
      </c>
      <c r="G1950" s="92">
        <f t="array" ref="G1950">IF(B1950="insumo",_xlfn.XLOOKUP($D1950,Insumos!$B$1:$B$996,Insumos!$D$1:$D$996),"")</f>
        <v/>
      </c>
      <c r="H1950" s="92" t="n">
        <v>0.775837</v>
      </c>
      <c r="I1950" s="2162" t="n">
        <v>0</v>
      </c>
      <c r="J1950" s="2162" t="n">
        <v>0</v>
      </c>
      <c r="K1950" s="2162" t="n"/>
    </row>
    <row r="1951" outlineLevel="3" ht="15.75" customHeight="1">
      <c r="A1951" s="10" t="n">
        <v>94</v>
      </c>
      <c r="B1951" s="10" t="inlineStr">
        <is>
          <t>Insumo</t>
        </is>
      </c>
      <c r="C1951" s="10" t="inlineStr">
        <is>
          <t>36_DRY 90 mm LV - 2 PLACAS - 11,50cm  -  Lado A: PLACA RU - Lado B: PLACA CT</t>
        </is>
      </c>
      <c r="D1951" s="10" t="inlineStr">
        <is>
          <t>FITA DE PAPEL REFORCADA COM LAMINA DE METAL PARA REFORCO DE CANTOS DE CHAPA DE GESSO PARA DRYWALL</t>
        </is>
      </c>
      <c r="E1951" s="11">
        <f t="array" ref="E1951">_xlfn.XLOOKUP(D1951,Insumos!B:B,Insumos!C:$C)</f>
        <v/>
      </c>
      <c r="F1951" s="14" t="n">
        <v>1.5851</v>
      </c>
      <c r="G1951" s="92">
        <f t="array" ref="G1951">IF(B1951="insumo",_xlfn.XLOOKUP($D1951,Insumos!$B$1:$B$996,Insumos!$D$1:$D$996),"")</f>
        <v/>
      </c>
      <c r="H1951" s="92" t="n">
        <v>4.343174</v>
      </c>
      <c r="I1951" s="2162" t="n">
        <v>0</v>
      </c>
      <c r="J1951" s="2162" t="n">
        <v>0</v>
      </c>
      <c r="K1951" s="2162" t="n"/>
    </row>
    <row r="1952" outlineLevel="3" ht="15.75" customHeight="1">
      <c r="A1952" s="10" t="n">
        <v>97</v>
      </c>
      <c r="B1952" s="10" t="inlineStr">
        <is>
          <t>Insumo</t>
        </is>
      </c>
      <c r="C1952" s="10" t="inlineStr">
        <is>
          <t>36_DRY 90 mm LV - 2 PLACAS - 11,50cm  -  Lado A: PLACA RU - Lado B: PLACA CT</t>
        </is>
      </c>
      <c r="D1952" s="10" t="inlineStr">
        <is>
          <t>PARAFUSO DRY WALL, EM ACO FOSFATIZADO, CABECA TROMBETA E PONTA AGULHA (TA), COMPRIMENTO 25 MM</t>
        </is>
      </c>
      <c r="E1952" s="11">
        <f t="array" ref="E1952">_xlfn.XLOOKUP(D1952,Insumos!B:B,Insumos!C:$C)</f>
        <v/>
      </c>
      <c r="F1952" s="14" t="n">
        <v>20.1868</v>
      </c>
      <c r="G1952" s="92">
        <f t="array" ref="G1952">IF(B1952="insumo",_xlfn.XLOOKUP($D1952,Insumos!$B$1:$B$996,Insumos!$D$1:$D$996),"")</f>
        <v/>
      </c>
      <c r="H1952" s="92" t="n">
        <v>1.816812</v>
      </c>
      <c r="I1952" s="2162" t="n">
        <v>0</v>
      </c>
      <c r="J1952" s="2162" t="n">
        <v>0</v>
      </c>
      <c r="K1952" s="2162" t="n"/>
    </row>
    <row r="1953" outlineLevel="3" ht="15.75" customHeight="1">
      <c r="A1953" s="10" t="n">
        <v>95</v>
      </c>
      <c r="B1953" s="10" t="inlineStr">
        <is>
          <t>Insumo</t>
        </is>
      </c>
      <c r="C1953" s="10" t="inlineStr">
        <is>
          <t>36_DRY 90 mm LV - 2 PLACAS - 11,50cm  -  Lado A: PLACA RU - Lado B: PLACA CT</t>
        </is>
      </c>
      <c r="D1953" s="10" t="inlineStr">
        <is>
          <t>PARAFUSO DRY WALL, EM ACO ZINCADO, CABECA LENTILHA E PONTA BROCA (LB), LARGURA 4,2 MM, COMPRIMENTO 13 MM</t>
        </is>
      </c>
      <c r="E1953" s="11">
        <f t="array" ref="E1953">_xlfn.XLOOKUP(D1953,Insumos!B:B,Insumos!C:$C)</f>
        <v/>
      </c>
      <c r="F1953" s="14" t="n">
        <v>0.5441</v>
      </c>
      <c r="G1953" s="92">
        <f t="array" ref="G1953">IF(B1953="insumo",_xlfn.XLOOKUP($D1953,Insumos!$B$1:$B$996,Insumos!$D$1:$D$996),"")</f>
        <v/>
      </c>
      <c r="H1953" s="92" t="n">
        <v>0.10882</v>
      </c>
      <c r="I1953" s="2162" t="n">
        <v>0</v>
      </c>
      <c r="J1953" s="2162" t="n">
        <v>0</v>
      </c>
      <c r="K1953" s="2162" t="n"/>
    </row>
    <row r="1954" outlineLevel="3" ht="15.75" customHeight="1">
      <c r="A1954" s="10" t="n">
        <v>35</v>
      </c>
      <c r="B1954" s="10" t="inlineStr">
        <is>
          <t>Insumo</t>
        </is>
      </c>
      <c r="C1954" s="10" t="inlineStr">
        <is>
          <t>36_DRY 90 mm LV - 2 PLACAS - 11,50cm  -  Lado A: PLACA RU - Lado B: PLACA CT</t>
        </is>
      </c>
      <c r="D1954" s="10" t="inlineStr">
        <is>
          <t>Lã de pet 50 X 1200 X 12500 MM</t>
        </is>
      </c>
      <c r="E1954" s="11">
        <f t="array" ref="E1954">_xlfn.XLOOKUP(D1954,Insumos!B:B,Insumos!C:$C)</f>
        <v/>
      </c>
      <c r="F1954" s="14" t="n">
        <v>1.1</v>
      </c>
      <c r="G1954" s="92">
        <f t="array" ref="G1954">IF(B1954="insumo",_xlfn.XLOOKUP($D1954,Insumos!$B$1:$B$996,Insumos!$D$1:$D$996),"")</f>
        <v/>
      </c>
      <c r="H1954" s="92" t="n">
        <v>14.3212666666667</v>
      </c>
      <c r="I1954" s="2162" t="n">
        <v>0</v>
      </c>
      <c r="J1954" s="2162" t="n">
        <v>0</v>
      </c>
      <c r="K1954" s="2162" t="n"/>
    </row>
    <row r="1955" outlineLevel="2" ht="15.75" customHeight="1">
      <c r="A1955" s="1067" t="n">
        <v>1</v>
      </c>
      <c r="B1955" s="1067" t="inlineStr">
        <is>
          <t>Serviço</t>
        </is>
      </c>
      <c r="C1955" s="1067" t="inlineStr">
        <is>
          <t>36_DRY 90 mm LV - 2 PLACAS - 11,50cm  -  Lado A: PLACA ST - Lado B: PLACA RU</t>
        </is>
      </c>
      <c r="D1955" s="1067" t="inlineStr">
        <is>
          <t>36_DRY 90 mm LV - 2 PLACAS - 11,50cm  -  Lado A: PLACA ST - Lado B: PLACA RU</t>
        </is>
      </c>
      <c r="E1955" s="1068" t="inlineStr">
        <is>
          <t>M2</t>
        </is>
      </c>
      <c r="F1955" s="1067" t="n"/>
      <c r="G1955" s="1069">
        <f t="array" ref="G1955">IF(B1955="insumo",_xlfn.XLOOKUP($D1955,Insumos!$B$1:$B$996,Insumos!$D$1:$D$996),"")</f>
        <v/>
      </c>
      <c r="H1955" s="1069" t="n">
        <v>235.938774666667</v>
      </c>
      <c r="I1955" s="2161" t="n">
        <v>0</v>
      </c>
      <c r="J1955" s="2161" t="n">
        <v>0</v>
      </c>
      <c r="K1955" s="2161" t="n"/>
    </row>
    <row r="1956" outlineLevel="3" ht="15.75" customHeight="1">
      <c r="A1956" s="10" t="n">
        <v>86</v>
      </c>
      <c r="B1956" s="10" t="inlineStr">
        <is>
          <t>Insumo</t>
        </is>
      </c>
      <c r="C1956" s="10" t="inlineStr">
        <is>
          <t>36_DRY 90 mm LV - 2 PLACAS - 11,50cm  -  Lado A: PLACA ST - Lado B: PLACA RU</t>
        </is>
      </c>
      <c r="D1956" s="10" t="inlineStr">
        <is>
          <t>SERVICO - CONFECCAO SHAFT GESSO</t>
        </is>
      </c>
      <c r="E1956" s="11">
        <f t="array" ref="E1956">_xlfn.XLOOKUP(D1956,Insumos!B:B,Insumos!C:$C)</f>
        <v/>
      </c>
      <c r="F1956" s="14" t="n">
        <v>1</v>
      </c>
      <c r="G1956" s="92">
        <f t="array" ref="G1956">IF(B1956="insumo",_xlfn.XLOOKUP($D1956,Insumos!$B$1:$B$996,Insumos!$D$1:$D$996),"")</f>
        <v/>
      </c>
      <c r="H1956" s="92" t="n">
        <v>70</v>
      </c>
      <c r="I1956" s="2162" t="n">
        <v>0</v>
      </c>
      <c r="J1956" s="2162" t="n">
        <v>0</v>
      </c>
      <c r="K1956" s="2162" t="n"/>
    </row>
    <row r="1957" outlineLevel="3" ht="15.75" customHeight="1">
      <c r="A1957" s="10" t="n">
        <v>49</v>
      </c>
      <c r="B1957" s="10" t="inlineStr">
        <is>
          <t>Insumo</t>
        </is>
      </c>
      <c r="C1957" s="10" t="inlineStr">
        <is>
          <t>36_DRY 90 mm LV - 2 PLACAS - 11,50cm  -  Lado A: PLACA ST - Lado B: PLACA RU</t>
        </is>
      </c>
      <c r="D1957" s="10" t="inlineStr">
        <is>
          <t>PLACA / CHAPA DE GESSO ACARTONADO, RESISTENTE A UMIDADE (RU), COR VERDE, E = 12,5 MM, 1200 X 2400 MM (L X C)</t>
        </is>
      </c>
      <c r="E1957" s="11">
        <f t="array" ref="E1957">_xlfn.XLOOKUP(D1957,Insumos!B:B,Insumos!C:$C)</f>
        <v/>
      </c>
      <c r="F1957" s="14">
        <f>1.106</f>
        <v/>
      </c>
      <c r="G1957" s="92">
        <f t="array" ref="G1957">IF(B1957="insumo",_xlfn.XLOOKUP($D1957,Insumos!$B$1:$B$996,Insumos!$D$1:$D$996),"")</f>
        <v/>
      </c>
      <c r="H1957" s="92" t="n">
        <v>29.9726</v>
      </c>
      <c r="I1957" s="2162" t="n">
        <v>0</v>
      </c>
      <c r="J1957" s="2162" t="n">
        <v>0</v>
      </c>
      <c r="K1957" s="2162" t="n"/>
    </row>
    <row r="1958" outlineLevel="3" ht="15.75" customHeight="1">
      <c r="A1958" s="10" t="n">
        <v>47</v>
      </c>
      <c r="B1958" s="10" t="inlineStr">
        <is>
          <t>Insumo</t>
        </is>
      </c>
      <c r="C1958" s="10" t="inlineStr">
        <is>
          <t>36_DRY 90 mm LV - 2 PLACAS - 11,50cm  -  Lado A: PLACA ST - Lado B: PLACA RU</t>
        </is>
      </c>
      <c r="D1958" s="10" t="inlineStr">
        <is>
          <t>PLACA / CHAPA DE GESSO ACARTONADO, STANDARD (ST), COR BRANCA, E = 12,5 MM, 1200 X 2400 MM (L X C)</t>
        </is>
      </c>
      <c r="E1958" s="11">
        <f t="array" ref="E1958">_xlfn.XLOOKUP(D1958,Insumos!B:B,Insumos!C:$C)</f>
        <v/>
      </c>
      <c r="F1958" s="14" t="n">
        <v>1.106</v>
      </c>
      <c r="G1958" s="92">
        <f t="array" ref="G1958">IF(B1958="insumo",_xlfn.XLOOKUP($D1958,Insumos!$B$1:$B$996,Insumos!$D$1:$D$996),"")</f>
        <v/>
      </c>
      <c r="H1958" s="92" t="n">
        <v>22.29696</v>
      </c>
      <c r="I1958" s="2162" t="n">
        <v>0</v>
      </c>
      <c r="J1958" s="2162" t="n">
        <v>0</v>
      </c>
      <c r="K1958" s="2162" t="n"/>
    </row>
    <row r="1959" outlineLevel="3" ht="15.75" customHeight="1">
      <c r="A1959" s="10" t="n">
        <v>95</v>
      </c>
      <c r="B1959" s="10" t="inlineStr">
        <is>
          <t>Insumo</t>
        </is>
      </c>
      <c r="C1959" s="10" t="inlineStr">
        <is>
          <t>36_DRY 90 mm LV - 2 PLACAS - 11,50cm  -  Lado A: PLACA ST - Lado B: PLACA RU</t>
        </is>
      </c>
      <c r="D1959" s="10" t="inlineStr">
        <is>
          <t>PINO DE ACO COM ARRUELA CONICA, DIAMETRO ARRUELA = *23* MM E COMP HASTE = *27* MM (ACAO INDIRETA)</t>
        </is>
      </c>
      <c r="E1959" s="11">
        <f t="array" ref="E1959">_xlfn.XLOOKUP(D1959,Insumos!B:B,Insumos!C:$C)</f>
        <v/>
      </c>
      <c r="F1959" s="14" t="n">
        <v>5.92</v>
      </c>
      <c r="G1959" s="92">
        <f t="array" ref="G1959">IF(B1959="insumo",_xlfn.XLOOKUP($D1959,Insumos!$B$1:$B$996,Insumos!$D$1:$D$996),"")</f>
        <v/>
      </c>
      <c r="H1959" s="92" t="n">
        <v>2.98368</v>
      </c>
      <c r="I1959" s="2162" t="n">
        <v>0</v>
      </c>
      <c r="J1959" s="2162" t="n">
        <v>0</v>
      </c>
      <c r="K1959" s="2162" t="n"/>
    </row>
    <row r="1960" outlineLevel="3" ht="15.75" customHeight="1">
      <c r="A1960" s="10" t="n">
        <v>26</v>
      </c>
      <c r="B1960" s="10" t="inlineStr">
        <is>
          <t>Insumo</t>
        </is>
      </c>
      <c r="C1960" s="10" t="inlineStr">
        <is>
          <t>36_DRY 90 mm LV - 2 PLACAS - 11,50cm  -  Lado A: PLACA ST - Lado B: PLACA RU</t>
        </is>
      </c>
      <c r="D1960" s="10" t="inlineStr">
        <is>
          <t>PERFIL GUIA, FORMATO U, EM ACO ZINCADO, PARA ESTRUTURA PAREDE DRYWALL, E = 0,5 MM, 90 X 3000 MM (L X C)</t>
        </is>
      </c>
      <c r="E1960" s="11">
        <f t="array" ref="E1960">_xlfn.XLOOKUP(D1960,Insumos!B:B,Insumos!C:$C)</f>
        <v/>
      </c>
      <c r="F1960" s="14" t="n">
        <v>1.5248</v>
      </c>
      <c r="G1960" s="92">
        <f t="array" ref="G1960">IF(B1960="insumo",_xlfn.XLOOKUP($D1960,Insumos!$B$1:$B$996,Insumos!$D$1:$D$996),"")</f>
        <v/>
      </c>
      <c r="H1960" s="92" t="n">
        <v>13.174272</v>
      </c>
      <c r="I1960" s="2162" t="n">
        <v>0</v>
      </c>
      <c r="J1960" s="2162" t="n">
        <v>0</v>
      </c>
      <c r="K1960" s="2162" t="n"/>
    </row>
    <row r="1961" outlineLevel="3" ht="15.75" customHeight="1">
      <c r="A1961" s="10" t="n">
        <v>26</v>
      </c>
      <c r="B1961" s="10" t="inlineStr">
        <is>
          <t>Insumo</t>
        </is>
      </c>
      <c r="C1961" s="10" t="inlineStr">
        <is>
          <t>36_DRY 90 mm LV - 2 PLACAS - 11,50cm  -  Lado A: PLACA ST - Lado B: PLACA RU</t>
        </is>
      </c>
      <c r="D1961" s="10" t="inlineStr">
        <is>
          <t>PERFIL MONTANTE, FORMATO C, EM ACO ZINCADO, PARA ESTRUTURA PAREDE DRYWALL, E = 0,5 MM, 90 X 3000 MM (L X C)</t>
        </is>
      </c>
      <c r="E1961" s="11">
        <f t="array" ref="E1961">_xlfn.XLOOKUP(D1961,Insumos!B:B,Insumos!C:$C)</f>
        <v/>
      </c>
      <c r="F1961" s="14" t="n">
        <v>4.0011</v>
      </c>
      <c r="G1961" s="92">
        <f t="array" ref="G1961">IF(B1961="insumo",_xlfn.XLOOKUP($D1961,Insumos!$B$1:$B$996,Insumos!$D$1:$D$996),"")</f>
        <v/>
      </c>
      <c r="H1961" s="92" t="n">
        <v>72.37989899999999</v>
      </c>
      <c r="I1961" s="2162" t="n">
        <v>0</v>
      </c>
      <c r="J1961" s="2162" t="n">
        <v>0</v>
      </c>
      <c r="K1961" s="2162" t="n"/>
    </row>
    <row r="1962" outlineLevel="3" ht="15.75" customHeight="1">
      <c r="A1962" s="10" t="n">
        <v>95</v>
      </c>
      <c r="B1962" s="10" t="inlineStr">
        <is>
          <t>Insumo</t>
        </is>
      </c>
      <c r="C1962" s="10" t="inlineStr">
        <is>
          <t>36_DRY 90 mm LV - 2 PLACAS - 11,50cm  -  Lado A: PLACA ST - Lado B: PLACA RU</t>
        </is>
      </c>
      <c r="D1962" s="10" t="inlineStr">
        <is>
          <t>MASSA DE REJUNTE EM PO PARA DRYWALL, A BASE DE GESSO, SECAGEM RAPIDA, PARA TRATAMENTO DE JUNTAS DE CHAPA DE GESSO (NECESSITA ADICAO DE AGUA)</t>
        </is>
      </c>
      <c r="E1962" s="11">
        <f t="array" ref="E1962">_xlfn.XLOOKUP(D1962,Insumos!B:B,Insumos!C:$C)</f>
        <v/>
      </c>
      <c r="F1962" s="14" t="n">
        <v>1.0978</v>
      </c>
      <c r="G1962" s="92">
        <f t="array" ref="G1962">IF(B1962="insumo",_xlfn.XLOOKUP($D1962,Insumos!$B$1:$B$996,Insumos!$D$1:$D$996),"")</f>
        <v/>
      </c>
      <c r="H1962" s="92" t="n">
        <v>3.765454</v>
      </c>
      <c r="I1962" s="2162" t="n">
        <v>0</v>
      </c>
      <c r="J1962" s="2162" t="n">
        <v>0</v>
      </c>
      <c r="K1962" s="2162" t="n"/>
    </row>
    <row r="1963" outlineLevel="3" ht="15.75" customHeight="1">
      <c r="A1963" s="10" t="n">
        <v>94</v>
      </c>
      <c r="B1963" s="10" t="inlineStr">
        <is>
          <t>Insumo</t>
        </is>
      </c>
      <c r="C1963" s="10" t="inlineStr">
        <is>
          <t>36_DRY 90 mm LV - 2 PLACAS - 11,50cm  -  Lado A: PLACA ST - Lado B: PLACA RU</t>
        </is>
      </c>
      <c r="D1963" s="10" t="inlineStr">
        <is>
          <t>FITA DE PAPEL MICROPERFURADO, 50 X 150 MM, PARA TRATAMENTO DE JUNTAS DE CHAPA DE GESSO PARA DRYWALL</t>
        </is>
      </c>
      <c r="E1963" s="11">
        <f t="array" ref="E1963">_xlfn.XLOOKUP(D1963,Insumos!B:B,Insumos!C:$C)</f>
        <v/>
      </c>
      <c r="F1963" s="14" t="n">
        <v>2.5027</v>
      </c>
      <c r="G1963" s="92">
        <f t="array" ref="G1963">IF(B1963="insumo",_xlfn.XLOOKUP($D1963,Insumos!$B$1:$B$996,Insumos!$D$1:$D$996),"")</f>
        <v/>
      </c>
      <c r="H1963" s="92" t="n">
        <v>0.775837</v>
      </c>
      <c r="I1963" s="2162" t="n">
        <v>0</v>
      </c>
      <c r="J1963" s="2162" t="n">
        <v>0</v>
      </c>
      <c r="K1963" s="2162" t="n"/>
    </row>
    <row r="1964" outlineLevel="3" ht="15.75" customHeight="1">
      <c r="A1964" s="10" t="n">
        <v>94</v>
      </c>
      <c r="B1964" s="10" t="inlineStr">
        <is>
          <t>Insumo</t>
        </is>
      </c>
      <c r="C1964" s="10" t="inlineStr">
        <is>
          <t>36_DRY 90 mm LV - 2 PLACAS - 11,50cm  -  Lado A: PLACA ST - Lado B: PLACA RU</t>
        </is>
      </c>
      <c r="D1964" s="10" t="inlineStr">
        <is>
          <t>FITA DE PAPEL REFORCADA COM LAMINA DE METAL PARA REFORCO DE CANTOS DE CHAPA DE GESSO PARA DRYWALL</t>
        </is>
      </c>
      <c r="E1964" s="11">
        <f t="array" ref="E1964">_xlfn.XLOOKUP(D1964,Insumos!B:B,Insumos!C:$C)</f>
        <v/>
      </c>
      <c r="F1964" s="14" t="n">
        <v>1.5851</v>
      </c>
      <c r="G1964" s="92">
        <f t="array" ref="G1964">IF(B1964="insumo",_xlfn.XLOOKUP($D1964,Insumos!$B$1:$B$996,Insumos!$D$1:$D$996),"")</f>
        <v/>
      </c>
      <c r="H1964" s="92" t="n">
        <v>4.343174</v>
      </c>
      <c r="I1964" s="2162" t="n">
        <v>0</v>
      </c>
      <c r="J1964" s="2162" t="n">
        <v>0</v>
      </c>
      <c r="K1964" s="2162" t="n"/>
    </row>
    <row r="1965" outlineLevel="3" ht="15.75" customHeight="1">
      <c r="A1965" s="10" t="n">
        <v>97</v>
      </c>
      <c r="B1965" s="10" t="inlineStr">
        <is>
          <t>Insumo</t>
        </is>
      </c>
      <c r="C1965" s="10" t="inlineStr">
        <is>
          <t>36_DRY 90 mm LV - 2 PLACAS - 11,50cm  -  Lado A: PLACA ST - Lado B: PLACA RU</t>
        </is>
      </c>
      <c r="D1965" s="10" t="inlineStr">
        <is>
          <t>PARAFUSO DRY WALL, EM ACO FOSFATIZADO, CABECA TROMBETA E PONTA AGULHA (TA), COMPRIMENTO 25 MM</t>
        </is>
      </c>
      <c r="E1965" s="11">
        <f t="array" ref="E1965">_xlfn.XLOOKUP(D1965,Insumos!B:B,Insumos!C:$C)</f>
        <v/>
      </c>
      <c r="F1965" s="14" t="n">
        <v>20.1868</v>
      </c>
      <c r="G1965" s="92">
        <f t="array" ref="G1965">IF(B1965="insumo",_xlfn.XLOOKUP($D1965,Insumos!$B$1:$B$996,Insumos!$D$1:$D$996),"")</f>
        <v/>
      </c>
      <c r="H1965" s="92" t="n">
        <v>1.816812</v>
      </c>
      <c r="I1965" s="2162" t="n">
        <v>0</v>
      </c>
      <c r="J1965" s="2162" t="n">
        <v>0</v>
      </c>
      <c r="K1965" s="2162" t="n"/>
    </row>
    <row r="1966" outlineLevel="3" ht="15.75" customHeight="1">
      <c r="A1966" s="10" t="n">
        <v>95</v>
      </c>
      <c r="B1966" s="10" t="inlineStr">
        <is>
          <t>Insumo</t>
        </is>
      </c>
      <c r="C1966" s="10" t="inlineStr">
        <is>
          <t>36_DRY 90 mm LV - 2 PLACAS - 11,50cm  -  Lado A: PLACA ST - Lado B: PLACA RU</t>
        </is>
      </c>
      <c r="D1966" s="10" t="inlineStr">
        <is>
          <t>PARAFUSO DRY WALL, EM ACO ZINCADO, CABECA LENTILHA E PONTA BROCA (LB), LARGURA 4,2 MM, COMPRIMENTO 13 MM</t>
        </is>
      </c>
      <c r="E1966" s="11">
        <f t="array" ref="E1966">_xlfn.XLOOKUP(D1966,Insumos!B:B,Insumos!C:$C)</f>
        <v/>
      </c>
      <c r="F1966" s="14" t="n">
        <v>0.5441</v>
      </c>
      <c r="G1966" s="92">
        <f t="array" ref="G1966">IF(B1966="insumo",_xlfn.XLOOKUP($D1966,Insumos!$B$1:$B$996,Insumos!$D$1:$D$996),"")</f>
        <v/>
      </c>
      <c r="H1966" s="92" t="n">
        <v>0.10882</v>
      </c>
      <c r="I1966" s="2162" t="n">
        <v>0</v>
      </c>
      <c r="J1966" s="2162" t="n">
        <v>0</v>
      </c>
      <c r="K1966" s="2162" t="n"/>
    </row>
    <row r="1967" outlineLevel="3" ht="15.75" customHeight="1">
      <c r="A1967" s="10" t="n">
        <v>35</v>
      </c>
      <c r="B1967" s="10" t="inlineStr">
        <is>
          <t>Insumo</t>
        </is>
      </c>
      <c r="C1967" s="10" t="inlineStr">
        <is>
          <t>36_DRY 90 mm LV - 2 PLACAS - 11,50cm  -  Lado A: PLACA ST - Lado B: PLACA RU</t>
        </is>
      </c>
      <c r="D1967" s="10" t="inlineStr">
        <is>
          <t>Lã de pet 50 X 1200 X 12500 MM</t>
        </is>
      </c>
      <c r="E1967" s="11">
        <f t="array" ref="E1967">_xlfn.XLOOKUP(D1967,Insumos!B:B,Insumos!C:$C)</f>
        <v/>
      </c>
      <c r="F1967" s="14" t="n">
        <v>1.1</v>
      </c>
      <c r="G1967" s="92">
        <f t="array" ref="G1967">IF(B1967="insumo",_xlfn.XLOOKUP($D1967,Insumos!$B$1:$B$996,Insumos!$D$1:$D$996),"")</f>
        <v/>
      </c>
      <c r="H1967" s="92" t="n">
        <v>14.3212666666667</v>
      </c>
      <c r="I1967" s="2162" t="n">
        <v>0</v>
      </c>
      <c r="J1967" s="2162" t="n">
        <v>0</v>
      </c>
      <c r="K1967" s="2162" t="n"/>
    </row>
    <row r="1968" outlineLevel="2" ht="15.75" customHeight="1">
      <c r="A1968" s="1067" t="n">
        <v>1</v>
      </c>
      <c r="B1968" s="1067" t="inlineStr">
        <is>
          <t>Serviço</t>
        </is>
      </c>
      <c r="C1968" s="1067" t="inlineStr">
        <is>
          <t>36_DRY 90 mm LV - 4 PLACAS - 14,00cm  -  Lado A: PLACA PERFORMANCE RU + ST - Lado B: PLACA ST + ST</t>
        </is>
      </c>
      <c r="D1968" s="1067" t="inlineStr">
        <is>
          <t>36_DRY 90 mm LV - 4 PLACAS - 14,00cm  -  Lado A: PLACA PERFORMANCE RU + ST - Lado B: PLACA ST + ST</t>
        </is>
      </c>
      <c r="E1968" s="1068" t="inlineStr">
        <is>
          <t>M2</t>
        </is>
      </c>
      <c r="F1968" s="1067" t="n"/>
      <c r="G1968" s="1069">
        <f t="array" ref="G1968">IF(B1968="insumo",_xlfn.XLOOKUP($D1968,Insumos!$B$1:$B$996,Insumos!$D$1:$D$996),"")</f>
        <v/>
      </c>
      <c r="H1968" s="1069" t="n">
        <v>280.532694666667</v>
      </c>
      <c r="I1968" s="2161" t="n">
        <v>0</v>
      </c>
      <c r="J1968" s="2161" t="n">
        <v>0</v>
      </c>
      <c r="K1968" s="2161" t="n"/>
    </row>
    <row r="1969" outlineLevel="3" ht="15.75" customHeight="1">
      <c r="A1969" s="10" t="n">
        <v>86</v>
      </c>
      <c r="B1969" s="10" t="inlineStr">
        <is>
          <t>Insumo</t>
        </is>
      </c>
      <c r="C1969" s="10" t="inlineStr">
        <is>
          <t>36_DRY 90 mm LV - 4 PLACAS - 14,00cm  -  Lado A: PLACA PERFORMANCE RU + ST - Lado B: PLACA ST + ST</t>
        </is>
      </c>
      <c r="D1969" s="10" t="inlineStr">
        <is>
          <t>SERVICO - CONFECCAO SHAFT GESSO</t>
        </is>
      </c>
      <c r="E1969" s="11">
        <f t="array" ref="E1969">_xlfn.XLOOKUP(D1969,Insumos!B:B,Insumos!C:$C)</f>
        <v/>
      </c>
      <c r="F1969" s="14" t="n">
        <v>1</v>
      </c>
      <c r="G1969" s="92">
        <f t="array" ref="G1969">IF(B1969="insumo",_xlfn.XLOOKUP($D1969,Insumos!$B$1:$B$996,Insumos!$D$1:$D$996),"")</f>
        <v/>
      </c>
      <c r="H1969" s="92" t="n">
        <v>70</v>
      </c>
      <c r="I1969" s="2162" t="n">
        <v>0</v>
      </c>
      <c r="J1969" s="2162" t="n">
        <v>0</v>
      </c>
      <c r="K1969" s="2162" t="n"/>
    </row>
    <row r="1970" outlineLevel="3" ht="15.75" customHeight="1">
      <c r="A1970" s="10" t="n">
        <v>49</v>
      </c>
      <c r="B1970" s="10" t="inlineStr">
        <is>
          <t>Insumo</t>
        </is>
      </c>
      <c r="C1970" s="10" t="inlineStr">
        <is>
          <t>36_DRY 90 mm LV - 4 PLACAS - 14,00cm  -  Lado A: PLACA PERFORMANCE RU + ST - Lado B: PLACA ST + ST</t>
        </is>
      </c>
      <c r="D1970" s="10" t="inlineStr">
        <is>
          <t>PLACA / CHAPA DE GESSO ACARTONADO, RESISTENTE A UMIDADE (RU), COR VERDE, E = 12,5 MM, 1200 X 2400 MM (L X C)</t>
        </is>
      </c>
      <c r="E1970" s="11">
        <f t="array" ref="E1970">_xlfn.XLOOKUP(D1970,Insumos!B:B,Insumos!C:$C)</f>
        <v/>
      </c>
      <c r="F1970" s="14">
        <f>1.106</f>
        <v/>
      </c>
      <c r="G1970" s="92">
        <f t="array" ref="G1970">IF(B1970="insumo",_xlfn.XLOOKUP($D1970,Insumos!$B$1:$B$996,Insumos!$D$1:$D$996),"")</f>
        <v/>
      </c>
      <c r="H1970" s="92" t="n">
        <v>29.9726</v>
      </c>
      <c r="I1970" s="2162" t="n">
        <v>0</v>
      </c>
      <c r="J1970" s="2162" t="n">
        <v>0</v>
      </c>
      <c r="K1970" s="2162" t="n"/>
    </row>
    <row r="1971" outlineLevel="3" ht="15.75" customHeight="1">
      <c r="A1971" s="10" t="n">
        <v>47</v>
      </c>
      <c r="B1971" s="10" t="inlineStr">
        <is>
          <t>Insumo</t>
        </is>
      </c>
      <c r="C1971" s="10" t="inlineStr">
        <is>
          <t>36_DRY 90 mm LV - 4 PLACAS - 14,00cm  -  Lado A: PLACA PERFORMANCE RU + ST - Lado B: PLACA ST + ST</t>
        </is>
      </c>
      <c r="D1971" s="10" t="inlineStr">
        <is>
          <t>PLACA / CHAPA DE GESSO ACARTONADO, STANDARD (ST), COR BRANCA, E = 12,5 MM, 1200 X 2400 MM (L X C)</t>
        </is>
      </c>
      <c r="E1971" s="11">
        <f t="array" ref="E1971">_xlfn.XLOOKUP(D1971,Insumos!B:B,Insumos!C:$C)</f>
        <v/>
      </c>
      <c r="F1971" s="14">
        <f>1.106*3</f>
        <v/>
      </c>
      <c r="G1971" s="92">
        <f t="array" ref="G1971">IF(B1971="insumo",_xlfn.XLOOKUP($D1971,Insumos!$B$1:$B$996,Insumos!$D$1:$D$996),"")</f>
        <v/>
      </c>
      <c r="H1971" s="92" t="n">
        <v>66.89088</v>
      </c>
      <c r="I1971" s="2162" t="n">
        <v>0</v>
      </c>
      <c r="J1971" s="2162" t="n">
        <v>0</v>
      </c>
      <c r="K1971" s="2162" t="n"/>
    </row>
    <row r="1972" outlineLevel="3" ht="15.75" customHeight="1">
      <c r="A1972" s="10" t="n">
        <v>95</v>
      </c>
      <c r="B1972" s="10" t="inlineStr">
        <is>
          <t>Insumo</t>
        </is>
      </c>
      <c r="C1972" s="10" t="inlineStr">
        <is>
          <t>36_DRY 90 mm LV - 4 PLACAS - 14,00cm  -  Lado A: PLACA PERFORMANCE RU + ST - Lado B: PLACA ST + ST</t>
        </is>
      </c>
      <c r="D1972" s="10" t="inlineStr">
        <is>
          <t>PINO DE ACO COM ARRUELA CONICA, DIAMETRO ARRUELA = *23* MM E COMP HASTE = *27* MM (ACAO INDIRETA)</t>
        </is>
      </c>
      <c r="E1972" s="11">
        <f t="array" ref="E1972">_xlfn.XLOOKUP(D1972,Insumos!B:B,Insumos!C:$C)</f>
        <v/>
      </c>
      <c r="F1972" s="14" t="n">
        <v>5.92</v>
      </c>
      <c r="G1972" s="92">
        <f t="array" ref="G1972">IF(B1972="insumo",_xlfn.XLOOKUP($D1972,Insumos!$B$1:$B$996,Insumos!$D$1:$D$996),"")</f>
        <v/>
      </c>
      <c r="H1972" s="92" t="n">
        <v>2.98368</v>
      </c>
      <c r="I1972" s="2162" t="n">
        <v>0</v>
      </c>
      <c r="J1972" s="2162" t="n">
        <v>0</v>
      </c>
      <c r="K1972" s="2162" t="n"/>
    </row>
    <row r="1973" outlineLevel="3" ht="15.75" customHeight="1">
      <c r="A1973" s="10" t="n">
        <v>26</v>
      </c>
      <c r="B1973" s="10" t="inlineStr">
        <is>
          <t>Insumo</t>
        </is>
      </c>
      <c r="C1973" s="10" t="inlineStr">
        <is>
          <t>36_DRY 90 mm LV - 4 PLACAS - 14,00cm  -  Lado A: PLACA PERFORMANCE RU + ST - Lado B: PLACA ST + ST</t>
        </is>
      </c>
      <c r="D1973" s="10" t="inlineStr">
        <is>
          <t>PERFIL GUIA, FORMATO U, EM ACO ZINCADO, PARA ESTRUTURA PAREDE DRYWALL, E = 0,5 MM, 90 X 3000 MM (L X C)</t>
        </is>
      </c>
      <c r="E1973" s="11">
        <f t="array" ref="E1973">_xlfn.XLOOKUP(D1973,Insumos!B:B,Insumos!C:$C)</f>
        <v/>
      </c>
      <c r="F1973" s="14" t="n">
        <v>1.5248</v>
      </c>
      <c r="G1973" s="92">
        <f t="array" ref="G1973">IF(B1973="insumo",_xlfn.XLOOKUP($D1973,Insumos!$B$1:$B$996,Insumos!$D$1:$D$996),"")</f>
        <v/>
      </c>
      <c r="H1973" s="92" t="n">
        <v>13.174272</v>
      </c>
      <c r="I1973" s="2162" t="n">
        <v>0</v>
      </c>
      <c r="J1973" s="2162" t="n">
        <v>0</v>
      </c>
      <c r="K1973" s="2162" t="n"/>
    </row>
    <row r="1974" outlineLevel="3" ht="15.75" customHeight="1">
      <c r="A1974" s="10" t="n">
        <v>26</v>
      </c>
      <c r="B1974" s="10" t="inlineStr">
        <is>
          <t>Insumo</t>
        </is>
      </c>
      <c r="C1974" s="10" t="inlineStr">
        <is>
          <t>36_DRY 90 mm LV - 4 PLACAS - 14,00cm  -  Lado A: PLACA PERFORMANCE RU + ST - Lado B: PLACA ST + ST</t>
        </is>
      </c>
      <c r="D1974" s="10" t="inlineStr">
        <is>
          <t>PERFIL MONTANTE, FORMATO C, EM ACO ZINCADO, PARA ESTRUTURA PAREDE DRYWALL, E = 0,5 MM, 90 X 3000 MM (L X C)</t>
        </is>
      </c>
      <c r="E1974" s="11">
        <f t="array" ref="E1974">_xlfn.XLOOKUP(D1974,Insumos!B:B,Insumos!C:$C)</f>
        <v/>
      </c>
      <c r="F1974" s="14" t="n">
        <v>4.0011</v>
      </c>
      <c r="G1974" s="92">
        <f t="array" ref="G1974">IF(B1974="insumo",_xlfn.XLOOKUP($D1974,Insumos!$B$1:$B$996,Insumos!$D$1:$D$996),"")</f>
        <v/>
      </c>
      <c r="H1974" s="92" t="n">
        <v>72.37989899999999</v>
      </c>
      <c r="I1974" s="2162" t="n">
        <v>0</v>
      </c>
      <c r="J1974" s="2162" t="n">
        <v>0</v>
      </c>
      <c r="K1974" s="2162" t="n"/>
    </row>
    <row r="1975" outlineLevel="3" ht="15.75" customHeight="1">
      <c r="A1975" s="10" t="n">
        <v>95</v>
      </c>
      <c r="B1975" s="10" t="inlineStr">
        <is>
          <t>Insumo</t>
        </is>
      </c>
      <c r="C1975" s="10" t="inlineStr">
        <is>
          <t>36_DRY 90 mm LV - 4 PLACAS - 14,00cm  -  Lado A: PLACA PERFORMANCE RU + ST - Lado B: PLACA ST + ST</t>
        </is>
      </c>
      <c r="D1975" s="10" t="inlineStr">
        <is>
          <t>MASSA DE REJUNTE EM PO PARA DRYWALL, A BASE DE GESSO, SECAGEM RAPIDA, PARA TRATAMENTO DE JUNTAS DE CHAPA DE GESSO (NECESSITA ADICAO DE AGUA)</t>
        </is>
      </c>
      <c r="E1975" s="11">
        <f t="array" ref="E1975">_xlfn.XLOOKUP(D1975,Insumos!B:B,Insumos!C:$C)</f>
        <v/>
      </c>
      <c r="F1975" s="14" t="n">
        <v>1.0978</v>
      </c>
      <c r="G1975" s="92">
        <f t="array" ref="G1975">IF(B1975="insumo",_xlfn.XLOOKUP($D1975,Insumos!$B$1:$B$996,Insumos!$D$1:$D$996),"")</f>
        <v/>
      </c>
      <c r="H1975" s="92" t="n">
        <v>3.765454</v>
      </c>
      <c r="I1975" s="2162" t="n">
        <v>0</v>
      </c>
      <c r="J1975" s="2162" t="n">
        <v>0</v>
      </c>
      <c r="K1975" s="2162" t="n"/>
    </row>
    <row r="1976" outlineLevel="3" ht="15.75" customHeight="1">
      <c r="A1976" s="10" t="n">
        <v>94</v>
      </c>
      <c r="B1976" s="10" t="inlineStr">
        <is>
          <t>Insumo</t>
        </is>
      </c>
      <c r="C1976" s="10" t="inlineStr">
        <is>
          <t>36_DRY 90 mm LV - 4 PLACAS - 14,00cm  -  Lado A: PLACA PERFORMANCE RU + ST - Lado B: PLACA ST + ST</t>
        </is>
      </c>
      <c r="D1976" s="10" t="inlineStr">
        <is>
          <t>FITA DE PAPEL MICROPERFURADO, 50 X 150 MM, PARA TRATAMENTO DE JUNTAS DE CHAPA DE GESSO PARA DRYWALL</t>
        </is>
      </c>
      <c r="E1976" s="11">
        <f t="array" ref="E1976">_xlfn.XLOOKUP(D1976,Insumos!B:B,Insumos!C:$C)</f>
        <v/>
      </c>
      <c r="F1976" s="14" t="n">
        <v>2.5027</v>
      </c>
      <c r="G1976" s="92">
        <f t="array" ref="G1976">IF(B1976="insumo",_xlfn.XLOOKUP($D1976,Insumos!$B$1:$B$996,Insumos!$D$1:$D$996),"")</f>
        <v/>
      </c>
      <c r="H1976" s="92" t="n">
        <v>0.775837</v>
      </c>
      <c r="I1976" s="2162" t="n">
        <v>0</v>
      </c>
      <c r="J1976" s="2162" t="n">
        <v>0</v>
      </c>
      <c r="K1976" s="2162" t="n"/>
    </row>
    <row r="1977" outlineLevel="3" ht="15.75" customHeight="1">
      <c r="A1977" s="10" t="n">
        <v>94</v>
      </c>
      <c r="B1977" s="10" t="inlineStr">
        <is>
          <t>Insumo</t>
        </is>
      </c>
      <c r="C1977" s="10" t="inlineStr">
        <is>
          <t>36_DRY 90 mm LV - 4 PLACAS - 14,00cm  -  Lado A: PLACA PERFORMANCE RU + ST - Lado B: PLACA ST + ST</t>
        </is>
      </c>
      <c r="D1977" s="10" t="inlineStr">
        <is>
          <t>FITA DE PAPEL REFORCADA COM LAMINA DE METAL PARA REFORCO DE CANTOS DE CHAPA DE GESSO PARA DRYWALL</t>
        </is>
      </c>
      <c r="E1977" s="11">
        <f t="array" ref="E1977">_xlfn.XLOOKUP(D1977,Insumos!B:B,Insumos!C:$C)</f>
        <v/>
      </c>
      <c r="F1977" s="14" t="n">
        <v>1.5851</v>
      </c>
      <c r="G1977" s="92">
        <f t="array" ref="G1977">IF(B1977="insumo",_xlfn.XLOOKUP($D1977,Insumos!$B$1:$B$996,Insumos!$D$1:$D$996),"")</f>
        <v/>
      </c>
      <c r="H1977" s="92" t="n">
        <v>4.343174</v>
      </c>
      <c r="I1977" s="2162" t="n">
        <v>0</v>
      </c>
      <c r="J1977" s="2162" t="n">
        <v>0</v>
      </c>
      <c r="K1977" s="2162" t="n"/>
    </row>
    <row r="1978" outlineLevel="3" ht="15.75" customHeight="1">
      <c r="A1978" s="10" t="n">
        <v>97</v>
      </c>
      <c r="B1978" s="10" t="inlineStr">
        <is>
          <t>Insumo</t>
        </is>
      </c>
      <c r="C1978" s="10" t="inlineStr">
        <is>
          <t>36_DRY 90 mm LV - 4 PLACAS - 14,00cm  -  Lado A: PLACA PERFORMANCE RU + ST - Lado B: PLACA ST + ST</t>
        </is>
      </c>
      <c r="D1978" s="10" t="inlineStr">
        <is>
          <t>PARAFUSO DRY WALL, EM ACO FOSFATIZADO, CABECA TROMBETA E PONTA AGULHA (TA), COMPRIMENTO 25 MM</t>
        </is>
      </c>
      <c r="E1978" s="11">
        <f t="array" ref="E1978">_xlfn.XLOOKUP(D1978,Insumos!B:B,Insumos!C:$C)</f>
        <v/>
      </c>
      <c r="F1978" s="14" t="n">
        <v>20.1868</v>
      </c>
      <c r="G1978" s="92">
        <f t="array" ref="G1978">IF(B1978="insumo",_xlfn.XLOOKUP($D1978,Insumos!$B$1:$B$996,Insumos!$D$1:$D$996),"")</f>
        <v/>
      </c>
      <c r="H1978" s="92" t="n">
        <v>1.816812</v>
      </c>
      <c r="I1978" s="2162" t="n">
        <v>0</v>
      </c>
      <c r="J1978" s="2162" t="n">
        <v>0</v>
      </c>
      <c r="K1978" s="2162" t="n"/>
    </row>
    <row r="1979" outlineLevel="3" ht="15.75" customHeight="1">
      <c r="A1979" s="10" t="n">
        <v>95</v>
      </c>
      <c r="B1979" s="10" t="inlineStr">
        <is>
          <t>Insumo</t>
        </is>
      </c>
      <c r="C1979" s="10" t="inlineStr">
        <is>
          <t>36_DRY 90 mm LV - 4 PLACAS - 14,00cm  -  Lado A: PLACA PERFORMANCE RU + ST - Lado B: PLACA ST + ST</t>
        </is>
      </c>
      <c r="D1979" s="10" t="inlineStr">
        <is>
          <t>PARAFUSO DRY WALL, EM ACO ZINCADO, CABECA LENTILHA E PONTA BROCA (LB), LARGURA 4,2 MM, COMPRIMENTO 13 MM</t>
        </is>
      </c>
      <c r="E1979" s="11">
        <f t="array" ref="E1979">_xlfn.XLOOKUP(D1979,Insumos!B:B,Insumos!C:$C)</f>
        <v/>
      </c>
      <c r="F1979" s="14" t="n">
        <v>0.5441</v>
      </c>
      <c r="G1979" s="92">
        <f t="array" ref="G1979">IF(B1979="insumo",_xlfn.XLOOKUP($D1979,Insumos!$B$1:$B$996,Insumos!$D$1:$D$996),"")</f>
        <v/>
      </c>
      <c r="H1979" s="92" t="n">
        <v>0.10882</v>
      </c>
      <c r="I1979" s="2162" t="n">
        <v>0</v>
      </c>
      <c r="J1979" s="2162" t="n">
        <v>0</v>
      </c>
      <c r="K1979" s="2162" t="n"/>
    </row>
    <row r="1980" outlineLevel="3" ht="15.75" customHeight="1">
      <c r="A1980" s="10" t="n">
        <v>35</v>
      </c>
      <c r="B1980" s="10" t="inlineStr">
        <is>
          <t>Insumo</t>
        </is>
      </c>
      <c r="C1980" s="10" t="inlineStr">
        <is>
          <t>36_DRY 90 mm LV - 4 PLACAS - 14,00cm  -  Lado A: PLACA PERFORMANCE RU + ST - Lado B: PLACA ST + ST</t>
        </is>
      </c>
      <c r="D1980" s="10" t="inlineStr">
        <is>
          <t>Lã de pet 50 X 1200 X 12500 MM</t>
        </is>
      </c>
      <c r="E1980" s="11">
        <f t="array" ref="E1980">_xlfn.XLOOKUP(D1980,Insumos!B:B,Insumos!C:$C)</f>
        <v/>
      </c>
      <c r="F1980" s="14" t="n">
        <v>1.1</v>
      </c>
      <c r="G1980" s="92">
        <f t="array" ref="G1980">IF(B1980="insumo",_xlfn.XLOOKUP($D1980,Insumos!$B$1:$B$996,Insumos!$D$1:$D$996),"")</f>
        <v/>
      </c>
      <c r="H1980" s="92" t="n">
        <v>14.3212666666667</v>
      </c>
      <c r="I1980" s="2162" t="n">
        <v>0</v>
      </c>
      <c r="J1980" s="2162" t="n">
        <v>0</v>
      </c>
      <c r="K1980" s="2162" t="n"/>
    </row>
    <row r="1981" outlineLevel="2" ht="15.75" customHeight="1">
      <c r="A1981" s="1067" t="n">
        <v>1</v>
      </c>
      <c r="B1981" s="1067" t="inlineStr">
        <is>
          <t>Serviço</t>
        </is>
      </c>
      <c r="C1981" s="1067" t="inlineStr">
        <is>
          <t>36_DRY 90 mm LV - 1 PLACA - 10,25cm  -  Lado A: PLACA RU - Lado B: N/A</t>
        </is>
      </c>
      <c r="D1981" s="1067" t="inlineStr">
        <is>
          <t>36_DRY 90 mm LV - 1 PLACA - 10,25cm  -  Lado A: PLACA RU - Lado B: N/A</t>
        </is>
      </c>
      <c r="E1981" s="1068" t="inlineStr">
        <is>
          <t>M2</t>
        </is>
      </c>
      <c r="F1981" s="1067" t="n"/>
      <c r="G1981" s="1069">
        <f t="array" ref="G1981">IF(B1981="insumo",_xlfn.XLOOKUP($D1981,Insumos!$B$1:$B$996,Insumos!$D$1:$D$996),"")</f>
        <v/>
      </c>
      <c r="H1981" s="1069" t="n">
        <v>208.291176166667</v>
      </c>
      <c r="I1981" s="2161" t="n">
        <v>0</v>
      </c>
      <c r="J1981" s="2161" t="n">
        <v>0</v>
      </c>
      <c r="K1981" s="2161" t="n"/>
    </row>
    <row r="1982" outlineLevel="3" ht="15.75" customHeight="1">
      <c r="A1982" s="10" t="n">
        <v>86</v>
      </c>
      <c r="B1982" s="10" t="inlineStr">
        <is>
          <t>Insumo</t>
        </is>
      </c>
      <c r="C1982" s="10" t="inlineStr">
        <is>
          <t>36_DRY 90 mm LV - 1 PLACA - 10,25cm  -  Lado A: PLACA RU - Lado B: N/A</t>
        </is>
      </c>
      <c r="D1982" s="10" t="inlineStr">
        <is>
          <t>SERVICO - CONFECCAO SHAFT GESSO</t>
        </is>
      </c>
      <c r="E1982" s="11">
        <f t="array" ref="E1982">_xlfn.XLOOKUP(D1982,Insumos!B:B,Insumos!C:$C)</f>
        <v/>
      </c>
      <c r="F1982" s="14" t="n">
        <v>1</v>
      </c>
      <c r="G1982" s="92">
        <f t="array" ref="G1982">IF(B1982="insumo",_xlfn.XLOOKUP($D1982,Insumos!$B$1:$B$996,Insumos!$D$1:$D$996),"")</f>
        <v/>
      </c>
      <c r="H1982" s="92" t="n">
        <v>70</v>
      </c>
      <c r="I1982" s="2162" t="n">
        <v>0</v>
      </c>
      <c r="J1982" s="2162" t="n">
        <v>0</v>
      </c>
      <c r="K1982" s="2162" t="n"/>
    </row>
    <row r="1983" outlineLevel="3" ht="15.75" customHeight="1">
      <c r="A1983" s="10" t="n">
        <v>49</v>
      </c>
      <c r="B1983" s="10" t="inlineStr">
        <is>
          <t>Insumo</t>
        </is>
      </c>
      <c r="C1983" s="10" t="inlineStr">
        <is>
          <t>36_DRY 90 mm LV - 1 PLACA - 10,25cm  -  Lado A: PLACA RU - Lado B: N/A</t>
        </is>
      </c>
      <c r="D1983" s="10" t="inlineStr">
        <is>
          <t>PLACA / CHAPA DE GESSO ACARTONADO, RESISTENTE A UMIDADE (RU), COR VERDE, E = 12,5 MM, 1200 X 2400 MM (L X C)</t>
        </is>
      </c>
      <c r="E1983" s="11">
        <f t="array" ref="E1983">_xlfn.XLOOKUP(D1983,Insumos!B:B,Insumos!C:$C)</f>
        <v/>
      </c>
      <c r="F1983" s="14" t="n">
        <v>1.106</v>
      </c>
      <c r="G1983" s="92">
        <f t="array" ref="G1983">IF(B1983="insumo",_xlfn.XLOOKUP($D1983,Insumos!$B$1:$B$996,Insumos!$D$1:$D$996),"")</f>
        <v/>
      </c>
      <c r="H1983" s="92" t="n">
        <v>29.9726</v>
      </c>
      <c r="I1983" s="2162" t="n">
        <v>0</v>
      </c>
      <c r="J1983" s="2162" t="n">
        <v>0</v>
      </c>
      <c r="K1983" s="2162" t="n"/>
    </row>
    <row r="1984" outlineLevel="3" ht="15.75" customHeight="1">
      <c r="A1984" s="10" t="n">
        <v>95</v>
      </c>
      <c r="B1984" s="10" t="inlineStr">
        <is>
          <t>Insumo</t>
        </is>
      </c>
      <c r="C1984" s="10" t="inlineStr">
        <is>
          <t>36_DRY 90 mm LV - 1 PLACA - 10,25cm  -  Lado A: PLACA RU - Lado B: N/A</t>
        </is>
      </c>
      <c r="D1984" s="10" t="inlineStr">
        <is>
          <t>PINO DE ACO COM ARRUELA CONICA, DIAMETRO ARRUELA = *23* MM E COMP HASTE = *27* MM (ACAO INDIRETA)</t>
        </is>
      </c>
      <c r="E1984" s="11">
        <f t="array" ref="E1984">_xlfn.XLOOKUP(D1984,Insumos!B:B,Insumos!C:$C)</f>
        <v/>
      </c>
      <c r="F1984" s="14" t="n">
        <v>5.92</v>
      </c>
      <c r="G1984" s="92">
        <f t="array" ref="G1984">IF(B1984="insumo",_xlfn.XLOOKUP($D1984,Insumos!$B$1:$B$996,Insumos!$D$1:$D$996),"")</f>
        <v/>
      </c>
      <c r="H1984" s="92" t="n">
        <v>2.98368</v>
      </c>
      <c r="I1984" s="2162" t="n">
        <v>0</v>
      </c>
      <c r="J1984" s="2162" t="n">
        <v>0</v>
      </c>
      <c r="K1984" s="2162" t="n"/>
    </row>
    <row r="1985" outlineLevel="3" ht="15.75" customHeight="1">
      <c r="A1985" s="10" t="n">
        <v>26</v>
      </c>
      <c r="B1985" s="10" t="inlineStr">
        <is>
          <t>Insumo</t>
        </is>
      </c>
      <c r="C1985" s="10" t="inlineStr">
        <is>
          <t>36_DRY 90 mm LV - 1 PLACA - 10,25cm  -  Lado A: PLACA RU - Lado B: N/A</t>
        </is>
      </c>
      <c r="D1985" s="10" t="inlineStr">
        <is>
          <t>PERFIL GUIA, FORMATO U, EM ACO ZINCADO, PARA ESTRUTURA PAREDE DRYWALL, E = 0,5 MM, 90 X 3000 MM (L X C)</t>
        </is>
      </c>
      <c r="E1985" s="11">
        <f t="array" ref="E1985">_xlfn.XLOOKUP(D1985,Insumos!B:B,Insumos!C:$C)</f>
        <v/>
      </c>
      <c r="F1985" s="14" t="n">
        <v>1.5248</v>
      </c>
      <c r="G1985" s="92">
        <f t="array" ref="G1985">IF(B1985="insumo",_xlfn.XLOOKUP($D1985,Insumos!$B$1:$B$996,Insumos!$D$1:$D$996),"")</f>
        <v/>
      </c>
      <c r="H1985" s="92" t="n">
        <v>13.174272</v>
      </c>
      <c r="I1985" s="2162" t="n">
        <v>0</v>
      </c>
      <c r="J1985" s="2162" t="n">
        <v>0</v>
      </c>
      <c r="K1985" s="2162" t="n"/>
    </row>
    <row r="1986" outlineLevel="3" ht="15.75" customHeight="1">
      <c r="A1986" s="10" t="n">
        <v>26</v>
      </c>
      <c r="B1986" s="10" t="inlineStr">
        <is>
          <t>Insumo</t>
        </is>
      </c>
      <c r="C1986" s="10" t="inlineStr">
        <is>
          <t>36_DRY 90 mm LV - 1 PLACA - 10,25cm  -  Lado A: PLACA RU - Lado B: N/A</t>
        </is>
      </c>
      <c r="D1986" s="10" t="inlineStr">
        <is>
          <t>PERFIL MONTANTE, FORMATO C, EM ACO ZINCADO, PARA ESTRUTURA PAREDE DRYWALL, E = 0,5 MM, 90 X 3000 MM (L X C)</t>
        </is>
      </c>
      <c r="E1986" s="11">
        <f t="array" ref="E1986">_xlfn.XLOOKUP(D1986,Insumos!B:B,Insumos!C:$C)</f>
        <v/>
      </c>
      <c r="F1986" s="14" t="n">
        <v>4.0011</v>
      </c>
      <c r="G1986" s="92">
        <f t="array" ref="G1986">IF(B1986="insumo",_xlfn.XLOOKUP($D1986,Insumos!$B$1:$B$996,Insumos!$D$1:$D$996),"")</f>
        <v/>
      </c>
      <c r="H1986" s="92" t="n">
        <v>72.37989899999999</v>
      </c>
      <c r="I1986" s="2162" t="n">
        <v>0</v>
      </c>
      <c r="J1986" s="2162" t="n">
        <v>0</v>
      </c>
      <c r="K1986" s="2162" t="n"/>
    </row>
    <row r="1987" outlineLevel="3" ht="15.75" customHeight="1">
      <c r="A1987" s="10" t="n">
        <v>95</v>
      </c>
      <c r="B1987" s="10" t="inlineStr">
        <is>
          <t>Insumo</t>
        </is>
      </c>
      <c r="C1987" s="10" t="inlineStr">
        <is>
          <t>36_DRY 90 mm LV - 1 PLACA - 10,25cm  -  Lado A: PLACA RU - Lado B: N/A</t>
        </is>
      </c>
      <c r="D1987" s="10" t="inlineStr">
        <is>
          <t>MASSA DE REJUNTE EM PO PARA DRYWALL, A BASE DE GESSO, SECAGEM RAPIDA, PARA TRATAMENTO DE JUNTAS DE CHAPA DE GESSO (NECESSITA ADICAO DE AGUA)</t>
        </is>
      </c>
      <c r="E1987" s="11">
        <f t="array" ref="E1987">_xlfn.XLOOKUP(D1987,Insumos!B:B,Insumos!C:$C)</f>
        <v/>
      </c>
      <c r="F1987" s="14">
        <f>1.0978/2</f>
        <v/>
      </c>
      <c r="G1987" s="92">
        <f t="array" ref="G1987">IF(B1987="insumo",_xlfn.XLOOKUP($D1987,Insumos!$B$1:$B$996,Insumos!$D$1:$D$996),"")</f>
        <v/>
      </c>
      <c r="H1987" s="92" t="n">
        <v>1.882727</v>
      </c>
      <c r="I1987" s="2162" t="n">
        <v>0</v>
      </c>
      <c r="J1987" s="2162" t="n">
        <v>0</v>
      </c>
      <c r="K1987" s="2162" t="n"/>
    </row>
    <row r="1988" outlineLevel="3" ht="15.75" customHeight="1">
      <c r="A1988" s="10" t="n">
        <v>94</v>
      </c>
      <c r="B1988" s="10" t="inlineStr">
        <is>
          <t>Insumo</t>
        </is>
      </c>
      <c r="C1988" s="10" t="inlineStr">
        <is>
          <t>36_DRY 90 mm LV - 1 PLACA - 10,25cm  -  Lado A: PLACA RU - Lado B: N/A</t>
        </is>
      </c>
      <c r="D1988" s="10" t="inlineStr">
        <is>
          <t>FITA DE PAPEL MICROPERFURADO, 50 X 150 MM, PARA TRATAMENTO DE JUNTAS DE CHAPA DE GESSO PARA DRYWALL</t>
        </is>
      </c>
      <c r="E1988" s="11">
        <f t="array" ref="E1988">_xlfn.XLOOKUP(D1988,Insumos!B:B,Insumos!C:$C)</f>
        <v/>
      </c>
      <c r="F1988" s="14">
        <f>2.5027/2</f>
        <v/>
      </c>
      <c r="G1988" s="92">
        <f t="array" ref="G1988">IF(B1988="insumo",_xlfn.XLOOKUP($D1988,Insumos!$B$1:$B$996,Insumos!$D$1:$D$996),"")</f>
        <v/>
      </c>
      <c r="H1988" s="92" t="n">
        <v>0.3879185</v>
      </c>
      <c r="I1988" s="2162" t="n">
        <v>0</v>
      </c>
      <c r="J1988" s="2162" t="n">
        <v>0</v>
      </c>
      <c r="K1988" s="2162" t="n"/>
    </row>
    <row r="1989" outlineLevel="3" ht="15.75" customHeight="1">
      <c r="A1989" s="10" t="n">
        <v>94</v>
      </c>
      <c r="B1989" s="10" t="inlineStr">
        <is>
          <t>Insumo</t>
        </is>
      </c>
      <c r="C1989" s="10" t="inlineStr">
        <is>
          <t>36_DRY 90 mm LV - 1 PLACA - 10,25cm  -  Lado A: PLACA RU - Lado B: N/A</t>
        </is>
      </c>
      <c r="D1989" s="10" t="inlineStr">
        <is>
          <t>FITA DE PAPEL REFORCADA COM LAMINA DE METAL PARA REFORCO DE CANTOS DE CHAPA DE GESSO PARA DRYWALL</t>
        </is>
      </c>
      <c r="E1989" s="11">
        <f t="array" ref="E1989">_xlfn.XLOOKUP(D1989,Insumos!B:B,Insumos!C:$C)</f>
        <v/>
      </c>
      <c r="F1989" s="14">
        <f>1.5851/2</f>
        <v/>
      </c>
      <c r="G1989" s="92">
        <f t="array" ref="G1989">IF(B1989="insumo",_xlfn.XLOOKUP($D1989,Insumos!$B$1:$B$996,Insumos!$D$1:$D$996),"")</f>
        <v/>
      </c>
      <c r="H1989" s="92" t="n">
        <v>2.171587</v>
      </c>
      <c r="I1989" s="2162" t="n">
        <v>0</v>
      </c>
      <c r="J1989" s="2162" t="n">
        <v>0</v>
      </c>
      <c r="K1989" s="2162" t="n"/>
    </row>
    <row r="1990" outlineLevel="3" ht="15.75" customHeight="1">
      <c r="A1990" s="10" t="n">
        <v>97</v>
      </c>
      <c r="B1990" s="10" t="inlineStr">
        <is>
          <t>Insumo</t>
        </is>
      </c>
      <c r="C1990" s="10" t="inlineStr">
        <is>
          <t>36_DRY 90 mm LV - 1 PLACA - 10,25cm  -  Lado A: PLACA RU - Lado B: N/A</t>
        </is>
      </c>
      <c r="D1990" s="10" t="inlineStr">
        <is>
          <t>PARAFUSO DRY WALL, EM ACO FOSFATIZADO, CABECA TROMBETA E PONTA AGULHA (TA), COMPRIMENTO 25 MM</t>
        </is>
      </c>
      <c r="E1990" s="11">
        <f t="array" ref="E1990">_xlfn.XLOOKUP(D1990,Insumos!B:B,Insumos!C:$C)</f>
        <v/>
      </c>
      <c r="F1990" s="14">
        <f>20.1868/2</f>
        <v/>
      </c>
      <c r="G1990" s="92">
        <f t="array" ref="G1990">IF(B1990="insumo",_xlfn.XLOOKUP($D1990,Insumos!$B$1:$B$996,Insumos!$D$1:$D$996),"")</f>
        <v/>
      </c>
      <c r="H1990" s="92" t="n">
        <v>0.908406</v>
      </c>
      <c r="I1990" s="2162" t="n">
        <v>0</v>
      </c>
      <c r="J1990" s="2162" t="n">
        <v>0</v>
      </c>
      <c r="K1990" s="2162" t="n"/>
    </row>
    <row r="1991" outlineLevel="3" ht="15.75" customHeight="1">
      <c r="A1991" s="10" t="n">
        <v>95</v>
      </c>
      <c r="B1991" s="10" t="inlineStr">
        <is>
          <t>Insumo</t>
        </is>
      </c>
      <c r="C1991" s="10" t="inlineStr">
        <is>
          <t>36_DRY 90 mm LV - 1 PLACA - 10,25cm  -  Lado A: PLACA RU - Lado B: N/A</t>
        </is>
      </c>
      <c r="D1991" s="10" t="inlineStr">
        <is>
          <t>PARAFUSO DRY WALL, EM ACO ZINCADO, CABECA LENTILHA E PONTA BROCA (LB), LARGURA 4,2 MM, COMPRIMENTO 13 MM</t>
        </is>
      </c>
      <c r="E1991" s="11">
        <f t="array" ref="E1991">_xlfn.XLOOKUP(D1991,Insumos!B:B,Insumos!C:$C)</f>
        <v/>
      </c>
      <c r="F1991" s="14" t="n">
        <v>0.5441</v>
      </c>
      <c r="G1991" s="92">
        <f t="array" ref="G1991">IF(B1991="insumo",_xlfn.XLOOKUP($D1991,Insumos!$B$1:$B$996,Insumos!$D$1:$D$996),"")</f>
        <v/>
      </c>
      <c r="H1991" s="92" t="n">
        <v>0.10882</v>
      </c>
      <c r="I1991" s="2162" t="n">
        <v>0</v>
      </c>
      <c r="J1991" s="2162" t="n">
        <v>0</v>
      </c>
      <c r="K1991" s="2162" t="n"/>
    </row>
    <row r="1992" outlineLevel="3" ht="15.75" customHeight="1">
      <c r="A1992" s="10" t="n">
        <v>35</v>
      </c>
      <c r="B1992" s="10" t="inlineStr">
        <is>
          <t>Insumo</t>
        </is>
      </c>
      <c r="C1992" s="10" t="inlineStr">
        <is>
          <t>36_DRY 90 mm LV - 1 PLACA - 10,25cm  -  Lado A: PLACA RU - Lado B: N/A</t>
        </is>
      </c>
      <c r="D1992" s="10" t="inlineStr">
        <is>
          <t>Lã de pet 50 X 1200 X 12500 MM</t>
        </is>
      </c>
      <c r="E1992" s="11">
        <f t="array" ref="E1992">_xlfn.XLOOKUP(D1992,Insumos!B:B,Insumos!C:$C)</f>
        <v/>
      </c>
      <c r="F1992" s="14" t="n">
        <v>1.1</v>
      </c>
      <c r="G1992" s="92">
        <f t="array" ref="G1992">IF(B1992="insumo",_xlfn.XLOOKUP($D1992,Insumos!$B$1:$B$996,Insumos!$D$1:$D$996),"")</f>
        <v/>
      </c>
      <c r="H1992" s="92" t="n">
        <v>14.3212666666667</v>
      </c>
      <c r="I1992" s="2162" t="n">
        <v>0</v>
      </c>
      <c r="J1992" s="2162" t="n">
        <v>0</v>
      </c>
      <c r="K1992" s="2162" t="n"/>
    </row>
    <row r="1993" outlineLevel="2" ht="15.75" customHeight="1">
      <c r="A1993" s="1067" t="n">
        <v>1</v>
      </c>
      <c r="B1993" s="1067" t="inlineStr">
        <is>
          <t>Serviço</t>
        </is>
      </c>
      <c r="C1993" s="1067" t="inlineStr">
        <is>
          <t>36_DRY 90 mm LV - 1 PLACA - 10,25cm  -  Lado A: PLACA GLASROC X - Lado B: N/A</t>
        </is>
      </c>
      <c r="D1993" s="1067" t="inlineStr">
        <is>
          <t>36_DRY 90 mm LV - 1 PLACA - 10,25cm  -  Lado A: PLACA GLASROC X - Lado B: N/A</t>
        </is>
      </c>
      <c r="E1993" s="1068" t="inlineStr">
        <is>
          <t>M2</t>
        </is>
      </c>
      <c r="F1993" s="1067" t="n"/>
      <c r="G1993" s="1069">
        <f t="array" ref="G1993">IF(B1993="insumo",_xlfn.XLOOKUP($D1993,Insumos!$B$1:$B$996,Insumos!$D$1:$D$996),"")</f>
        <v/>
      </c>
      <c r="H1993" s="1069" t="n">
        <v>271.253298388889</v>
      </c>
      <c r="I1993" s="2161" t="n">
        <v>0</v>
      </c>
      <c r="J1993" s="2161" t="n">
        <v>0</v>
      </c>
      <c r="K1993" s="2161" t="n"/>
    </row>
    <row r="1994" outlineLevel="3" ht="15.75" customHeight="1">
      <c r="A1994" s="10" t="n">
        <v>86</v>
      </c>
      <c r="B1994" s="10" t="inlineStr">
        <is>
          <t>Insumo</t>
        </is>
      </c>
      <c r="C1994" s="10" t="inlineStr">
        <is>
          <t>36_DRY 90 mm LV - 1 PLACA - 10,25cm  -  Lado A: PLACA GLASROC X - Lado B: N/A</t>
        </is>
      </c>
      <c r="D1994" s="10" t="inlineStr">
        <is>
          <t>SERVICO - CONFECCAO SHAFT GESSO</t>
        </is>
      </c>
      <c r="E1994" s="11">
        <f t="array" ref="E1994">_xlfn.XLOOKUP(D1994,Insumos!B:B,Insumos!C:$C)</f>
        <v/>
      </c>
      <c r="F1994" s="14" t="n">
        <v>1</v>
      </c>
      <c r="G1994" s="92">
        <f t="array" ref="G1994">IF(B1994="insumo",_xlfn.XLOOKUP($D1994,Insumos!$B$1:$B$996,Insumos!$D$1:$D$996),"")</f>
        <v/>
      </c>
      <c r="H1994" s="92" t="n">
        <v>70</v>
      </c>
      <c r="I1994" s="2162" t="n">
        <v>0</v>
      </c>
      <c r="J1994" s="2162" t="n">
        <v>0</v>
      </c>
      <c r="K1994" s="2162" t="n"/>
    </row>
    <row r="1995" outlineLevel="3" ht="15.75" customHeight="1">
      <c r="A1995" s="10" t="n">
        <v>4</v>
      </c>
      <c r="B1995" s="10" t="inlineStr">
        <is>
          <t>Insumo</t>
        </is>
      </c>
      <c r="C1995" s="10" t="inlineStr">
        <is>
          <t>36_DRY 90 mm LV - 1 PLACA - 10,25cm  -  Lado A: PLACA GLASROC X - Lado B: N/A</t>
        </is>
      </c>
      <c r="D1995" s="10" t="inlineStr">
        <is>
          <t>Placa de Gesso Glasroc X 12,5 X 1200 X 2400mm</t>
        </is>
      </c>
      <c r="E1995" s="11">
        <f t="array" ref="E1995">_xlfn.XLOOKUP(D1995,Insumos!B:B,Insumos!C:$C)</f>
        <v/>
      </c>
      <c r="F1995" s="14" t="n">
        <v>1.106</v>
      </c>
      <c r="G1995" s="92">
        <f t="array" ref="G1995">IF(B1995="insumo",_xlfn.XLOOKUP($D1995,Insumos!$B$1:$B$996,Insumos!$D$1:$D$996),"")</f>
        <v/>
      </c>
      <c r="H1995" s="92" t="n">
        <v>92.93472222222221</v>
      </c>
      <c r="I1995" s="2162" t="n">
        <v>0</v>
      </c>
      <c r="J1995" s="2162" t="n">
        <v>0</v>
      </c>
      <c r="K1995" s="2162" t="n"/>
    </row>
    <row r="1996" outlineLevel="3" ht="15.75" customHeight="1">
      <c r="A1996" s="10" t="n">
        <v>95</v>
      </c>
      <c r="B1996" s="10" t="inlineStr">
        <is>
          <t>Insumo</t>
        </is>
      </c>
      <c r="C1996" s="10" t="inlineStr">
        <is>
          <t>36_DRY 90 mm LV - 1 PLACA - 10,25cm  -  Lado A: PLACA GLASROC X - Lado B: N/A</t>
        </is>
      </c>
      <c r="D1996" s="10" t="inlineStr">
        <is>
          <t>PINO DE ACO COM ARRUELA CONICA, DIAMETRO ARRUELA = *23* MM E COMP HASTE = *27* MM (ACAO INDIRETA)</t>
        </is>
      </c>
      <c r="E1996" s="11">
        <f t="array" ref="E1996">_xlfn.XLOOKUP(D1996,Insumos!B:B,Insumos!C:$C)</f>
        <v/>
      </c>
      <c r="F1996" s="14" t="n">
        <v>5.92</v>
      </c>
      <c r="G1996" s="92">
        <f t="array" ref="G1996">IF(B1996="insumo",_xlfn.XLOOKUP($D1996,Insumos!$B$1:$B$996,Insumos!$D$1:$D$996),"")</f>
        <v/>
      </c>
      <c r="H1996" s="92" t="n">
        <v>2.98368</v>
      </c>
      <c r="I1996" s="2162" t="n">
        <v>0</v>
      </c>
      <c r="J1996" s="2162" t="n">
        <v>0</v>
      </c>
      <c r="K1996" s="2162" t="n"/>
    </row>
    <row r="1997" outlineLevel="3" ht="15.75" customHeight="1">
      <c r="A1997" s="10" t="n">
        <v>26</v>
      </c>
      <c r="B1997" s="10" t="inlineStr">
        <is>
          <t>Insumo</t>
        </is>
      </c>
      <c r="C1997" s="10" t="inlineStr">
        <is>
          <t>36_DRY 90 mm LV - 1 PLACA - 10,25cm  -  Lado A: PLACA GLASROC X - Lado B: N/A</t>
        </is>
      </c>
      <c r="D1997" s="10" t="inlineStr">
        <is>
          <t>PERFIL GUIA, FORMATO U, EM ACO ZINCADO, PARA ESTRUTURA PAREDE DRYWALL, E = 0,5 MM, 90 X 3000 MM (L X C)</t>
        </is>
      </c>
      <c r="E1997" s="11">
        <f t="array" ref="E1997">_xlfn.XLOOKUP(D1997,Insumos!B:B,Insumos!C:$C)</f>
        <v/>
      </c>
      <c r="F1997" s="14" t="n">
        <v>1.5248</v>
      </c>
      <c r="G1997" s="92">
        <f t="array" ref="G1997">IF(B1997="insumo",_xlfn.XLOOKUP($D1997,Insumos!$B$1:$B$996,Insumos!$D$1:$D$996),"")</f>
        <v/>
      </c>
      <c r="H1997" s="92" t="n">
        <v>13.174272</v>
      </c>
      <c r="I1997" s="2162" t="n">
        <v>0</v>
      </c>
      <c r="J1997" s="2162" t="n">
        <v>0</v>
      </c>
      <c r="K1997" s="2162" t="n"/>
    </row>
    <row r="1998" outlineLevel="3" ht="15.75" customHeight="1">
      <c r="A1998" s="10" t="n">
        <v>26</v>
      </c>
      <c r="B1998" s="10" t="inlineStr">
        <is>
          <t>Insumo</t>
        </is>
      </c>
      <c r="C1998" s="10" t="inlineStr">
        <is>
          <t>36_DRY 90 mm LV - 1 PLACA - 10,25cm  -  Lado A: PLACA GLASROC X - Lado B: N/A</t>
        </is>
      </c>
      <c r="D1998" s="10" t="inlineStr">
        <is>
          <t>PERFIL MONTANTE, FORMATO C, EM ACO ZINCADO, PARA ESTRUTURA PAREDE DRYWALL, E = 0,5 MM, 90 X 3000 MM (L X C)</t>
        </is>
      </c>
      <c r="E1998" s="11">
        <f t="array" ref="E1998">_xlfn.XLOOKUP(D1998,Insumos!B:B,Insumos!C:$C)</f>
        <v/>
      </c>
      <c r="F1998" s="14" t="n">
        <v>4.0011</v>
      </c>
      <c r="G1998" s="92">
        <f t="array" ref="G1998">IF(B1998="insumo",_xlfn.XLOOKUP($D1998,Insumos!$B$1:$B$996,Insumos!$D$1:$D$996),"")</f>
        <v/>
      </c>
      <c r="H1998" s="92" t="n">
        <v>72.37989899999999</v>
      </c>
      <c r="I1998" s="2162" t="n">
        <v>0</v>
      </c>
      <c r="J1998" s="2162" t="n">
        <v>0</v>
      </c>
      <c r="K1998" s="2162" t="n"/>
    </row>
    <row r="1999" outlineLevel="3" ht="15.75" customHeight="1">
      <c r="A1999" s="10" t="n">
        <v>95</v>
      </c>
      <c r="B1999" s="10" t="inlineStr">
        <is>
          <t>Insumo</t>
        </is>
      </c>
      <c r="C1999" s="10" t="inlineStr">
        <is>
          <t>36_DRY 90 mm LV - 1 PLACA - 10,25cm  -  Lado A: PLACA GLASROC X - Lado B: N/A</t>
        </is>
      </c>
      <c r="D1999" s="10" t="inlineStr">
        <is>
          <t>MASSA DE REJUNTE EM PO PARA DRYWALL, A BASE DE GESSO, SECAGEM RAPIDA, PARA TRATAMENTO DE JUNTAS DE CHAPA DE GESSO (NECESSITA ADICAO DE AGUA)</t>
        </is>
      </c>
      <c r="E1999" s="11">
        <f t="array" ref="E1999">_xlfn.XLOOKUP(D1999,Insumos!B:B,Insumos!C:$C)</f>
        <v/>
      </c>
      <c r="F1999" s="14">
        <f>1.0978/2</f>
        <v/>
      </c>
      <c r="G1999" s="92">
        <f t="array" ref="G1999">IF(B1999="insumo",_xlfn.XLOOKUP($D1999,Insumos!$B$1:$B$996,Insumos!$D$1:$D$996),"")</f>
        <v/>
      </c>
      <c r="H1999" s="92" t="n">
        <v>1.882727</v>
      </c>
      <c r="I1999" s="2162" t="n">
        <v>0</v>
      </c>
      <c r="J1999" s="2162" t="n">
        <v>0</v>
      </c>
      <c r="K1999" s="2162" t="n"/>
    </row>
    <row r="2000" outlineLevel="3" ht="15.75" customHeight="1">
      <c r="A2000" s="10" t="n">
        <v>94</v>
      </c>
      <c r="B2000" s="10" t="inlineStr">
        <is>
          <t>Insumo</t>
        </is>
      </c>
      <c r="C2000" s="10" t="inlineStr">
        <is>
          <t>36_DRY 90 mm LV - 1 PLACA - 10,25cm  -  Lado A: PLACA GLASROC X - Lado B: N/A</t>
        </is>
      </c>
      <c r="D2000" s="10" t="inlineStr">
        <is>
          <t>FITA DE PAPEL MICROPERFURADO, 50 X 150 MM, PARA TRATAMENTO DE JUNTAS DE CHAPA DE GESSO PARA DRYWALL</t>
        </is>
      </c>
      <c r="E2000" s="11">
        <f t="array" ref="E2000">_xlfn.XLOOKUP(D2000,Insumos!B:B,Insumos!C:$C)</f>
        <v/>
      </c>
      <c r="F2000" s="14">
        <f>2.5027/2</f>
        <v/>
      </c>
      <c r="G2000" s="92">
        <f t="array" ref="G2000">IF(B2000="insumo",_xlfn.XLOOKUP($D2000,Insumos!$B$1:$B$996,Insumos!$D$1:$D$996),"")</f>
        <v/>
      </c>
      <c r="H2000" s="92" t="n">
        <v>0.3879185</v>
      </c>
      <c r="I2000" s="2162" t="n">
        <v>0</v>
      </c>
      <c r="J2000" s="2162" t="n">
        <v>0</v>
      </c>
      <c r="K2000" s="2162" t="n"/>
    </row>
    <row r="2001" outlineLevel="3" ht="15.75" customHeight="1">
      <c r="A2001" s="10" t="n">
        <v>94</v>
      </c>
      <c r="B2001" s="10" t="inlineStr">
        <is>
          <t>Insumo</t>
        </is>
      </c>
      <c r="C2001" s="10" t="inlineStr">
        <is>
          <t>36_DRY 90 mm LV - 1 PLACA - 10,25cm  -  Lado A: PLACA GLASROC X - Lado B: N/A</t>
        </is>
      </c>
      <c r="D2001" s="10" t="inlineStr">
        <is>
          <t>FITA DE PAPEL REFORCADA COM LAMINA DE METAL PARA REFORCO DE CANTOS DE CHAPA DE GESSO PARA DRYWALL</t>
        </is>
      </c>
      <c r="E2001" s="11">
        <f t="array" ref="E2001">_xlfn.XLOOKUP(D2001,Insumos!B:B,Insumos!C:$C)</f>
        <v/>
      </c>
      <c r="F2001" s="14">
        <f>1.5851/2</f>
        <v/>
      </c>
      <c r="G2001" s="92">
        <f t="array" ref="G2001">IF(B2001="insumo",_xlfn.XLOOKUP($D2001,Insumos!$B$1:$B$996,Insumos!$D$1:$D$996),"")</f>
        <v/>
      </c>
      <c r="H2001" s="92" t="n">
        <v>2.171587</v>
      </c>
      <c r="I2001" s="2162" t="n">
        <v>0</v>
      </c>
      <c r="J2001" s="2162" t="n">
        <v>0</v>
      </c>
      <c r="K2001" s="2162" t="n"/>
    </row>
    <row r="2002" outlineLevel="3" ht="15.75" customHeight="1">
      <c r="A2002" s="10" t="n">
        <v>97</v>
      </c>
      <c r="B2002" s="10" t="inlineStr">
        <is>
          <t>Insumo</t>
        </is>
      </c>
      <c r="C2002" s="10" t="inlineStr">
        <is>
          <t>36_DRY 90 mm LV - 1 PLACA - 10,25cm  -  Lado A: PLACA GLASROC X - Lado B: N/A</t>
        </is>
      </c>
      <c r="D2002" s="10" t="inlineStr">
        <is>
          <t>PARAFUSO DRY WALL, EM ACO FOSFATIZADO, CABECA TROMBETA E PONTA AGULHA (TA), COMPRIMENTO 25 MM</t>
        </is>
      </c>
      <c r="E2002" s="11">
        <f t="array" ref="E2002">_xlfn.XLOOKUP(D2002,Insumos!B:B,Insumos!C:$C)</f>
        <v/>
      </c>
      <c r="F2002" s="14">
        <f>20.1868/2</f>
        <v/>
      </c>
      <c r="G2002" s="92">
        <f t="array" ref="G2002">IF(B2002="insumo",_xlfn.XLOOKUP($D2002,Insumos!$B$1:$B$996,Insumos!$D$1:$D$996),"")</f>
        <v/>
      </c>
      <c r="H2002" s="92" t="n">
        <v>0.908406</v>
      </c>
      <c r="I2002" s="2162" t="n">
        <v>0</v>
      </c>
      <c r="J2002" s="2162" t="n">
        <v>0</v>
      </c>
      <c r="K2002" s="2162" t="n"/>
    </row>
    <row r="2003" outlineLevel="3" ht="15.75" customHeight="1">
      <c r="A2003" s="10" t="n">
        <v>95</v>
      </c>
      <c r="B2003" s="10" t="inlineStr">
        <is>
          <t>Insumo</t>
        </is>
      </c>
      <c r="C2003" s="10" t="inlineStr">
        <is>
          <t>36_DRY 90 mm LV - 1 PLACA - 10,25cm  -  Lado A: PLACA GLASROC X - Lado B: N/A</t>
        </is>
      </c>
      <c r="D2003" s="10" t="inlineStr">
        <is>
          <t>PARAFUSO DRY WALL, EM ACO ZINCADO, CABECA LENTILHA E PONTA BROCA (LB), LARGURA 4,2 MM, COMPRIMENTO 13 MM</t>
        </is>
      </c>
      <c r="E2003" s="11">
        <f t="array" ref="E2003">_xlfn.XLOOKUP(D2003,Insumos!B:B,Insumos!C:$C)</f>
        <v/>
      </c>
      <c r="F2003" s="14" t="n">
        <v>0.5441</v>
      </c>
      <c r="G2003" s="92">
        <f t="array" ref="G2003">IF(B2003="insumo",_xlfn.XLOOKUP($D2003,Insumos!$B$1:$B$996,Insumos!$D$1:$D$996),"")</f>
        <v/>
      </c>
      <c r="H2003" s="92" t="n">
        <v>0.10882</v>
      </c>
      <c r="I2003" s="2162" t="n">
        <v>0</v>
      </c>
      <c r="J2003" s="2162" t="n">
        <v>0</v>
      </c>
      <c r="K2003" s="2162" t="n"/>
    </row>
    <row r="2004" outlineLevel="3" ht="15.75" customHeight="1">
      <c r="A2004" s="10" t="n">
        <v>35</v>
      </c>
      <c r="B2004" s="10" t="inlineStr">
        <is>
          <t>Insumo</t>
        </is>
      </c>
      <c r="C2004" s="10" t="inlineStr">
        <is>
          <t>36_DRY 90 mm LV - 1 PLACA - 10,25cm  -  Lado A: PLACA GLASROC X - Lado B: N/A</t>
        </is>
      </c>
      <c r="D2004" s="10" t="inlineStr">
        <is>
          <t>Lã de pet 50 X 1200 X 12500 MM</t>
        </is>
      </c>
      <c r="E2004" s="11">
        <f t="array" ref="E2004">_xlfn.XLOOKUP(D2004,Insumos!B:B,Insumos!C:$C)</f>
        <v/>
      </c>
      <c r="F2004" s="14" t="n">
        <v>1.1</v>
      </c>
      <c r="G2004" s="92">
        <f t="array" ref="G2004">IF(B2004="insumo",_xlfn.XLOOKUP($D2004,Insumos!$B$1:$B$996,Insumos!$D$1:$D$996),"")</f>
        <v/>
      </c>
      <c r="H2004" s="92" t="n">
        <v>14.3212666666667</v>
      </c>
      <c r="I2004" s="2162" t="n">
        <v>0</v>
      </c>
      <c r="J2004" s="2162" t="n">
        <v>0</v>
      </c>
      <c r="K2004" s="2162" t="n"/>
    </row>
    <row r="2005" outlineLevel="2" ht="15.75" customHeight="1">
      <c r="A2005" s="1067" t="n">
        <v>1</v>
      </c>
      <c r="B2005" s="1067" t="inlineStr">
        <is>
          <t>Serviço</t>
        </is>
      </c>
      <c r="C2005" s="1067" t="inlineStr">
        <is>
          <t>36_DRY 90 mm LV - 4 PLACAS - 14,00cm  -  Lado A: PLACA ST + ST - Lado B: PLACA ST + ST</t>
        </is>
      </c>
      <c r="D2005" s="1067" t="inlineStr">
        <is>
          <t>36_DRY 90 mm LV - 4 PLACAS - 14,00cm  -  Lado A: PLACA ST + ST - Lado B: PLACA ST + ST</t>
        </is>
      </c>
      <c r="E2005" s="1068" t="inlineStr">
        <is>
          <t>M2</t>
        </is>
      </c>
      <c r="F2005" s="1067" t="n"/>
      <c r="G2005" s="1069">
        <f t="array" ref="G2005">IF(B2005="insumo",_xlfn.XLOOKUP($D2005,Insumos!$B$1:$B$996,Insumos!$D$1:$D$996),"")</f>
        <v/>
      </c>
      <c r="H2005" s="1069" t="n">
        <v>268.583134666667</v>
      </c>
      <c r="I2005" s="2161" t="n">
        <v>0</v>
      </c>
      <c r="J2005" s="2161" t="n">
        <v>0</v>
      </c>
      <c r="K2005" s="2161" t="n"/>
    </row>
    <row r="2006" outlineLevel="3" ht="15.75" customHeight="1">
      <c r="A2006" s="10" t="n">
        <v>86</v>
      </c>
      <c r="B2006" s="10" t="inlineStr">
        <is>
          <t>Insumo</t>
        </is>
      </c>
      <c r="C2006" s="10" t="inlineStr">
        <is>
          <t>36_DRY 90 mm LV - 4 PLACAS - 14,00cm  -  Lado A: PLACA ST + ST - Lado B: PLACA ST + ST</t>
        </is>
      </c>
      <c r="D2006" s="10" t="inlineStr">
        <is>
          <t>SERVICO - CONFECCAO SHAFT GESSO</t>
        </is>
      </c>
      <c r="E2006" s="11">
        <f t="array" ref="E2006">_xlfn.XLOOKUP(D2006,Insumos!B:B,Insumos!C:$C)</f>
        <v/>
      </c>
      <c r="F2006" s="14" t="n">
        <v>1</v>
      </c>
      <c r="G2006" s="92">
        <f t="array" ref="G2006">IF(B2006="insumo",_xlfn.XLOOKUP($D2006,Insumos!$B$1:$B$996,Insumos!$D$1:$D$996),"")</f>
        <v/>
      </c>
      <c r="H2006" s="92" t="n">
        <v>70</v>
      </c>
      <c r="I2006" s="2162" t="n">
        <v>0</v>
      </c>
      <c r="J2006" s="2162" t="n">
        <v>0</v>
      </c>
      <c r="K2006" s="2162" t="n"/>
    </row>
    <row r="2007" outlineLevel="3" ht="15.75" customHeight="1">
      <c r="A2007" s="10" t="n">
        <v>47</v>
      </c>
      <c r="B2007" s="10" t="inlineStr">
        <is>
          <t>Insumo</t>
        </is>
      </c>
      <c r="C2007" s="10" t="inlineStr">
        <is>
          <t>36_DRY 90 mm LV - 4 PLACAS - 14,00cm  -  Lado A: PLACA ST + ST - Lado B: PLACA ST + ST</t>
        </is>
      </c>
      <c r="D2007" s="10" t="inlineStr">
        <is>
          <t>PLACA / CHAPA DE GESSO ACARTONADO, STANDARD (ST), COR BRANCA, E = 12,5 MM, 1200 X 2400 MM (L X C)</t>
        </is>
      </c>
      <c r="E2007" s="11">
        <f t="array" ref="E2007">_xlfn.XLOOKUP(D2007,Insumos!B:B,Insumos!C:$C)</f>
        <v/>
      </c>
      <c r="F2007" s="14">
        <f>2.106*2</f>
        <v/>
      </c>
      <c r="G2007" s="92">
        <f t="array" ref="G2007">IF(B2007="insumo",_xlfn.XLOOKUP($D2007,Insumos!$B$1:$B$996,Insumos!$D$1:$D$996),"")</f>
        <v/>
      </c>
      <c r="H2007" s="92" t="n">
        <v>84.91392</v>
      </c>
      <c r="I2007" s="2162" t="n">
        <v>0</v>
      </c>
      <c r="J2007" s="2162" t="n">
        <v>0</v>
      </c>
      <c r="K2007" s="2162" t="n"/>
    </row>
    <row r="2008" outlineLevel="3" ht="15.75" customHeight="1">
      <c r="A2008" s="10" t="n">
        <v>95</v>
      </c>
      <c r="B2008" s="10" t="inlineStr">
        <is>
          <t>Insumo</t>
        </is>
      </c>
      <c r="C2008" s="10" t="inlineStr">
        <is>
          <t>36_DRY 90 mm LV - 4 PLACAS - 14,00cm  -  Lado A: PLACA ST + ST - Lado B: PLACA ST + ST</t>
        </is>
      </c>
      <c r="D2008" s="10" t="inlineStr">
        <is>
          <t>PINO DE ACO COM ARRUELA CONICA, DIAMETRO ARRUELA = *23* MM E COMP HASTE = *27* MM (ACAO INDIRETA)</t>
        </is>
      </c>
      <c r="E2008" s="11">
        <f t="array" ref="E2008">_xlfn.XLOOKUP(D2008,Insumos!B:B,Insumos!C:$C)</f>
        <v/>
      </c>
      <c r="F2008" s="14" t="n">
        <v>5.92</v>
      </c>
      <c r="G2008" s="92">
        <f t="array" ref="G2008">IF(B2008="insumo",_xlfn.XLOOKUP($D2008,Insumos!$B$1:$B$996,Insumos!$D$1:$D$996),"")</f>
        <v/>
      </c>
      <c r="H2008" s="92" t="n">
        <v>2.98368</v>
      </c>
      <c r="I2008" s="2162" t="n">
        <v>0</v>
      </c>
      <c r="J2008" s="2162" t="n">
        <v>0</v>
      </c>
      <c r="K2008" s="2162" t="n"/>
    </row>
    <row r="2009" outlineLevel="3" ht="15.75" customHeight="1">
      <c r="A2009" s="10" t="n">
        <v>26</v>
      </c>
      <c r="B2009" s="10" t="inlineStr">
        <is>
          <t>Insumo</t>
        </is>
      </c>
      <c r="C2009" s="10" t="inlineStr">
        <is>
          <t>36_DRY 90 mm LV - 4 PLACAS - 14,00cm  -  Lado A: PLACA ST + ST - Lado B: PLACA ST + ST</t>
        </is>
      </c>
      <c r="D2009" s="10" t="inlineStr">
        <is>
          <t>PERFIL GUIA, FORMATO U, EM ACO ZINCADO, PARA ESTRUTURA PAREDE DRYWALL, E = 0,5 MM, 90 X 3000 MM (L X C)</t>
        </is>
      </c>
      <c r="E2009" s="11">
        <f t="array" ref="E2009">_xlfn.XLOOKUP(D2009,Insumos!B:B,Insumos!C:$C)</f>
        <v/>
      </c>
      <c r="F2009" s="14" t="n">
        <v>1.5248</v>
      </c>
      <c r="G2009" s="92">
        <f t="array" ref="G2009">IF(B2009="insumo",_xlfn.XLOOKUP($D2009,Insumos!$B$1:$B$996,Insumos!$D$1:$D$996),"")</f>
        <v/>
      </c>
      <c r="H2009" s="92" t="n">
        <v>13.174272</v>
      </c>
      <c r="I2009" s="2162" t="n">
        <v>0</v>
      </c>
      <c r="J2009" s="2162" t="n">
        <v>0</v>
      </c>
      <c r="K2009" s="2162" t="n"/>
    </row>
    <row r="2010" outlineLevel="3" ht="15.75" customHeight="1">
      <c r="A2010" s="10" t="n">
        <v>26</v>
      </c>
      <c r="B2010" s="10" t="inlineStr">
        <is>
          <t>Insumo</t>
        </is>
      </c>
      <c r="C2010" s="10" t="inlineStr">
        <is>
          <t>36_DRY 90 mm LV - 4 PLACAS - 14,00cm  -  Lado A: PLACA ST + ST - Lado B: PLACA ST + ST</t>
        </is>
      </c>
      <c r="D2010" s="10" t="inlineStr">
        <is>
          <t>PERFIL MONTANTE, FORMATO C, EM ACO ZINCADO, PARA ESTRUTURA PAREDE DRYWALL, E = 0,5 MM, 90 X 3000 MM (L X C)</t>
        </is>
      </c>
      <c r="E2010" s="11">
        <f t="array" ref="E2010">_xlfn.XLOOKUP(D2010,Insumos!B:B,Insumos!C:$C)</f>
        <v/>
      </c>
      <c r="F2010" s="14" t="n">
        <v>4.0011</v>
      </c>
      <c r="G2010" s="92">
        <f t="array" ref="G2010">IF(B2010="insumo",_xlfn.XLOOKUP($D2010,Insumos!$B$1:$B$996,Insumos!$D$1:$D$996),"")</f>
        <v/>
      </c>
      <c r="H2010" s="92" t="n">
        <v>72.37989899999999</v>
      </c>
      <c r="I2010" s="2162" t="n">
        <v>0</v>
      </c>
      <c r="J2010" s="2162" t="n">
        <v>0</v>
      </c>
      <c r="K2010" s="2162" t="n"/>
    </row>
    <row r="2011" outlineLevel="3" ht="15.75" customHeight="1">
      <c r="A2011" s="10" t="n">
        <v>95</v>
      </c>
      <c r="B2011" s="10" t="inlineStr">
        <is>
          <t>Insumo</t>
        </is>
      </c>
      <c r="C2011" s="10" t="inlineStr">
        <is>
          <t>36_DRY 90 mm LV - 4 PLACAS - 14,00cm  -  Lado A: PLACA ST + ST - Lado B: PLACA ST + ST</t>
        </is>
      </c>
      <c r="D2011" s="10" t="inlineStr">
        <is>
          <t>MASSA DE REJUNTE EM PO PARA DRYWALL, A BASE DE GESSO, SECAGEM RAPIDA, PARA TRATAMENTO DE JUNTAS DE CHAPA DE GESSO (NECESSITA ADICAO DE AGUA)</t>
        </is>
      </c>
      <c r="E2011" s="11">
        <f t="array" ref="E2011">_xlfn.XLOOKUP(D2011,Insumos!B:B,Insumos!C:$C)</f>
        <v/>
      </c>
      <c r="F2011" s="14" t="n">
        <v>1.0978</v>
      </c>
      <c r="G2011" s="92">
        <f t="array" ref="G2011">IF(B2011="insumo",_xlfn.XLOOKUP($D2011,Insumos!$B$1:$B$996,Insumos!$D$1:$D$996),"")</f>
        <v/>
      </c>
      <c r="H2011" s="92" t="n">
        <v>3.765454</v>
      </c>
      <c r="I2011" s="2162" t="n">
        <v>0</v>
      </c>
      <c r="J2011" s="2162" t="n">
        <v>0</v>
      </c>
      <c r="K2011" s="2162" t="n"/>
    </row>
    <row r="2012" outlineLevel="3" ht="15.75" customHeight="1">
      <c r="A2012" s="10" t="n">
        <v>94</v>
      </c>
      <c r="B2012" s="10" t="inlineStr">
        <is>
          <t>Insumo</t>
        </is>
      </c>
      <c r="C2012" s="10" t="inlineStr">
        <is>
          <t>36_DRY 90 mm LV - 4 PLACAS - 14,00cm  -  Lado A: PLACA ST + ST - Lado B: PLACA ST + ST</t>
        </is>
      </c>
      <c r="D2012" s="10" t="inlineStr">
        <is>
          <t>FITA DE PAPEL MICROPERFURADO, 50 X 150 MM, PARA TRATAMENTO DE JUNTAS DE CHAPA DE GESSO PARA DRYWALL</t>
        </is>
      </c>
      <c r="E2012" s="11">
        <f t="array" ref="E2012">_xlfn.XLOOKUP(D2012,Insumos!B:B,Insumos!C:$C)</f>
        <v/>
      </c>
      <c r="F2012" s="14" t="n">
        <v>2.5027</v>
      </c>
      <c r="G2012" s="92">
        <f t="array" ref="G2012">IF(B2012="insumo",_xlfn.XLOOKUP($D2012,Insumos!$B$1:$B$996,Insumos!$D$1:$D$996),"")</f>
        <v/>
      </c>
      <c r="H2012" s="92" t="n">
        <v>0.775837</v>
      </c>
      <c r="I2012" s="2162" t="n">
        <v>0</v>
      </c>
      <c r="J2012" s="2162" t="n">
        <v>0</v>
      </c>
      <c r="K2012" s="2162" t="n"/>
    </row>
    <row r="2013" outlineLevel="3" ht="15.75" customHeight="1">
      <c r="A2013" s="10" t="n">
        <v>94</v>
      </c>
      <c r="B2013" s="10" t="inlineStr">
        <is>
          <t>Insumo</t>
        </is>
      </c>
      <c r="C2013" s="10" t="inlineStr">
        <is>
          <t>36_DRY 90 mm LV - 4 PLACAS - 14,00cm  -  Lado A: PLACA ST + ST - Lado B: PLACA ST + ST</t>
        </is>
      </c>
      <c r="D2013" s="10" t="inlineStr">
        <is>
          <t>FITA DE PAPEL REFORCADA COM LAMINA DE METAL PARA REFORCO DE CANTOS DE CHAPA DE GESSO PARA DRYWALL</t>
        </is>
      </c>
      <c r="E2013" s="11">
        <f t="array" ref="E2013">_xlfn.XLOOKUP(D2013,Insumos!B:B,Insumos!C:$C)</f>
        <v/>
      </c>
      <c r="F2013" s="14" t="n">
        <v>1.5851</v>
      </c>
      <c r="G2013" s="92">
        <f t="array" ref="G2013">IF(B2013="insumo",_xlfn.XLOOKUP($D2013,Insumos!$B$1:$B$996,Insumos!$D$1:$D$996),"")</f>
        <v/>
      </c>
      <c r="H2013" s="92" t="n">
        <v>4.343174</v>
      </c>
      <c r="I2013" s="2162" t="n">
        <v>0</v>
      </c>
      <c r="J2013" s="2162" t="n">
        <v>0</v>
      </c>
      <c r="K2013" s="2162" t="n"/>
    </row>
    <row r="2014" outlineLevel="3" ht="15.75" customHeight="1">
      <c r="A2014" s="10" t="n">
        <v>97</v>
      </c>
      <c r="B2014" s="10" t="inlineStr">
        <is>
          <t>Insumo</t>
        </is>
      </c>
      <c r="C2014" s="10" t="inlineStr">
        <is>
          <t>36_DRY 90 mm LV - 4 PLACAS - 14,00cm  -  Lado A: PLACA ST + ST - Lado B: PLACA ST + ST</t>
        </is>
      </c>
      <c r="D2014" s="10" t="inlineStr">
        <is>
          <t>PARAFUSO DRY WALL, EM ACO FOSFATIZADO, CABECA TROMBETA E PONTA AGULHA (TA), COMPRIMENTO 25 MM</t>
        </is>
      </c>
      <c r="E2014" s="11">
        <f t="array" ref="E2014">_xlfn.XLOOKUP(D2014,Insumos!B:B,Insumos!C:$C)</f>
        <v/>
      </c>
      <c r="F2014" s="14" t="n">
        <v>20.1868</v>
      </c>
      <c r="G2014" s="92">
        <f t="array" ref="G2014">IF(B2014="insumo",_xlfn.XLOOKUP($D2014,Insumos!$B$1:$B$996,Insumos!$D$1:$D$996),"")</f>
        <v/>
      </c>
      <c r="H2014" s="92" t="n">
        <v>1.816812</v>
      </c>
      <c r="I2014" s="2162" t="n">
        <v>0</v>
      </c>
      <c r="J2014" s="2162" t="n">
        <v>0</v>
      </c>
      <c r="K2014" s="2162" t="n"/>
    </row>
    <row r="2015" outlineLevel="3" ht="15.75" customHeight="1">
      <c r="A2015" s="10" t="n">
        <v>95</v>
      </c>
      <c r="B2015" s="10" t="inlineStr">
        <is>
          <t>Insumo</t>
        </is>
      </c>
      <c r="C2015" s="10" t="inlineStr">
        <is>
          <t>36_DRY 90 mm LV - 4 PLACAS - 14,00cm  -  Lado A: PLACA ST + ST - Lado B: PLACA ST + ST</t>
        </is>
      </c>
      <c r="D2015" s="10" t="inlineStr">
        <is>
          <t>PARAFUSO DRY WALL, EM ACO ZINCADO, CABECA LENTILHA E PONTA BROCA (LB), LARGURA 4,2 MM, COMPRIMENTO 13 MM</t>
        </is>
      </c>
      <c r="E2015" s="11">
        <f t="array" ref="E2015">_xlfn.XLOOKUP(D2015,Insumos!B:B,Insumos!C:$C)</f>
        <v/>
      </c>
      <c r="F2015" s="14" t="n">
        <v>0.5441</v>
      </c>
      <c r="G2015" s="92">
        <f t="array" ref="G2015">IF(B2015="insumo",_xlfn.XLOOKUP($D2015,Insumos!$B$1:$B$996,Insumos!$D$1:$D$996),"")</f>
        <v/>
      </c>
      <c r="H2015" s="92" t="n">
        <v>0.10882</v>
      </c>
      <c r="I2015" s="2162" t="n">
        <v>0</v>
      </c>
      <c r="J2015" s="2162" t="n">
        <v>0</v>
      </c>
      <c r="K2015" s="2162" t="n"/>
    </row>
    <row r="2016" outlineLevel="3" ht="15.75" customHeight="1">
      <c r="A2016" s="10" t="n">
        <v>35</v>
      </c>
      <c r="B2016" s="10" t="inlineStr">
        <is>
          <t>Insumo</t>
        </is>
      </c>
      <c r="C2016" s="10" t="inlineStr">
        <is>
          <t>36_DRY 90 mm LV - 4 PLACAS - 14,00cm  -  Lado A: PLACA ST + ST - Lado B: PLACA ST + ST</t>
        </is>
      </c>
      <c r="D2016" s="10" t="inlineStr">
        <is>
          <t>Lã de pet 50 X 1200 X 12500 MM</t>
        </is>
      </c>
      <c r="E2016" s="11">
        <f t="array" ref="E2016">_xlfn.XLOOKUP(D2016,Insumos!B:B,Insumos!C:$C)</f>
        <v/>
      </c>
      <c r="F2016" s="14" t="n">
        <v>1.1</v>
      </c>
      <c r="G2016" s="92">
        <f t="array" ref="G2016">IF(B2016="insumo",_xlfn.XLOOKUP($D2016,Insumos!$B$1:$B$996,Insumos!$D$1:$D$996),"")</f>
        <v/>
      </c>
      <c r="H2016" s="92" t="n">
        <v>14.3212666666667</v>
      </c>
      <c r="I2016" s="2162" t="n">
        <v>0</v>
      </c>
      <c r="J2016" s="2162" t="n">
        <v>0</v>
      </c>
      <c r="K2016" s="2162" t="n"/>
    </row>
    <row r="2017" outlineLevel="2" ht="15.75" customHeight="1">
      <c r="A2017" s="1067" t="n">
        <v>1</v>
      </c>
      <c r="B2017" s="1067" t="inlineStr">
        <is>
          <t>Serviço</t>
        </is>
      </c>
      <c r="C2017" s="1067" t="inlineStr">
        <is>
          <t>32_DRY 90 mm - 2 PLACAS - 11,50cm  -  Lado A: LÃ P/ CHURRASQUEIRA (CONFIRM. ESP) - Lado B: PLACA RF</t>
        </is>
      </c>
      <c r="D2017" s="1067" t="inlineStr">
        <is>
          <t>32_DRY 90 mm - 2 PLACAS - 11,50cm  -  Lado A: LÃ P/ CHURRASQUEIRA (CONFIRM. ESP) - Lado B: PLACA RF</t>
        </is>
      </c>
      <c r="E2017" s="1068" t="inlineStr">
        <is>
          <t>M2</t>
        </is>
      </c>
      <c r="F2017" s="1067" t="n"/>
      <c r="G2017" s="1069">
        <f t="array" ref="G2017">IF(B2017="insumo",_xlfn.XLOOKUP($D2017,Insumos!$B$1:$B$996,Insumos!$D$1:$D$996),"")</f>
        <v/>
      </c>
      <c r="H2017" s="1069" t="n">
        <v>334.945624618397</v>
      </c>
      <c r="I2017" s="2161" t="n">
        <v>0</v>
      </c>
      <c r="J2017" s="2161" t="n">
        <v>0</v>
      </c>
      <c r="K2017" s="2161" t="n"/>
    </row>
    <row r="2018" outlineLevel="3" ht="15.75" customHeight="1">
      <c r="A2018" s="10" t="n">
        <v>86</v>
      </c>
      <c r="B2018" s="10" t="inlineStr">
        <is>
          <t>Insumo</t>
        </is>
      </c>
      <c r="C2018" s="10" t="inlineStr">
        <is>
          <t>32_DRY 90 mm - 2 PLACAS - 11,50cm  -  Lado A: LÃ P/ CHURRASQUEIRA (CONFIRM. ESP) - Lado B: PLACA RF</t>
        </is>
      </c>
      <c r="D2018" s="10" t="inlineStr">
        <is>
          <t>SERVICO - CONFECCAO SHAFT GESSO</t>
        </is>
      </c>
      <c r="E2018" s="11">
        <f t="array" ref="E2018">_xlfn.XLOOKUP(D2018,Insumos!B:B,Insumos!C:$C)</f>
        <v/>
      </c>
      <c r="F2018" s="14" t="n">
        <v>1</v>
      </c>
      <c r="G2018" s="92">
        <f t="array" ref="G2018">IF(B2018="insumo",_xlfn.XLOOKUP($D2018,Insumos!$B$1:$B$996,Insumos!$D$1:$D$996),"")</f>
        <v/>
      </c>
      <c r="H2018" s="92" t="n">
        <v>70</v>
      </c>
      <c r="I2018" s="2162" t="n">
        <v>0</v>
      </c>
      <c r="J2018" s="2162" t="n">
        <v>0</v>
      </c>
      <c r="K2018" s="2162" t="n"/>
    </row>
    <row r="2019" outlineLevel="3" ht="15.75" customHeight="1">
      <c r="A2019" s="10" t="n">
        <v>3</v>
      </c>
      <c r="B2019" s="10" t="inlineStr">
        <is>
          <t>Insumo</t>
        </is>
      </c>
      <c r="C2019" s="10" t="inlineStr">
        <is>
          <t>32_DRY 90 mm - 2 PLACAS - 11,50cm  -  Lado A: LÃ P/ CHURRASQUEIRA (CONFIRM. ESP) - Lado B: PLACA RF</t>
        </is>
      </c>
      <c r="D2019" s="10" t="inlineStr">
        <is>
          <t>CHAPA DE GESSO PARA DRYWALL PLACO - KNAUF (RF) VERMELHA 12,5MM X 1,20M X 1,80M</t>
        </is>
      </c>
      <c r="E2019" s="11">
        <f t="array" ref="E2019">_xlfn.XLOOKUP(D2019,Insumos!B:B,Insumos!C:$C)</f>
        <v/>
      </c>
      <c r="F2019" s="14" t="n">
        <v>1.1</v>
      </c>
      <c r="G2019" s="92">
        <f t="array" ref="G2019">IF(B2019="insumo",_xlfn.XLOOKUP($D2019,Insumos!$B$1:$B$996,Insumos!$D$1:$D$996),"")</f>
        <v/>
      </c>
      <c r="H2019" s="92" t="n">
        <v>42.0138888888889</v>
      </c>
      <c r="I2019" s="2162" t="n">
        <v>0</v>
      </c>
      <c r="J2019" s="2162" t="n">
        <v>0</v>
      </c>
      <c r="K2019" s="2162" t="n"/>
    </row>
    <row r="2020" outlineLevel="3" ht="15.75" customHeight="1">
      <c r="A2020" s="10" t="n">
        <v>95</v>
      </c>
      <c r="B2020" s="10" t="inlineStr">
        <is>
          <t>Insumo</t>
        </is>
      </c>
      <c r="C2020" s="10" t="inlineStr">
        <is>
          <t>32_DRY 90 mm - 2 PLACAS - 11,50cm  -  Lado A: LÃ P/ CHURRASQUEIRA (CONFIRM. ESP) - Lado B: PLACA RF</t>
        </is>
      </c>
      <c r="D2020" s="10" t="inlineStr">
        <is>
          <t>PINO DE ACO COM ARRUELA CONICA, DIAMETRO ARRUELA = *23* MM E COMP HASTE = *27* MM (ACAO INDIRETA)</t>
        </is>
      </c>
      <c r="E2020" s="11">
        <f t="array" ref="E2020">_xlfn.XLOOKUP(D2020,Insumos!B:B,Insumos!C:$C)</f>
        <v/>
      </c>
      <c r="F2020" s="14" t="n">
        <v>5.92</v>
      </c>
      <c r="G2020" s="92">
        <f t="array" ref="G2020">IF(B2020="insumo",_xlfn.XLOOKUP($D2020,Insumos!$B$1:$B$996,Insumos!$D$1:$D$996),"")</f>
        <v/>
      </c>
      <c r="H2020" s="92" t="n">
        <v>2.98368</v>
      </c>
      <c r="I2020" s="2162" t="n">
        <v>0</v>
      </c>
      <c r="J2020" s="2162" t="n">
        <v>0</v>
      </c>
      <c r="K2020" s="2162" t="n"/>
    </row>
    <row r="2021" outlineLevel="3" ht="15.75" customHeight="1">
      <c r="A2021" s="10" t="n">
        <v>26</v>
      </c>
      <c r="B2021" s="10" t="inlineStr">
        <is>
          <t>Insumo</t>
        </is>
      </c>
      <c r="C2021" s="10" t="inlineStr">
        <is>
          <t>32_DRY 90 mm - 2 PLACAS - 11,50cm  -  Lado A: LÃ P/ CHURRASQUEIRA (CONFIRM. ESP) - Lado B: PLACA RF</t>
        </is>
      </c>
      <c r="D2021" s="10" t="inlineStr">
        <is>
          <t>PERFIL GUIA, FORMATO U, EM ACO ZINCADO, PARA ESTRUTURA PAREDE DRYWALL, E = 0,5 MM, 90 X 3000 MM (L X C)</t>
        </is>
      </c>
      <c r="E2021" s="11">
        <f t="array" ref="E2021">_xlfn.XLOOKUP(D2021,Insumos!B:B,Insumos!C:$C)</f>
        <v/>
      </c>
      <c r="F2021" s="14" t="n">
        <v>1.5248</v>
      </c>
      <c r="G2021" s="92">
        <f t="array" ref="G2021">IF(B2021="insumo",_xlfn.XLOOKUP($D2021,Insumos!$B$1:$B$996,Insumos!$D$1:$D$996),"")</f>
        <v/>
      </c>
      <c r="H2021" s="92" t="n">
        <v>13.174272</v>
      </c>
      <c r="I2021" s="2162" t="n">
        <v>0</v>
      </c>
      <c r="J2021" s="2162" t="n">
        <v>0</v>
      </c>
      <c r="K2021" s="2162" t="n"/>
    </row>
    <row r="2022" outlineLevel="3" ht="15.75" customHeight="1">
      <c r="A2022" s="10" t="n">
        <v>26</v>
      </c>
      <c r="B2022" s="10" t="inlineStr">
        <is>
          <t>Insumo</t>
        </is>
      </c>
      <c r="C2022" s="10" t="inlineStr">
        <is>
          <t>32_DRY 90 mm - 2 PLACAS - 11,50cm  -  Lado A: LÃ P/ CHURRASQUEIRA (CONFIRM. ESP) - Lado B: PLACA RF</t>
        </is>
      </c>
      <c r="D2022" s="10" t="inlineStr">
        <is>
          <t>PERFIL MONTANTE, FORMATO C, EM ACO ZINCADO, PARA ESTRUTURA PAREDE DRYWALL, E = 0,5 MM, 90 X 3000 MM (L X C)</t>
        </is>
      </c>
      <c r="E2022" s="11">
        <f t="array" ref="E2022">_xlfn.XLOOKUP(D2022,Insumos!B:B,Insumos!C:$C)</f>
        <v/>
      </c>
      <c r="F2022" s="14" t="n">
        <v>4.0011</v>
      </c>
      <c r="G2022" s="92">
        <f t="array" ref="G2022">IF(B2022="insumo",_xlfn.XLOOKUP($D2022,Insumos!$B$1:$B$996,Insumos!$D$1:$D$996),"")</f>
        <v/>
      </c>
      <c r="H2022" s="92" t="n">
        <v>72.37989899999999</v>
      </c>
      <c r="I2022" s="2162" t="n">
        <v>0</v>
      </c>
      <c r="J2022" s="2162" t="n">
        <v>0</v>
      </c>
      <c r="K2022" s="2162" t="n"/>
    </row>
    <row r="2023" outlineLevel="3" ht="15.75" customHeight="1">
      <c r="A2023" s="10" t="n">
        <v>95</v>
      </c>
      <c r="B2023" s="10" t="inlineStr">
        <is>
          <t>Insumo</t>
        </is>
      </c>
      <c r="C2023" s="10" t="inlineStr">
        <is>
          <t>32_DRY 90 mm - 2 PLACAS - 11,50cm  -  Lado A: LÃ P/ CHURRASQUEIRA (CONFIRM. ESP) - Lado B: PLACA RF</t>
        </is>
      </c>
      <c r="D2023" s="10" t="inlineStr">
        <is>
          <t>MASSA DE REJUNTE EM PO PARA DRYWALL, A BASE DE GESSO, SECAGEM RAPIDA, PARA TRATAMENTO DE JUNTAS DE CHAPA DE GESSO (NECESSITA ADICAO DE AGUA)</t>
        </is>
      </c>
      <c r="E2023" s="11">
        <f t="array" ref="E2023">_xlfn.XLOOKUP(D2023,Insumos!B:B,Insumos!C:$C)</f>
        <v/>
      </c>
      <c r="F2023" s="14">
        <f>1.0978/2</f>
        <v/>
      </c>
      <c r="G2023" s="92">
        <f t="array" ref="G2023">IF(B2023="insumo",_xlfn.XLOOKUP($D2023,Insumos!$B$1:$B$996,Insumos!$D$1:$D$996),"")</f>
        <v/>
      </c>
      <c r="H2023" s="92" t="n">
        <v>1.882727</v>
      </c>
      <c r="I2023" s="2162" t="n">
        <v>0</v>
      </c>
      <c r="J2023" s="2162" t="n">
        <v>0</v>
      </c>
      <c r="K2023" s="2162" t="n"/>
    </row>
    <row r="2024" outlineLevel="3" ht="15.75" customHeight="1">
      <c r="A2024" s="10" t="n">
        <v>94</v>
      </c>
      <c r="B2024" s="10" t="inlineStr">
        <is>
          <t>Insumo</t>
        </is>
      </c>
      <c r="C2024" s="10" t="inlineStr">
        <is>
          <t>32_DRY 90 mm - 2 PLACAS - 11,50cm  -  Lado A: LÃ P/ CHURRASQUEIRA (CONFIRM. ESP) - Lado B: PLACA RF</t>
        </is>
      </c>
      <c r="D2024" s="10" t="inlineStr">
        <is>
          <t>FITA DE PAPEL MICROPERFURADO, 50 X 150 MM, PARA TRATAMENTO DE JUNTAS DE CHAPA DE GESSO PARA DRYWALL</t>
        </is>
      </c>
      <c r="E2024" s="11">
        <f t="array" ref="E2024">_xlfn.XLOOKUP(D2024,Insumos!B:B,Insumos!C:$C)</f>
        <v/>
      </c>
      <c r="F2024" s="14">
        <f>2.5027/2</f>
        <v/>
      </c>
      <c r="G2024" s="92">
        <f t="array" ref="G2024">IF(B2024="insumo",_xlfn.XLOOKUP($D2024,Insumos!$B$1:$B$996,Insumos!$D$1:$D$996),"")</f>
        <v/>
      </c>
      <c r="H2024" s="92" t="n">
        <v>0.3879185</v>
      </c>
      <c r="I2024" s="2162" t="n">
        <v>0</v>
      </c>
      <c r="J2024" s="2162" t="n">
        <v>0</v>
      </c>
      <c r="K2024" s="2162" t="n"/>
    </row>
    <row r="2025" outlineLevel="3" ht="15.75" customHeight="1">
      <c r="A2025" s="10" t="n">
        <v>94</v>
      </c>
      <c r="B2025" s="10" t="inlineStr">
        <is>
          <t>Insumo</t>
        </is>
      </c>
      <c r="C2025" s="10" t="inlineStr">
        <is>
          <t>32_DRY 90 mm - 2 PLACAS - 11,50cm  -  Lado A: LÃ P/ CHURRASQUEIRA (CONFIRM. ESP) - Lado B: PLACA RF</t>
        </is>
      </c>
      <c r="D2025" s="10" t="inlineStr">
        <is>
          <t>FITA DE PAPEL REFORCADA COM LAMINA DE METAL PARA REFORCO DE CANTOS DE CHAPA DE GESSO PARA DRYWALL</t>
        </is>
      </c>
      <c r="E2025" s="11">
        <f t="array" ref="E2025">_xlfn.XLOOKUP(D2025,Insumos!B:B,Insumos!C:$C)</f>
        <v/>
      </c>
      <c r="F2025" s="14">
        <f>1.5851/2</f>
        <v/>
      </c>
      <c r="G2025" s="92">
        <f t="array" ref="G2025">IF(B2025="insumo",_xlfn.XLOOKUP($D2025,Insumos!$B$1:$B$996,Insumos!$D$1:$D$996),"")</f>
        <v/>
      </c>
      <c r="H2025" s="92" t="n">
        <v>2.171587</v>
      </c>
      <c r="I2025" s="2162" t="n">
        <v>0</v>
      </c>
      <c r="J2025" s="2162" t="n">
        <v>0</v>
      </c>
      <c r="K2025" s="2162" t="n"/>
    </row>
    <row r="2026" outlineLevel="3" ht="15.75" customHeight="1">
      <c r="A2026" s="10" t="n">
        <v>97</v>
      </c>
      <c r="B2026" s="10" t="inlineStr">
        <is>
          <t>Insumo</t>
        </is>
      </c>
      <c r="C2026" s="10" t="inlineStr">
        <is>
          <t>32_DRY 90 mm - 2 PLACAS - 11,50cm  -  Lado A: LÃ P/ CHURRASQUEIRA (CONFIRM. ESP) - Lado B: PLACA RF</t>
        </is>
      </c>
      <c r="D2026" s="10" t="inlineStr">
        <is>
          <t>PARAFUSO DRY WALL, EM ACO FOSFATIZADO, CABECA TROMBETA E PONTA AGULHA (TA), COMPRIMENTO 25 MM</t>
        </is>
      </c>
      <c r="E2026" s="11">
        <f t="array" ref="E2026">_xlfn.XLOOKUP(D2026,Insumos!B:B,Insumos!C:$C)</f>
        <v/>
      </c>
      <c r="F2026" s="14">
        <f>20.1868/2</f>
        <v/>
      </c>
      <c r="G2026" s="92">
        <f t="array" ref="G2026">IF(B2026="insumo",_xlfn.XLOOKUP($D2026,Insumos!$B$1:$B$996,Insumos!$D$1:$D$996),"")</f>
        <v/>
      </c>
      <c r="H2026" s="92" t="n">
        <v>0.908406</v>
      </c>
      <c r="I2026" s="2162" t="n">
        <v>0</v>
      </c>
      <c r="J2026" s="2162" t="n">
        <v>0</v>
      </c>
      <c r="K2026" s="2162" t="n"/>
    </row>
    <row r="2027" outlineLevel="3" ht="15.75" customHeight="1">
      <c r="A2027" s="10" t="n">
        <v>95</v>
      </c>
      <c r="B2027" s="10" t="inlineStr">
        <is>
          <t>Insumo</t>
        </is>
      </c>
      <c r="C2027" s="10" t="inlineStr">
        <is>
          <t>32_DRY 90 mm - 2 PLACAS - 11,50cm  -  Lado A: LÃ P/ CHURRASQUEIRA (CONFIRM. ESP) - Lado B: PLACA RF</t>
        </is>
      </c>
      <c r="D2027" s="10" t="inlineStr">
        <is>
          <t>PARAFUSO DRY WALL, EM ACO ZINCADO, CABECA LENTILHA E PONTA BROCA (LB), LARGURA 4,2 MM, COMPRIMENTO 13 MM</t>
        </is>
      </c>
      <c r="E2027" s="11">
        <f t="array" ref="E2027">_xlfn.XLOOKUP(D2027,Insumos!B:B,Insumos!C:$C)</f>
        <v/>
      </c>
      <c r="F2027" s="14" t="n">
        <v>0.5441</v>
      </c>
      <c r="G2027" s="92">
        <f t="array" ref="G2027">IF(B2027="insumo",_xlfn.XLOOKUP($D2027,Insumos!$B$1:$B$996,Insumos!$D$1:$D$996),"")</f>
        <v/>
      </c>
      <c r="H2027" s="92" t="n">
        <v>0.10882</v>
      </c>
      <c r="I2027" s="2162" t="n">
        <v>0</v>
      </c>
      <c r="J2027" s="2162" t="n">
        <v>0</v>
      </c>
      <c r="K2027" s="2162" t="n"/>
    </row>
    <row r="2028" outlineLevel="3" ht="15.75" customHeight="1">
      <c r="A2028" s="10" t="n">
        <v>1</v>
      </c>
      <c r="B2028" s="10" t="inlineStr">
        <is>
          <t>Insumo</t>
        </is>
      </c>
      <c r="C2028" s="10" t="inlineStr">
        <is>
          <t>32_DRY 90 mm - 2 PLACAS - 11,50cm  -  Lado A: LÃ P/ CHURRASQUEIRA (CONFIRM. ESP) - Lado B: PLACA RF</t>
        </is>
      </c>
      <c r="D2028" s="10" t="inlineStr">
        <is>
          <t>Manta Fibra Cerâmica Alta Temperatura Tapcamp 2000 X 610 X 25 Mm</t>
        </is>
      </c>
      <c r="E2028" s="11">
        <f t="array" ref="E2028">_xlfn.XLOOKUP(D2028,Insumos!B:B,Insumos!C:$C)</f>
        <v/>
      </c>
      <c r="F2028" s="14" t="n">
        <v>1.1</v>
      </c>
      <c r="G2028" s="92">
        <f t="array" ref="G2028">IF(B2028="insumo",_xlfn.XLOOKUP($D2028,Insumos!$B$1:$B$996,Insumos!$D$1:$D$996),"")</f>
        <v/>
      </c>
      <c r="H2028" s="92" t="n">
        <v>128.934426229508</v>
      </c>
      <c r="I2028" s="2162" t="n">
        <v>0</v>
      </c>
      <c r="J2028" s="2162" t="n">
        <v>0</v>
      </c>
      <c r="K2028" s="2162" t="n"/>
    </row>
    <row r="2029" outlineLevel="2" ht="15.75" customHeight="1">
      <c r="A2029" s="1067" t="n">
        <v>1</v>
      </c>
      <c r="B2029" s="1067" t="inlineStr">
        <is>
          <t>Serviço</t>
        </is>
      </c>
      <c r="C2029" s="1067" t="inlineStr">
        <is>
          <t>37_DRY 140 mm LV - 2 PLACAS - 16,50cm  -  Lado A: PLACA PERFORMANCE RU - Lado B: PLACA PERFORMANCE RU</t>
        </is>
      </c>
      <c r="D2029" s="1067" t="inlineStr">
        <is>
          <t>37_DRY 140 mm LV - 2 PLACAS - 16,50cm  -  Lado A: PLACA PERFORMANCE RU - Lado B: PLACA PERFORMANCE RU</t>
        </is>
      </c>
      <c r="E2029" s="1068" t="inlineStr">
        <is>
          <t>M2</t>
        </is>
      </c>
      <c r="F2029" s="1067" t="n"/>
      <c r="G2029" s="1069">
        <f t="array" ref="G2029">IF(B2029="insumo",_xlfn.XLOOKUP($D2029,Insumos!$B$1:$B$996,Insumos!$D$1:$D$996),"")</f>
        <v/>
      </c>
      <c r="H2029" s="1069" t="n">
        <v>241.795215666667</v>
      </c>
      <c r="I2029" s="2161" t="n">
        <v>0</v>
      </c>
      <c r="J2029" s="2161" t="n">
        <v>0</v>
      </c>
      <c r="K2029" s="2161" t="n"/>
    </row>
    <row r="2030" outlineLevel="3" ht="15.75" customHeight="1">
      <c r="A2030" s="10" t="n">
        <v>86</v>
      </c>
      <c r="B2030" s="10" t="inlineStr">
        <is>
          <t>Insumo</t>
        </is>
      </c>
      <c r="C2030" s="10" t="inlineStr">
        <is>
          <t>37_DRY 140 mm LV - 2 PLACAS - 16,50cm  -  Lado A: PLACA PERFORMANCE RU - Lado B: PLACA PERFORMANCE RU</t>
        </is>
      </c>
      <c r="D2030" s="10" t="inlineStr">
        <is>
          <t>SERVICO - CONFECCAO SHAFT GESSO</t>
        </is>
      </c>
      <c r="E2030" s="11">
        <f t="array" ref="E2030">_xlfn.XLOOKUP(D2030,Insumos!B:B,Insumos!C:$C)</f>
        <v/>
      </c>
      <c r="F2030" s="14" t="n">
        <v>1</v>
      </c>
      <c r="G2030" s="92">
        <f t="array" ref="G2030">IF(B2030="insumo",_xlfn.XLOOKUP($D2030,Insumos!$B$1:$B$996,Insumos!$D$1:$D$996),"")</f>
        <v/>
      </c>
      <c r="H2030" s="92" t="n">
        <v>70</v>
      </c>
      <c r="I2030" s="2162" t="n">
        <v>0</v>
      </c>
      <c r="J2030" s="2162" t="n">
        <v>0</v>
      </c>
      <c r="K2030" s="2162" t="n"/>
    </row>
    <row r="2031" outlineLevel="3" ht="15.75" customHeight="1">
      <c r="A2031" s="10" t="n">
        <v>49</v>
      </c>
      <c r="B2031" s="10" t="inlineStr">
        <is>
          <t>Insumo</t>
        </is>
      </c>
      <c r="C2031" s="10" t="inlineStr">
        <is>
          <t>37_DRY 140 mm LV - 2 PLACAS - 16,50cm  -  Lado A: PLACA PERFORMANCE RU - Lado B: PLACA PERFORMANCE RU</t>
        </is>
      </c>
      <c r="D2031" s="10" t="inlineStr">
        <is>
          <t>PLACA / CHAPA DE GESSO ACARTONADO, RESISTENTE A UMIDADE (RU), COR VERDE, E = 12,5 MM, 1200 X 2400 MM (L X C)</t>
        </is>
      </c>
      <c r="E2031" s="11">
        <f t="array" ref="E2031">_xlfn.XLOOKUP(D2031,Insumos!B:B,Insumos!C:$C)</f>
        <v/>
      </c>
      <c r="F2031" s="14" t="n">
        <v>2.106</v>
      </c>
      <c r="G2031" s="92">
        <f t="array" ref="G2031">IF(B2031="insumo",_xlfn.XLOOKUP($D2031,Insumos!$B$1:$B$996,Insumos!$D$1:$D$996),"")</f>
        <v/>
      </c>
      <c r="H2031" s="92" t="n">
        <v>57.0726</v>
      </c>
      <c r="I2031" s="2162" t="n">
        <v>0</v>
      </c>
      <c r="J2031" s="2162" t="n">
        <v>0</v>
      </c>
      <c r="K2031" s="2162" t="n"/>
    </row>
    <row r="2032" outlineLevel="3" ht="15.75" customHeight="1">
      <c r="A2032" s="10" t="n">
        <v>95</v>
      </c>
      <c r="B2032" s="10" t="inlineStr">
        <is>
          <t>Insumo</t>
        </is>
      </c>
      <c r="C2032" s="10" t="inlineStr">
        <is>
          <t>37_DRY 140 mm LV - 2 PLACAS - 16,50cm  -  Lado A: PLACA PERFORMANCE RU - Lado B: PLACA PERFORMANCE RU</t>
        </is>
      </c>
      <c r="D2032" s="10" t="inlineStr">
        <is>
          <t>PINO DE ACO COM ARRUELA CONICA, DIAMETRO ARRUELA = *23* MM E COMP HASTE = *27* MM (ACAO INDIRETA)</t>
        </is>
      </c>
      <c r="E2032" s="11">
        <f t="array" ref="E2032">_xlfn.XLOOKUP(D2032,Insumos!B:B,Insumos!C:$C)</f>
        <v/>
      </c>
      <c r="F2032" s="14" t="n">
        <v>5.92</v>
      </c>
      <c r="G2032" s="92">
        <f t="array" ref="G2032">IF(B2032="insumo",_xlfn.XLOOKUP($D2032,Insumos!$B$1:$B$996,Insumos!$D$1:$D$996),"")</f>
        <v/>
      </c>
      <c r="H2032" s="92" t="n">
        <v>2.98368</v>
      </c>
      <c r="I2032" s="2162" t="n">
        <v>0</v>
      </c>
      <c r="J2032" s="2162" t="n">
        <v>0</v>
      </c>
      <c r="K2032" s="2162" t="n"/>
    </row>
    <row r="2033" outlineLevel="3" ht="15.75" customHeight="1">
      <c r="A2033" s="10" t="n">
        <v>43</v>
      </c>
      <c r="B2033" s="10" t="inlineStr">
        <is>
          <t>Insumo</t>
        </is>
      </c>
      <c r="C2033" s="10" t="inlineStr">
        <is>
          <t>37_DRY 140 mm LV - 2 PLACAS - 16,50cm  -  Lado A: PLACA PERFORMANCE RU - Lado B: PLACA PERFORMANCE RU</t>
        </is>
      </c>
      <c r="D2033" s="10" t="inlineStr">
        <is>
          <t>PERFIL GUIA, FORMATO U, EM ACO ZINCADO, PARA ESTRUTURA PAREDE DRYWALL, E = 0,5 MM, 70 X 3000 MM (L X C)</t>
        </is>
      </c>
      <c r="E2033" s="11">
        <f t="array" ref="E2033">_xlfn.XLOOKUP(D2033,Insumos!B:B,Insumos!C:$C)</f>
        <v/>
      </c>
      <c r="F2033" s="14">
        <f>1.5248*2</f>
        <v/>
      </c>
      <c r="G2033" s="92">
        <f t="array" ref="G2033">IF(B2033="insumo",_xlfn.XLOOKUP($D2033,Insumos!$B$1:$B$996,Insumos!$D$1:$D$996),"")</f>
        <v/>
      </c>
      <c r="H2033" s="92" t="n">
        <v>22.750016</v>
      </c>
      <c r="I2033" s="2162" t="n">
        <v>0</v>
      </c>
      <c r="J2033" s="2162" t="n">
        <v>0</v>
      </c>
      <c r="K2033" s="2162" t="n"/>
    </row>
    <row r="2034" outlineLevel="3" ht="15.75" customHeight="1">
      <c r="A2034" s="10" t="n">
        <v>43</v>
      </c>
      <c r="B2034" s="10" t="inlineStr">
        <is>
          <t>Insumo</t>
        </is>
      </c>
      <c r="C2034" s="10" t="inlineStr">
        <is>
          <t>37_DRY 140 mm LV - 2 PLACAS - 16,50cm  -  Lado A: PLACA PERFORMANCE RU - Lado B: PLACA PERFORMANCE RU</t>
        </is>
      </c>
      <c r="D2034" s="10" t="inlineStr">
        <is>
          <t>PERFIL MONTANTE, FORMATO C, EM ACO ZINCADO, PARA ESTRUTURA PAREDE DRYWALL, E = 0,5 MM, 70 X 3000 MM (L X C)</t>
        </is>
      </c>
      <c r="E2034" s="11">
        <f t="array" ref="E2034">_xlfn.XLOOKUP(D2034,Insumos!B:B,Insumos!C:$C)</f>
        <v/>
      </c>
      <c r="F2034" s="14">
        <f>4.0011*2</f>
        <v/>
      </c>
      <c r="G2034" s="92">
        <f t="array" ref="G2034">IF(B2034="insumo",_xlfn.XLOOKUP($D2034,Insumos!$B$1:$B$996,Insumos!$D$1:$D$996),"")</f>
        <v/>
      </c>
      <c r="H2034" s="92" t="n">
        <v>63.857556</v>
      </c>
      <c r="I2034" s="2162" t="n">
        <v>0</v>
      </c>
      <c r="J2034" s="2162" t="n">
        <v>0</v>
      </c>
      <c r="K2034" s="2162" t="n"/>
    </row>
    <row r="2035" outlineLevel="3" ht="15.75" customHeight="1">
      <c r="A2035" s="10" t="n">
        <v>95</v>
      </c>
      <c r="B2035" s="10" t="inlineStr">
        <is>
          <t>Insumo</t>
        </is>
      </c>
      <c r="C2035" s="10" t="inlineStr">
        <is>
          <t>37_DRY 140 mm LV - 2 PLACAS - 16,50cm  -  Lado A: PLACA PERFORMANCE RU - Lado B: PLACA PERFORMANCE RU</t>
        </is>
      </c>
      <c r="D2035" s="10" t="inlineStr">
        <is>
          <t>MASSA DE REJUNTE EM PO PARA DRYWALL, A BASE DE GESSO, SECAGEM RAPIDA, PARA TRATAMENTO DE JUNTAS DE CHAPA DE GESSO (NECESSITA ADICAO DE AGUA)</t>
        </is>
      </c>
      <c r="E2035" s="11">
        <f t="array" ref="E2035">_xlfn.XLOOKUP(D2035,Insumos!B:B,Insumos!C:$C)</f>
        <v/>
      </c>
      <c r="F2035" s="14" t="n">
        <v>1.0978</v>
      </c>
      <c r="G2035" s="92">
        <f t="array" ref="G2035">IF(B2035="insumo",_xlfn.XLOOKUP($D2035,Insumos!$B$1:$B$996,Insumos!$D$1:$D$996),"")</f>
        <v/>
      </c>
      <c r="H2035" s="92" t="n">
        <v>3.765454</v>
      </c>
      <c r="I2035" s="2162" t="n">
        <v>0</v>
      </c>
      <c r="J2035" s="2162" t="n">
        <v>0</v>
      </c>
      <c r="K2035" s="2162" t="n"/>
    </row>
    <row r="2036" outlineLevel="3" ht="15.75" customHeight="1">
      <c r="A2036" s="10" t="n">
        <v>94</v>
      </c>
      <c r="B2036" s="10" t="inlineStr">
        <is>
          <t>Insumo</t>
        </is>
      </c>
      <c r="C2036" s="10" t="inlineStr">
        <is>
          <t>37_DRY 140 mm LV - 2 PLACAS - 16,50cm  -  Lado A: PLACA PERFORMANCE RU - Lado B: PLACA PERFORMANCE RU</t>
        </is>
      </c>
      <c r="D2036" s="10" t="inlineStr">
        <is>
          <t>FITA DE PAPEL MICROPERFURADO, 50 X 150 MM, PARA TRATAMENTO DE JUNTAS DE CHAPA DE GESSO PARA DRYWALL</t>
        </is>
      </c>
      <c r="E2036" s="11">
        <f t="array" ref="E2036">_xlfn.XLOOKUP(D2036,Insumos!B:B,Insumos!C:$C)</f>
        <v/>
      </c>
      <c r="F2036" s="14" t="n">
        <v>2.5027</v>
      </c>
      <c r="G2036" s="92">
        <f t="array" ref="G2036">IF(B2036="insumo",_xlfn.XLOOKUP($D2036,Insumos!$B$1:$B$996,Insumos!$D$1:$D$996),"")</f>
        <v/>
      </c>
      <c r="H2036" s="92" t="n">
        <v>0.775837</v>
      </c>
      <c r="I2036" s="2162" t="n">
        <v>0</v>
      </c>
      <c r="J2036" s="2162" t="n">
        <v>0</v>
      </c>
      <c r="K2036" s="2162" t="n"/>
    </row>
    <row r="2037" outlineLevel="3" ht="15.75" customHeight="1">
      <c r="A2037" s="10" t="n">
        <v>94</v>
      </c>
      <c r="B2037" s="10" t="inlineStr">
        <is>
          <t>Insumo</t>
        </is>
      </c>
      <c r="C2037" s="10" t="inlineStr">
        <is>
          <t>37_DRY 140 mm LV - 2 PLACAS - 16,50cm  -  Lado A: PLACA PERFORMANCE RU - Lado B: PLACA PERFORMANCE RU</t>
        </is>
      </c>
      <c r="D2037" s="10" t="inlineStr">
        <is>
          <t>FITA DE PAPEL REFORCADA COM LAMINA DE METAL PARA REFORCO DE CANTOS DE CHAPA DE GESSO PARA DRYWALL</t>
        </is>
      </c>
      <c r="E2037" s="11">
        <f t="array" ref="E2037">_xlfn.XLOOKUP(D2037,Insumos!B:B,Insumos!C:$C)</f>
        <v/>
      </c>
      <c r="F2037" s="14" t="n">
        <v>1.5851</v>
      </c>
      <c r="G2037" s="92">
        <f t="array" ref="G2037">IF(B2037="insumo",_xlfn.XLOOKUP($D2037,Insumos!$B$1:$B$996,Insumos!$D$1:$D$996),"")</f>
        <v/>
      </c>
      <c r="H2037" s="92" t="n">
        <v>4.343174</v>
      </c>
      <c r="I2037" s="2162" t="n">
        <v>0</v>
      </c>
      <c r="J2037" s="2162" t="n">
        <v>0</v>
      </c>
      <c r="K2037" s="2162" t="n"/>
    </row>
    <row r="2038" outlineLevel="3" ht="15.75" customHeight="1">
      <c r="A2038" s="10" t="n">
        <v>97</v>
      </c>
      <c r="B2038" s="10" t="inlineStr">
        <is>
          <t>Insumo</t>
        </is>
      </c>
      <c r="C2038" s="10" t="inlineStr">
        <is>
          <t>37_DRY 140 mm LV - 2 PLACAS - 16,50cm  -  Lado A: PLACA PERFORMANCE RU - Lado B: PLACA PERFORMANCE RU</t>
        </is>
      </c>
      <c r="D2038" s="10" t="inlineStr">
        <is>
          <t>PARAFUSO DRY WALL, EM ACO FOSFATIZADO, CABECA TROMBETA E PONTA AGULHA (TA), COMPRIMENTO 25 MM</t>
        </is>
      </c>
      <c r="E2038" s="11">
        <f t="array" ref="E2038">_xlfn.XLOOKUP(D2038,Insumos!B:B,Insumos!C:$C)</f>
        <v/>
      </c>
      <c r="F2038" s="14" t="n">
        <v>20.1868</v>
      </c>
      <c r="G2038" s="92">
        <f t="array" ref="G2038">IF(B2038="insumo",_xlfn.XLOOKUP($D2038,Insumos!$B$1:$B$996,Insumos!$D$1:$D$996),"")</f>
        <v/>
      </c>
      <c r="H2038" s="92" t="n">
        <v>1.816812</v>
      </c>
      <c r="I2038" s="2162" t="n">
        <v>0</v>
      </c>
      <c r="J2038" s="2162" t="n">
        <v>0</v>
      </c>
      <c r="K2038" s="2162" t="n"/>
    </row>
    <row r="2039" outlineLevel="3" ht="15.75" customHeight="1">
      <c r="A2039" s="10" t="n">
        <v>95</v>
      </c>
      <c r="B2039" s="10" t="inlineStr">
        <is>
          <t>Insumo</t>
        </is>
      </c>
      <c r="C2039" s="10" t="inlineStr">
        <is>
          <t>37_DRY 140 mm LV - 2 PLACAS - 16,50cm  -  Lado A: PLACA PERFORMANCE RU - Lado B: PLACA PERFORMANCE RU</t>
        </is>
      </c>
      <c r="D2039" s="10" t="inlineStr">
        <is>
          <t>PARAFUSO DRY WALL, EM ACO ZINCADO, CABECA LENTILHA E PONTA BROCA (LB), LARGURA 4,2 MM, COMPRIMENTO 13 MM</t>
        </is>
      </c>
      <c r="E2039" s="11">
        <f t="array" ref="E2039">_xlfn.XLOOKUP(D2039,Insumos!B:B,Insumos!C:$C)</f>
        <v/>
      </c>
      <c r="F2039" s="14" t="n">
        <v>0.5441</v>
      </c>
      <c r="G2039" s="92">
        <f t="array" ref="G2039">IF(B2039="insumo",_xlfn.XLOOKUP($D2039,Insumos!$B$1:$B$996,Insumos!$D$1:$D$996),"")</f>
        <v/>
      </c>
      <c r="H2039" s="92" t="n">
        <v>0.10882</v>
      </c>
      <c r="I2039" s="2162" t="n">
        <v>0</v>
      </c>
      <c r="J2039" s="2162" t="n">
        <v>0</v>
      </c>
      <c r="K2039" s="2162" t="n"/>
    </row>
    <row r="2040" outlineLevel="3" ht="15.75" customHeight="1">
      <c r="A2040" s="10" t="n">
        <v>35</v>
      </c>
      <c r="B2040" s="10" t="inlineStr">
        <is>
          <t>Insumo</t>
        </is>
      </c>
      <c r="C2040" s="10" t="inlineStr">
        <is>
          <t>37_DRY 140 mm LV - 2 PLACAS - 16,50cm  -  Lado A: PLACA PERFORMANCE RU - Lado B: PLACA PERFORMANCE RU</t>
        </is>
      </c>
      <c r="D2040" s="10" t="inlineStr">
        <is>
          <t>Lã de pet 50 X 1200 X 12500 MM</t>
        </is>
      </c>
      <c r="E2040" s="11">
        <f t="array" ref="E2040">_xlfn.XLOOKUP(D2040,Insumos!B:B,Insumos!C:$C)</f>
        <v/>
      </c>
      <c r="F2040" s="14" t="n">
        <v>1.1</v>
      </c>
      <c r="G2040" s="92">
        <f t="array" ref="G2040">IF(B2040="insumo",_xlfn.XLOOKUP($D2040,Insumos!$B$1:$B$996,Insumos!$D$1:$D$996),"")</f>
        <v/>
      </c>
      <c r="H2040" s="92" t="n">
        <v>14.3212666666667</v>
      </c>
      <c r="I2040" s="2162" t="n">
        <v>0</v>
      </c>
      <c r="J2040" s="2162" t="n">
        <v>0</v>
      </c>
      <c r="K2040" s="2162" t="n"/>
    </row>
    <row r="2041" outlineLevel="2" ht="15.75" customHeight="1">
      <c r="A2041" s="1067" t="n">
        <v>1</v>
      </c>
      <c r="B2041" s="1067" t="inlineStr">
        <is>
          <t>Serviço</t>
        </is>
      </c>
      <c r="C2041" s="1067" t="inlineStr">
        <is>
          <t>37_DRY 140 mm LV - 2 PLACAS - 16,50cm  -  Lado A: PLACA PERFORMANCE RU - Lado B: PLACA RU</t>
        </is>
      </c>
      <c r="D2041" s="1067" t="inlineStr">
        <is>
          <t>37_DRY 140 mm LV - 2 PLACAS - 16,50cm  -  Lado A: PLACA PERFORMANCE RU - Lado B: PLACA RU</t>
        </is>
      </c>
      <c r="E2041" s="1068" t="inlineStr">
        <is>
          <t>M2</t>
        </is>
      </c>
      <c r="F2041" s="1067" t="n"/>
      <c r="G2041" s="1069">
        <f t="array" ref="G2041">IF(B2041="insumo",_xlfn.XLOOKUP($D2041,Insumos!$B$1:$B$996,Insumos!$D$1:$D$996),"")</f>
        <v/>
      </c>
      <c r="H2041" s="1069" t="n">
        <v>241.795215666667</v>
      </c>
      <c r="I2041" s="2161" t="n">
        <v>0</v>
      </c>
      <c r="J2041" s="2161" t="n">
        <v>0</v>
      </c>
      <c r="K2041" s="2161" t="n"/>
    </row>
    <row r="2042" outlineLevel="3" ht="15.75" customHeight="1">
      <c r="A2042" s="10" t="n">
        <v>86</v>
      </c>
      <c r="B2042" s="10" t="inlineStr">
        <is>
          <t>Insumo</t>
        </is>
      </c>
      <c r="C2042" s="10" t="inlineStr">
        <is>
          <t>37_DRY 140 mm LV - 2 PLACAS - 16,50cm  -  Lado A: PLACA PERFORMANCE RU - Lado B: PLACA RU</t>
        </is>
      </c>
      <c r="D2042" s="10" t="inlineStr">
        <is>
          <t>SERVICO - CONFECCAO SHAFT GESSO</t>
        </is>
      </c>
      <c r="E2042" s="11">
        <f t="array" ref="E2042">_xlfn.XLOOKUP(D2042,Insumos!B:B,Insumos!C:$C)</f>
        <v/>
      </c>
      <c r="F2042" s="14" t="n">
        <v>1</v>
      </c>
      <c r="G2042" s="92">
        <f t="array" ref="G2042">IF(B2042="insumo",_xlfn.XLOOKUP($D2042,Insumos!$B$1:$B$996,Insumos!$D$1:$D$996),"")</f>
        <v/>
      </c>
      <c r="H2042" s="92" t="n">
        <v>70</v>
      </c>
      <c r="I2042" s="2162" t="n">
        <v>0</v>
      </c>
      <c r="J2042" s="2162" t="n">
        <v>0</v>
      </c>
      <c r="K2042" s="2162" t="n"/>
    </row>
    <row r="2043" outlineLevel="3" ht="15.75" customHeight="1">
      <c r="A2043" s="10" t="n">
        <v>49</v>
      </c>
      <c r="B2043" s="10" t="inlineStr">
        <is>
          <t>Insumo</t>
        </is>
      </c>
      <c r="C2043" s="10" t="inlineStr">
        <is>
          <t>37_DRY 140 mm LV - 2 PLACAS - 16,50cm  -  Lado A: PLACA PERFORMANCE RU - Lado B: PLACA RU</t>
        </is>
      </c>
      <c r="D2043" s="10" t="inlineStr">
        <is>
          <t>PLACA / CHAPA DE GESSO ACARTONADO, RESISTENTE A UMIDADE (RU), COR VERDE, E = 12,5 MM, 1200 X 2400 MM (L X C)</t>
        </is>
      </c>
      <c r="E2043" s="11">
        <f t="array" ref="E2043">_xlfn.XLOOKUP(D2043,Insumos!B:B,Insumos!C:$C)</f>
        <v/>
      </c>
      <c r="F2043" s="14" t="n">
        <v>2.106</v>
      </c>
      <c r="G2043" s="92">
        <f t="array" ref="G2043">IF(B2043="insumo",_xlfn.XLOOKUP($D2043,Insumos!$B$1:$B$996,Insumos!$D$1:$D$996),"")</f>
        <v/>
      </c>
      <c r="H2043" s="92" t="n">
        <v>57.0726</v>
      </c>
      <c r="I2043" s="2162" t="n">
        <v>0</v>
      </c>
      <c r="J2043" s="2162" t="n">
        <v>0</v>
      </c>
      <c r="K2043" s="2162" t="n"/>
    </row>
    <row r="2044" outlineLevel="3" ht="15.75" customHeight="1">
      <c r="A2044" s="10" t="n">
        <v>95</v>
      </c>
      <c r="B2044" s="10" t="inlineStr">
        <is>
          <t>Insumo</t>
        </is>
      </c>
      <c r="C2044" s="10" t="inlineStr">
        <is>
          <t>37_DRY 140 mm LV - 2 PLACAS - 16,50cm  -  Lado A: PLACA PERFORMANCE RU - Lado B: PLACA RU</t>
        </is>
      </c>
      <c r="D2044" s="10" t="inlineStr">
        <is>
          <t>PINO DE ACO COM ARRUELA CONICA, DIAMETRO ARRUELA = *23* MM E COMP HASTE = *27* MM (ACAO INDIRETA)</t>
        </is>
      </c>
      <c r="E2044" s="11">
        <f t="array" ref="E2044">_xlfn.XLOOKUP(D2044,Insumos!B:B,Insumos!C:$C)</f>
        <v/>
      </c>
      <c r="F2044" s="14" t="n">
        <v>5.92</v>
      </c>
      <c r="G2044" s="92">
        <f t="array" ref="G2044">IF(B2044="insumo",_xlfn.XLOOKUP($D2044,Insumos!$B$1:$B$996,Insumos!$D$1:$D$996),"")</f>
        <v/>
      </c>
      <c r="H2044" s="92" t="n">
        <v>2.98368</v>
      </c>
      <c r="I2044" s="2162" t="n">
        <v>0</v>
      </c>
      <c r="J2044" s="2162" t="n">
        <v>0</v>
      </c>
      <c r="K2044" s="2162" t="n"/>
    </row>
    <row r="2045" outlineLevel="3" ht="15.75" customHeight="1">
      <c r="A2045" s="10" t="n">
        <v>43</v>
      </c>
      <c r="B2045" s="10" t="inlineStr">
        <is>
          <t>Insumo</t>
        </is>
      </c>
      <c r="C2045" s="10" t="inlineStr">
        <is>
          <t>37_DRY 140 mm LV - 2 PLACAS - 16,50cm  -  Lado A: PLACA PERFORMANCE RU - Lado B: PLACA RU</t>
        </is>
      </c>
      <c r="D2045" s="10" t="inlineStr">
        <is>
          <t>PERFIL GUIA, FORMATO U, EM ACO ZINCADO, PARA ESTRUTURA PAREDE DRYWALL, E = 0,5 MM, 70 X 3000 MM (L X C)</t>
        </is>
      </c>
      <c r="E2045" s="11">
        <f t="array" ref="E2045">_xlfn.XLOOKUP(D2045,Insumos!B:B,Insumos!C:$C)</f>
        <v/>
      </c>
      <c r="F2045" s="14">
        <f>1.5248*2</f>
        <v/>
      </c>
      <c r="G2045" s="92">
        <f t="array" ref="G2045">IF(B2045="insumo",_xlfn.XLOOKUP($D2045,Insumos!$B$1:$B$996,Insumos!$D$1:$D$996),"")</f>
        <v/>
      </c>
      <c r="H2045" s="92" t="n">
        <v>22.750016</v>
      </c>
      <c r="I2045" s="2162" t="n">
        <v>0</v>
      </c>
      <c r="J2045" s="2162" t="n">
        <v>0</v>
      </c>
      <c r="K2045" s="2162" t="n"/>
    </row>
    <row r="2046" outlineLevel="3" ht="15.75" customHeight="1">
      <c r="A2046" s="10" t="n">
        <v>43</v>
      </c>
      <c r="B2046" s="10" t="inlineStr">
        <is>
          <t>Insumo</t>
        </is>
      </c>
      <c r="C2046" s="10" t="inlineStr">
        <is>
          <t>37_DRY 140 mm LV - 2 PLACAS - 16,50cm  -  Lado A: PLACA PERFORMANCE RU - Lado B: PLACA RU</t>
        </is>
      </c>
      <c r="D2046" s="10" t="inlineStr">
        <is>
          <t>PERFIL MONTANTE, FORMATO C, EM ACO ZINCADO, PARA ESTRUTURA PAREDE DRYWALL, E = 0,5 MM, 70 X 3000 MM (L X C)</t>
        </is>
      </c>
      <c r="E2046" s="11">
        <f t="array" ref="E2046">_xlfn.XLOOKUP(D2046,Insumos!B:B,Insumos!C:$C)</f>
        <v/>
      </c>
      <c r="F2046" s="14">
        <f>4.0011*2</f>
        <v/>
      </c>
      <c r="G2046" s="92">
        <f t="array" ref="G2046">IF(B2046="insumo",_xlfn.XLOOKUP($D2046,Insumos!$B$1:$B$996,Insumos!$D$1:$D$996),"")</f>
        <v/>
      </c>
      <c r="H2046" s="92" t="n">
        <v>63.857556</v>
      </c>
      <c r="I2046" s="2162" t="n">
        <v>0</v>
      </c>
      <c r="J2046" s="2162" t="n">
        <v>0</v>
      </c>
      <c r="K2046" s="2162" t="n"/>
    </row>
    <row r="2047" outlineLevel="3" ht="15.75" customHeight="1">
      <c r="A2047" s="10" t="n">
        <v>95</v>
      </c>
      <c r="B2047" s="10" t="inlineStr">
        <is>
          <t>Insumo</t>
        </is>
      </c>
      <c r="C2047" s="10" t="inlineStr">
        <is>
          <t>37_DRY 140 mm LV - 2 PLACAS - 16,50cm  -  Lado A: PLACA PERFORMANCE RU - Lado B: PLACA RU</t>
        </is>
      </c>
      <c r="D2047" s="10" t="inlineStr">
        <is>
          <t>MASSA DE REJUNTE EM PO PARA DRYWALL, A BASE DE GESSO, SECAGEM RAPIDA, PARA TRATAMENTO DE JUNTAS DE CHAPA DE GESSO (NECESSITA ADICAO DE AGUA)</t>
        </is>
      </c>
      <c r="E2047" s="11">
        <f t="array" ref="E2047">_xlfn.XLOOKUP(D2047,Insumos!B:B,Insumos!C:$C)</f>
        <v/>
      </c>
      <c r="F2047" s="14" t="n">
        <v>1.0978</v>
      </c>
      <c r="G2047" s="92">
        <f t="array" ref="G2047">IF(B2047="insumo",_xlfn.XLOOKUP($D2047,Insumos!$B$1:$B$996,Insumos!$D$1:$D$996),"")</f>
        <v/>
      </c>
      <c r="H2047" s="92" t="n">
        <v>3.765454</v>
      </c>
      <c r="I2047" s="2162" t="n">
        <v>0</v>
      </c>
      <c r="J2047" s="2162" t="n">
        <v>0</v>
      </c>
      <c r="K2047" s="2162" t="n"/>
    </row>
    <row r="2048" outlineLevel="3" ht="15.75" customHeight="1">
      <c r="A2048" s="10" t="n">
        <v>94</v>
      </c>
      <c r="B2048" s="10" t="inlineStr">
        <is>
          <t>Insumo</t>
        </is>
      </c>
      <c r="C2048" s="10" t="inlineStr">
        <is>
          <t>37_DRY 140 mm LV - 2 PLACAS - 16,50cm  -  Lado A: PLACA PERFORMANCE RU - Lado B: PLACA RU</t>
        </is>
      </c>
      <c r="D2048" s="10" t="inlineStr">
        <is>
          <t>FITA DE PAPEL MICROPERFURADO, 50 X 150 MM, PARA TRATAMENTO DE JUNTAS DE CHAPA DE GESSO PARA DRYWALL</t>
        </is>
      </c>
      <c r="E2048" s="11">
        <f t="array" ref="E2048">_xlfn.XLOOKUP(D2048,Insumos!B:B,Insumos!C:$C)</f>
        <v/>
      </c>
      <c r="F2048" s="14" t="n">
        <v>2.5027</v>
      </c>
      <c r="G2048" s="92">
        <f t="array" ref="G2048">IF(B2048="insumo",_xlfn.XLOOKUP($D2048,Insumos!$B$1:$B$996,Insumos!$D$1:$D$996),"")</f>
        <v/>
      </c>
      <c r="H2048" s="92" t="n">
        <v>0.775837</v>
      </c>
      <c r="I2048" s="2162" t="n">
        <v>0</v>
      </c>
      <c r="J2048" s="2162" t="n">
        <v>0</v>
      </c>
      <c r="K2048" s="2162" t="n"/>
    </row>
    <row r="2049" outlineLevel="3" ht="15.75" customHeight="1">
      <c r="A2049" s="10" t="n">
        <v>94</v>
      </c>
      <c r="B2049" s="10" t="inlineStr">
        <is>
          <t>Insumo</t>
        </is>
      </c>
      <c r="C2049" s="10" t="inlineStr">
        <is>
          <t>37_DRY 140 mm LV - 2 PLACAS - 16,50cm  -  Lado A: PLACA PERFORMANCE RU - Lado B: PLACA RU</t>
        </is>
      </c>
      <c r="D2049" s="10" t="inlineStr">
        <is>
          <t>FITA DE PAPEL REFORCADA COM LAMINA DE METAL PARA REFORCO DE CANTOS DE CHAPA DE GESSO PARA DRYWALL</t>
        </is>
      </c>
      <c r="E2049" s="11">
        <f t="array" ref="E2049">_xlfn.XLOOKUP(D2049,Insumos!B:B,Insumos!C:$C)</f>
        <v/>
      </c>
      <c r="F2049" s="14" t="n">
        <v>1.5851</v>
      </c>
      <c r="G2049" s="92">
        <f t="array" ref="G2049">IF(B2049="insumo",_xlfn.XLOOKUP($D2049,Insumos!$B$1:$B$996,Insumos!$D$1:$D$996),"")</f>
        <v/>
      </c>
      <c r="H2049" s="92" t="n">
        <v>4.343174</v>
      </c>
      <c r="I2049" s="2162" t="n">
        <v>0</v>
      </c>
      <c r="J2049" s="2162" t="n">
        <v>0</v>
      </c>
      <c r="K2049" s="2162" t="n"/>
    </row>
    <row r="2050" outlineLevel="3" ht="15.75" customHeight="1">
      <c r="A2050" s="10" t="n">
        <v>97</v>
      </c>
      <c r="B2050" s="10" t="inlineStr">
        <is>
          <t>Insumo</t>
        </is>
      </c>
      <c r="C2050" s="10" t="inlineStr">
        <is>
          <t>37_DRY 140 mm LV - 2 PLACAS - 16,50cm  -  Lado A: PLACA PERFORMANCE RU - Lado B: PLACA RU</t>
        </is>
      </c>
      <c r="D2050" s="10" t="inlineStr">
        <is>
          <t>PARAFUSO DRY WALL, EM ACO FOSFATIZADO, CABECA TROMBETA E PONTA AGULHA (TA), COMPRIMENTO 25 MM</t>
        </is>
      </c>
      <c r="E2050" s="11">
        <f t="array" ref="E2050">_xlfn.XLOOKUP(D2050,Insumos!B:B,Insumos!C:$C)</f>
        <v/>
      </c>
      <c r="F2050" s="14" t="n">
        <v>20.1868</v>
      </c>
      <c r="G2050" s="92">
        <f t="array" ref="G2050">IF(B2050="insumo",_xlfn.XLOOKUP($D2050,Insumos!$B$1:$B$996,Insumos!$D$1:$D$996),"")</f>
        <v/>
      </c>
      <c r="H2050" s="92" t="n">
        <v>1.816812</v>
      </c>
      <c r="I2050" s="2162" t="n">
        <v>0</v>
      </c>
      <c r="J2050" s="2162" t="n">
        <v>0</v>
      </c>
      <c r="K2050" s="2162" t="n"/>
    </row>
    <row r="2051" outlineLevel="3" ht="15.75" customHeight="1">
      <c r="A2051" s="10" t="n">
        <v>95</v>
      </c>
      <c r="B2051" s="10" t="inlineStr">
        <is>
          <t>Insumo</t>
        </is>
      </c>
      <c r="C2051" s="10" t="inlineStr">
        <is>
          <t>37_DRY 140 mm LV - 2 PLACAS - 16,50cm  -  Lado A: PLACA PERFORMANCE RU - Lado B: PLACA RU</t>
        </is>
      </c>
      <c r="D2051" s="10" t="inlineStr">
        <is>
          <t>PARAFUSO DRY WALL, EM ACO ZINCADO, CABECA LENTILHA E PONTA BROCA (LB), LARGURA 4,2 MM, COMPRIMENTO 13 MM</t>
        </is>
      </c>
      <c r="E2051" s="11">
        <f t="array" ref="E2051">_xlfn.XLOOKUP(D2051,Insumos!B:B,Insumos!C:$C)</f>
        <v/>
      </c>
      <c r="F2051" s="14" t="n">
        <v>0.5441</v>
      </c>
      <c r="G2051" s="92">
        <f t="array" ref="G2051">IF(B2051="insumo",_xlfn.XLOOKUP($D2051,Insumos!$B$1:$B$996,Insumos!$D$1:$D$996),"")</f>
        <v/>
      </c>
      <c r="H2051" s="92" t="n">
        <v>0.10882</v>
      </c>
      <c r="I2051" s="2162" t="n">
        <v>0</v>
      </c>
      <c r="J2051" s="2162" t="n">
        <v>0</v>
      </c>
      <c r="K2051" s="2162" t="n"/>
    </row>
    <row r="2052" outlineLevel="3" ht="15.75" customHeight="1">
      <c r="A2052" s="10" t="n">
        <v>35</v>
      </c>
      <c r="B2052" s="10" t="inlineStr">
        <is>
          <t>Insumo</t>
        </is>
      </c>
      <c r="C2052" s="10" t="inlineStr">
        <is>
          <t>37_DRY 140 mm LV - 2 PLACAS - 16,50cm  -  Lado A: PLACA PERFORMANCE RU - Lado B: PLACA RU</t>
        </is>
      </c>
      <c r="D2052" s="10" t="inlineStr">
        <is>
          <t>Lã de pet 50 X 1200 X 12500 MM</t>
        </is>
      </c>
      <c r="E2052" s="11">
        <f t="array" ref="E2052">_xlfn.XLOOKUP(D2052,Insumos!B:B,Insumos!C:$C)</f>
        <v/>
      </c>
      <c r="F2052" s="14" t="n">
        <v>1.1</v>
      </c>
      <c r="G2052" s="92">
        <f t="array" ref="G2052">IF(B2052="insumo",_xlfn.XLOOKUP($D2052,Insumos!$B$1:$B$996,Insumos!$D$1:$D$996),"")</f>
        <v/>
      </c>
      <c r="H2052" s="92" t="n">
        <v>14.3212666666667</v>
      </c>
      <c r="I2052" s="2162" t="n">
        <v>0</v>
      </c>
      <c r="J2052" s="2162" t="n">
        <v>0</v>
      </c>
      <c r="K2052" s="2162" t="n"/>
    </row>
    <row r="2053" outlineLevel="2" ht="15.75" customHeight="1">
      <c r="A2053" s="1067" t="n">
        <v>1</v>
      </c>
      <c r="B2053" s="1067" t="inlineStr">
        <is>
          <t>Serviço</t>
        </is>
      </c>
      <c r="C2053" s="1067" t="inlineStr">
        <is>
          <t>37_DRY 140 mm LV - 2 PLACAS - 16,50cm  -  Lado A: PLACA PERFORMANCE RU - Lado B: PLACA CT</t>
        </is>
      </c>
      <c r="D2053" s="1067" t="inlineStr">
        <is>
          <t>37_DRY 140 mm LV - 2 PLACAS - 16,50cm  -  Lado A: PLACA PERFORMANCE RU - Lado B: PLACA CT</t>
        </is>
      </c>
      <c r="E2053" s="1068" t="inlineStr">
        <is>
          <t>M2</t>
        </is>
      </c>
      <c r="F2053" s="1067" t="n"/>
      <c r="G2053" s="1069">
        <f t="array" ref="G2053">IF(B2053="insumo",_xlfn.XLOOKUP($D2053,Insumos!$B$1:$B$996,Insumos!$D$1:$D$996),"")</f>
        <v/>
      </c>
      <c r="H2053" s="1069" t="n">
        <v>247.974294833333</v>
      </c>
      <c r="I2053" s="2161" t="n">
        <v>0</v>
      </c>
      <c r="J2053" s="2161" t="n">
        <v>0</v>
      </c>
      <c r="K2053" s="2161" t="n"/>
    </row>
    <row r="2054" outlineLevel="3" ht="15.75" customHeight="1">
      <c r="A2054" s="10" t="n">
        <v>86</v>
      </c>
      <c r="B2054" s="10" t="inlineStr">
        <is>
          <t>Insumo</t>
        </is>
      </c>
      <c r="C2054" s="10" t="inlineStr">
        <is>
          <t>37_DRY 140 mm LV - 2 PLACAS - 16,50cm  -  Lado A: PLACA PERFORMANCE RU - Lado B: PLACA CT</t>
        </is>
      </c>
      <c r="D2054" s="10" t="inlineStr">
        <is>
          <t>SERVICO - CONFECCAO SHAFT GESSO</t>
        </is>
      </c>
      <c r="E2054" s="11">
        <f t="array" ref="E2054">_xlfn.XLOOKUP(D2054,Insumos!B:B,Insumos!C:$C)</f>
        <v/>
      </c>
      <c r="F2054" s="14" t="n">
        <v>1</v>
      </c>
      <c r="G2054" s="92">
        <f t="array" ref="G2054">IF(B2054="insumo",_xlfn.XLOOKUP($D2054,Insumos!$B$1:$B$996,Insumos!$D$1:$D$996),"")</f>
        <v/>
      </c>
      <c r="H2054" s="92" t="n">
        <v>70</v>
      </c>
      <c r="I2054" s="2162" t="n">
        <v>0</v>
      </c>
      <c r="J2054" s="2162" t="n">
        <v>0</v>
      </c>
      <c r="K2054" s="2162" t="n"/>
    </row>
    <row r="2055" outlineLevel="3" ht="15.75" customHeight="1">
      <c r="A2055" s="10" t="n">
        <v>49</v>
      </c>
      <c r="B2055" s="10" t="inlineStr">
        <is>
          <t>Insumo</t>
        </is>
      </c>
      <c r="C2055" s="10" t="inlineStr">
        <is>
          <t>37_DRY 140 mm LV - 2 PLACAS - 16,50cm  -  Lado A: PLACA PERFORMANCE RU - Lado B: PLACA CT</t>
        </is>
      </c>
      <c r="D2055" s="10" t="inlineStr">
        <is>
          <t>PLACA / CHAPA DE GESSO ACARTONADO, RESISTENTE A UMIDADE (RU), COR VERDE, E = 12,5 MM, 1200 X 2400 MM (L X C)</t>
        </is>
      </c>
      <c r="E2055" s="11">
        <f t="array" ref="E2055">_xlfn.XLOOKUP(D2055,Insumos!B:B,Insumos!C:$C)</f>
        <v/>
      </c>
      <c r="F2055" s="14" t="n">
        <v>1.106</v>
      </c>
      <c r="G2055" s="92">
        <f t="array" ref="G2055">IF(B2055="insumo",_xlfn.XLOOKUP($D2055,Insumos!$B$1:$B$996,Insumos!$D$1:$D$996),"")</f>
        <v/>
      </c>
      <c r="H2055" s="92" t="n">
        <v>29.9726</v>
      </c>
      <c r="I2055" s="2162" t="n">
        <v>0</v>
      </c>
      <c r="J2055" s="2162" t="n">
        <v>0</v>
      </c>
      <c r="K2055" s="2162" t="n"/>
    </row>
    <row r="2056" outlineLevel="3" ht="15.75" customHeight="1">
      <c r="A2056" s="10" t="n">
        <v>11</v>
      </c>
      <c r="B2056" s="10" t="inlineStr">
        <is>
          <t>Insumo</t>
        </is>
      </c>
      <c r="C2056" s="10" t="inlineStr">
        <is>
          <t>37_DRY 140 mm LV - 2 PLACAS - 16,50cm  -  Lado A: PLACA PERFORMANCE RU - Lado B: PLACA CT</t>
        </is>
      </c>
      <c r="D2056" s="10" t="inlineStr">
        <is>
          <t>PLACA CIMENTÍCIA(CT) PARA STEEL FRAME BRASILIT-ETERNIT 8MM X 1,20M X 2,40M</t>
        </is>
      </c>
      <c r="E2056" s="11">
        <f t="array" ref="E2056">_xlfn.XLOOKUP(D2056,Insumos!B:B,Insumos!C:$C)</f>
        <v/>
      </c>
      <c r="F2056" s="14" t="n">
        <v>1.106</v>
      </c>
      <c r="G2056" s="92">
        <f t="array" ref="G2056">IF(B2056="insumo",_xlfn.XLOOKUP($D2056,Insumos!$B$1:$B$996,Insumos!$D$1:$D$996),"")</f>
        <v/>
      </c>
      <c r="H2056" s="92" t="n">
        <v>33.2790791666667</v>
      </c>
      <c r="I2056" s="2162" t="n">
        <v>0</v>
      </c>
      <c r="J2056" s="2162" t="n">
        <v>0</v>
      </c>
      <c r="K2056" s="2162" t="n"/>
    </row>
    <row r="2057" outlineLevel="3" ht="15.75" customHeight="1">
      <c r="A2057" s="10" t="n">
        <v>95</v>
      </c>
      <c r="B2057" s="10" t="inlineStr">
        <is>
          <t>Insumo</t>
        </is>
      </c>
      <c r="C2057" s="10" t="inlineStr">
        <is>
          <t>37_DRY 140 mm LV - 2 PLACAS - 16,50cm  -  Lado A: PLACA PERFORMANCE RU - Lado B: PLACA CT</t>
        </is>
      </c>
      <c r="D2057" s="10" t="inlineStr">
        <is>
          <t>PINO DE ACO COM ARRUELA CONICA, DIAMETRO ARRUELA = *23* MM E COMP HASTE = *27* MM (ACAO INDIRETA)</t>
        </is>
      </c>
      <c r="E2057" s="11">
        <f t="array" ref="E2057">_xlfn.XLOOKUP(D2057,Insumos!B:B,Insumos!C:$C)</f>
        <v/>
      </c>
      <c r="F2057" s="14" t="n">
        <v>5.92</v>
      </c>
      <c r="G2057" s="92">
        <f t="array" ref="G2057">IF(B2057="insumo",_xlfn.XLOOKUP($D2057,Insumos!$B$1:$B$996,Insumos!$D$1:$D$996),"")</f>
        <v/>
      </c>
      <c r="H2057" s="92" t="n">
        <v>2.98368</v>
      </c>
      <c r="I2057" s="2162" t="n">
        <v>0</v>
      </c>
      <c r="J2057" s="2162" t="n">
        <v>0</v>
      </c>
      <c r="K2057" s="2162" t="n"/>
    </row>
    <row r="2058" outlineLevel="3" ht="15.75" customHeight="1">
      <c r="A2058" s="10" t="n">
        <v>43</v>
      </c>
      <c r="B2058" s="10" t="inlineStr">
        <is>
          <t>Insumo</t>
        </is>
      </c>
      <c r="C2058" s="10" t="inlineStr">
        <is>
          <t>37_DRY 140 mm LV - 2 PLACAS - 16,50cm  -  Lado A: PLACA PERFORMANCE RU - Lado B: PLACA CT</t>
        </is>
      </c>
      <c r="D2058" s="10" t="inlineStr">
        <is>
          <t>PERFIL GUIA, FORMATO U, EM ACO ZINCADO, PARA ESTRUTURA PAREDE DRYWALL, E = 0,5 MM, 70 X 3000 MM (L X C)</t>
        </is>
      </c>
      <c r="E2058" s="11">
        <f t="array" ref="E2058">_xlfn.XLOOKUP(D2058,Insumos!B:B,Insumos!C:$C)</f>
        <v/>
      </c>
      <c r="F2058" s="14">
        <f>1.5248*2</f>
        <v/>
      </c>
      <c r="G2058" s="92">
        <f t="array" ref="G2058">IF(B2058="insumo",_xlfn.XLOOKUP($D2058,Insumos!$B$1:$B$996,Insumos!$D$1:$D$996),"")</f>
        <v/>
      </c>
      <c r="H2058" s="92" t="n">
        <v>22.750016</v>
      </c>
      <c r="I2058" s="2162" t="n">
        <v>0</v>
      </c>
      <c r="J2058" s="2162" t="n">
        <v>0</v>
      </c>
      <c r="K2058" s="2162" t="n"/>
    </row>
    <row r="2059" outlineLevel="3" ht="15.75" customHeight="1">
      <c r="A2059" s="10" t="n">
        <v>43</v>
      </c>
      <c r="B2059" s="10" t="inlineStr">
        <is>
          <t>Insumo</t>
        </is>
      </c>
      <c r="C2059" s="10" t="inlineStr">
        <is>
          <t>37_DRY 140 mm LV - 2 PLACAS - 16,50cm  -  Lado A: PLACA PERFORMANCE RU - Lado B: PLACA CT</t>
        </is>
      </c>
      <c r="D2059" s="10" t="inlineStr">
        <is>
          <t>PERFIL MONTANTE, FORMATO C, EM ACO ZINCADO, PARA ESTRUTURA PAREDE DRYWALL, E = 0,5 MM, 70 X 3000 MM (L X C)</t>
        </is>
      </c>
      <c r="E2059" s="11">
        <f t="array" ref="E2059">_xlfn.XLOOKUP(D2059,Insumos!B:B,Insumos!C:$C)</f>
        <v/>
      </c>
      <c r="F2059" s="14">
        <f>4.0011*2</f>
        <v/>
      </c>
      <c r="G2059" s="92">
        <f t="array" ref="G2059">IF(B2059="insumo",_xlfn.XLOOKUP($D2059,Insumos!$B$1:$B$996,Insumos!$D$1:$D$996),"")</f>
        <v/>
      </c>
      <c r="H2059" s="92" t="n">
        <v>63.857556</v>
      </c>
      <c r="I2059" s="2162" t="n">
        <v>0</v>
      </c>
      <c r="J2059" s="2162" t="n">
        <v>0</v>
      </c>
      <c r="K2059" s="2162" t="n"/>
    </row>
    <row r="2060" outlineLevel="3" ht="15.75" customHeight="1">
      <c r="A2060" s="10" t="n">
        <v>95</v>
      </c>
      <c r="B2060" s="10" t="inlineStr">
        <is>
          <t>Insumo</t>
        </is>
      </c>
      <c r="C2060" s="10" t="inlineStr">
        <is>
          <t>37_DRY 140 mm LV - 2 PLACAS - 16,50cm  -  Lado A: PLACA PERFORMANCE RU - Lado B: PLACA CT</t>
        </is>
      </c>
      <c r="D2060" s="10" t="inlineStr">
        <is>
          <t>MASSA DE REJUNTE EM PO PARA DRYWALL, A BASE DE GESSO, SECAGEM RAPIDA, PARA TRATAMENTO DE JUNTAS DE CHAPA DE GESSO (NECESSITA ADICAO DE AGUA)</t>
        </is>
      </c>
      <c r="E2060" s="11">
        <f t="array" ref="E2060">_xlfn.XLOOKUP(D2060,Insumos!B:B,Insumos!C:$C)</f>
        <v/>
      </c>
      <c r="F2060" s="14" t="n">
        <v>1.0978</v>
      </c>
      <c r="G2060" s="92">
        <f t="array" ref="G2060">IF(B2060="insumo",_xlfn.XLOOKUP($D2060,Insumos!$B$1:$B$996,Insumos!$D$1:$D$996),"")</f>
        <v/>
      </c>
      <c r="H2060" s="92" t="n">
        <v>3.765454</v>
      </c>
      <c r="I2060" s="2162" t="n">
        <v>0</v>
      </c>
      <c r="J2060" s="2162" t="n">
        <v>0</v>
      </c>
      <c r="K2060" s="2162" t="n"/>
    </row>
    <row r="2061" outlineLevel="3" ht="15.75" customHeight="1">
      <c r="A2061" s="10" t="n">
        <v>94</v>
      </c>
      <c r="B2061" s="10" t="inlineStr">
        <is>
          <t>Insumo</t>
        </is>
      </c>
      <c r="C2061" s="10" t="inlineStr">
        <is>
          <t>37_DRY 140 mm LV - 2 PLACAS - 16,50cm  -  Lado A: PLACA PERFORMANCE RU - Lado B: PLACA CT</t>
        </is>
      </c>
      <c r="D2061" s="10" t="inlineStr">
        <is>
          <t>FITA DE PAPEL MICROPERFURADO, 50 X 150 MM, PARA TRATAMENTO DE JUNTAS DE CHAPA DE GESSO PARA DRYWALL</t>
        </is>
      </c>
      <c r="E2061" s="11">
        <f t="array" ref="E2061">_xlfn.XLOOKUP(D2061,Insumos!B:B,Insumos!C:$C)</f>
        <v/>
      </c>
      <c r="F2061" s="14" t="n">
        <v>2.5027</v>
      </c>
      <c r="G2061" s="92">
        <f t="array" ref="G2061">IF(B2061="insumo",_xlfn.XLOOKUP($D2061,Insumos!$B$1:$B$996,Insumos!$D$1:$D$996),"")</f>
        <v/>
      </c>
      <c r="H2061" s="92" t="n">
        <v>0.775837</v>
      </c>
      <c r="I2061" s="2162" t="n">
        <v>0</v>
      </c>
      <c r="J2061" s="2162" t="n">
        <v>0</v>
      </c>
      <c r="K2061" s="2162" t="n"/>
    </row>
    <row r="2062" outlineLevel="3" ht="15.75" customHeight="1">
      <c r="A2062" s="10" t="n">
        <v>94</v>
      </c>
      <c r="B2062" s="10" t="inlineStr">
        <is>
          <t>Insumo</t>
        </is>
      </c>
      <c r="C2062" s="10" t="inlineStr">
        <is>
          <t>37_DRY 140 mm LV - 2 PLACAS - 16,50cm  -  Lado A: PLACA PERFORMANCE RU - Lado B: PLACA CT</t>
        </is>
      </c>
      <c r="D2062" s="10" t="inlineStr">
        <is>
          <t>FITA DE PAPEL REFORCADA COM LAMINA DE METAL PARA REFORCO DE CANTOS DE CHAPA DE GESSO PARA DRYWALL</t>
        </is>
      </c>
      <c r="E2062" s="11">
        <f t="array" ref="E2062">_xlfn.XLOOKUP(D2062,Insumos!B:B,Insumos!C:$C)</f>
        <v/>
      </c>
      <c r="F2062" s="14" t="n">
        <v>1.5851</v>
      </c>
      <c r="G2062" s="92">
        <f t="array" ref="G2062">IF(B2062="insumo",_xlfn.XLOOKUP($D2062,Insumos!$B$1:$B$996,Insumos!$D$1:$D$996),"")</f>
        <v/>
      </c>
      <c r="H2062" s="92" t="n">
        <v>4.343174</v>
      </c>
      <c r="I2062" s="2162" t="n">
        <v>0</v>
      </c>
      <c r="J2062" s="2162" t="n">
        <v>0</v>
      </c>
      <c r="K2062" s="2162" t="n"/>
    </row>
    <row r="2063" outlineLevel="3" ht="15.75" customHeight="1">
      <c r="A2063" s="10" t="n">
        <v>97</v>
      </c>
      <c r="B2063" s="10" t="inlineStr">
        <is>
          <t>Insumo</t>
        </is>
      </c>
      <c r="C2063" s="10" t="inlineStr">
        <is>
          <t>37_DRY 140 mm LV - 2 PLACAS - 16,50cm  -  Lado A: PLACA PERFORMANCE RU - Lado B: PLACA CT</t>
        </is>
      </c>
      <c r="D2063" s="10" t="inlineStr">
        <is>
          <t>PARAFUSO DRY WALL, EM ACO FOSFATIZADO, CABECA TROMBETA E PONTA AGULHA (TA), COMPRIMENTO 25 MM</t>
        </is>
      </c>
      <c r="E2063" s="11">
        <f t="array" ref="E2063">_xlfn.XLOOKUP(D2063,Insumos!B:B,Insumos!C:$C)</f>
        <v/>
      </c>
      <c r="F2063" s="14" t="n">
        <v>20.1868</v>
      </c>
      <c r="G2063" s="92">
        <f t="array" ref="G2063">IF(B2063="insumo",_xlfn.XLOOKUP($D2063,Insumos!$B$1:$B$996,Insumos!$D$1:$D$996),"")</f>
        <v/>
      </c>
      <c r="H2063" s="92" t="n">
        <v>1.816812</v>
      </c>
      <c r="I2063" s="2162" t="n">
        <v>0</v>
      </c>
      <c r="J2063" s="2162" t="n">
        <v>0</v>
      </c>
      <c r="K2063" s="2162" t="n"/>
    </row>
    <row r="2064" outlineLevel="3" ht="15.75" customHeight="1">
      <c r="A2064" s="10" t="n">
        <v>95</v>
      </c>
      <c r="B2064" s="10" t="inlineStr">
        <is>
          <t>Insumo</t>
        </is>
      </c>
      <c r="C2064" s="10" t="inlineStr">
        <is>
          <t>37_DRY 140 mm LV - 2 PLACAS - 16,50cm  -  Lado A: PLACA PERFORMANCE RU - Lado B: PLACA CT</t>
        </is>
      </c>
      <c r="D2064" s="10" t="inlineStr">
        <is>
          <t>PARAFUSO DRY WALL, EM ACO ZINCADO, CABECA LENTILHA E PONTA BROCA (LB), LARGURA 4,2 MM, COMPRIMENTO 13 MM</t>
        </is>
      </c>
      <c r="E2064" s="11">
        <f t="array" ref="E2064">_xlfn.XLOOKUP(D2064,Insumos!B:B,Insumos!C:$C)</f>
        <v/>
      </c>
      <c r="F2064" s="14" t="n">
        <v>0.5441</v>
      </c>
      <c r="G2064" s="92">
        <f t="array" ref="G2064">IF(B2064="insumo",_xlfn.XLOOKUP($D2064,Insumos!$B$1:$B$996,Insumos!$D$1:$D$996),"")</f>
        <v/>
      </c>
      <c r="H2064" s="92" t="n">
        <v>0.10882</v>
      </c>
      <c r="I2064" s="2162" t="n">
        <v>0</v>
      </c>
      <c r="J2064" s="2162" t="n">
        <v>0</v>
      </c>
      <c r="K2064" s="2162" t="n"/>
    </row>
    <row r="2065" outlineLevel="3" ht="15.75" customHeight="1">
      <c r="A2065" s="10" t="n">
        <v>35</v>
      </c>
      <c r="B2065" s="10" t="inlineStr">
        <is>
          <t>Insumo</t>
        </is>
      </c>
      <c r="C2065" s="10" t="inlineStr">
        <is>
          <t>37_DRY 140 mm LV - 2 PLACAS - 16,50cm  -  Lado A: PLACA PERFORMANCE RU - Lado B: PLACA CT</t>
        </is>
      </c>
      <c r="D2065" s="10" t="inlineStr">
        <is>
          <t>Lã de pet 50 X 1200 X 12500 MM</t>
        </is>
      </c>
      <c r="E2065" s="11">
        <f t="array" ref="E2065">_xlfn.XLOOKUP(D2065,Insumos!B:B,Insumos!C:$C)</f>
        <v/>
      </c>
      <c r="F2065" s="14" t="n">
        <v>1.1</v>
      </c>
      <c r="G2065" s="92">
        <f t="array" ref="G2065">IF(B2065="insumo",_xlfn.XLOOKUP($D2065,Insumos!$B$1:$B$996,Insumos!$D$1:$D$996),"")</f>
        <v/>
      </c>
      <c r="H2065" s="92" t="n">
        <v>14.3212666666667</v>
      </c>
      <c r="I2065" s="2162" t="n">
        <v>0</v>
      </c>
      <c r="J2065" s="2162" t="n">
        <v>0</v>
      </c>
      <c r="K2065" s="2162" t="n"/>
    </row>
    <row r="2066" outlineLevel="2" ht="15.75" customHeight="1">
      <c r="A2066" s="1067" t="n">
        <v>1</v>
      </c>
      <c r="B2066" s="1067" t="inlineStr">
        <is>
          <t>Serviço</t>
        </is>
      </c>
      <c r="C2066" s="1067" t="inlineStr">
        <is>
          <t>37_DRY 140 mm LV - 2 PLACAS - 16,50cm  -  Lado A: PLACA GLASROC X - Lado B: PLACA GLASROC X</t>
        </is>
      </c>
      <c r="D2066" s="1067" t="inlineStr">
        <is>
          <t>37_DRY 140 mm LV - 2 PLACAS - 16,50cm  -  Lado A: PLACA GLASROC X - Lado B: PLACA GLASROC X</t>
        </is>
      </c>
      <c r="E2066" s="1068" t="inlineStr">
        <is>
          <t>M2</t>
        </is>
      </c>
      <c r="F2066" s="1067" t="n"/>
      <c r="G2066" s="1069">
        <f t="array" ref="G2066">IF(B2066="insumo",_xlfn.XLOOKUP($D2066,Insumos!$B$1:$B$996,Insumos!$D$1:$D$996),"")</f>
        <v/>
      </c>
      <c r="H2066" s="1069" t="n">
        <v>307.629937888889</v>
      </c>
      <c r="I2066" s="2161" t="n">
        <v>0</v>
      </c>
      <c r="J2066" s="2161" t="n">
        <v>0</v>
      </c>
      <c r="K2066" s="2161" t="n"/>
    </row>
    <row r="2067" outlineLevel="3" ht="15.75" customHeight="1">
      <c r="A2067" s="10" t="n">
        <v>86</v>
      </c>
      <c r="B2067" s="10" t="inlineStr">
        <is>
          <t>Insumo</t>
        </is>
      </c>
      <c r="C2067" s="10" t="inlineStr">
        <is>
          <t>37_DRY 140 mm LV - 2 PLACAS - 16,50cm  -  Lado A: PLACA GLASROC X - Lado B: PLACA GLASROC X</t>
        </is>
      </c>
      <c r="D2067" s="10" t="inlineStr">
        <is>
          <t>SERVICO - CONFECCAO SHAFT GESSO</t>
        </is>
      </c>
      <c r="E2067" s="11">
        <f t="array" ref="E2067">_xlfn.XLOOKUP(D2067,Insumos!B:B,Insumos!C:$C)</f>
        <v/>
      </c>
      <c r="F2067" s="14" t="n">
        <v>1</v>
      </c>
      <c r="G2067" s="92">
        <f t="array" ref="G2067">IF(B2067="insumo",_xlfn.XLOOKUP($D2067,Insumos!$B$1:$B$996,Insumos!$D$1:$D$996),"")</f>
        <v/>
      </c>
      <c r="H2067" s="92" t="n">
        <v>70</v>
      </c>
      <c r="I2067" s="2162" t="n">
        <v>0</v>
      </c>
      <c r="J2067" s="2162" t="n">
        <v>0</v>
      </c>
      <c r="K2067" s="2162" t="n"/>
    </row>
    <row r="2068" outlineLevel="3" ht="15.75" customHeight="1">
      <c r="A2068" s="10" t="n">
        <v>49</v>
      </c>
      <c r="B2068" s="10" t="inlineStr">
        <is>
          <t>Insumo</t>
        </is>
      </c>
      <c r="C2068" s="10" t="inlineStr">
        <is>
          <t>37_DRY 140 mm LV - 2 PLACAS - 16,50cm  -  Lado A: PLACA GLASROC X - Lado B: PLACA GLASROC X</t>
        </is>
      </c>
      <c r="D2068" s="10" t="inlineStr">
        <is>
          <t>PLACA / CHAPA DE GESSO ACARTONADO, RESISTENTE A UMIDADE (RU), COR VERDE, E = 12,5 MM, 1200 X 2400 MM (L X C)</t>
        </is>
      </c>
      <c r="E2068" s="11">
        <f t="array" ref="E2068">_xlfn.XLOOKUP(D2068,Insumos!B:B,Insumos!C:$C)</f>
        <v/>
      </c>
      <c r="F2068" s="14" t="n">
        <v>1.106</v>
      </c>
      <c r="G2068" s="92">
        <f t="array" ref="G2068">IF(B2068="insumo",_xlfn.XLOOKUP($D2068,Insumos!$B$1:$B$996,Insumos!$D$1:$D$996),"")</f>
        <v/>
      </c>
      <c r="H2068" s="92" t="n">
        <v>29.9726</v>
      </c>
      <c r="I2068" s="2162" t="n">
        <v>0</v>
      </c>
      <c r="J2068" s="2162" t="n">
        <v>0</v>
      </c>
      <c r="K2068" s="2162" t="n"/>
    </row>
    <row r="2069" outlineLevel="3" ht="15.75" customHeight="1">
      <c r="A2069" s="10" t="n">
        <v>4</v>
      </c>
      <c r="B2069" s="10" t="inlineStr">
        <is>
          <t>Insumo</t>
        </is>
      </c>
      <c r="C2069" s="10" t="inlineStr">
        <is>
          <t>37_DRY 140 mm LV - 2 PLACAS - 16,50cm  -  Lado A: PLACA GLASROC X - Lado B: PLACA GLASROC X</t>
        </is>
      </c>
      <c r="D2069" s="10" t="inlineStr">
        <is>
          <t>Placa de Gesso Glasroc X 12,5 X 1200 X 2400mm</t>
        </is>
      </c>
      <c r="E2069" s="11">
        <f t="array" ref="E2069">_xlfn.XLOOKUP(D2069,Insumos!B:B,Insumos!C:$C)</f>
        <v/>
      </c>
      <c r="F2069" s="14" t="n">
        <v>1.106</v>
      </c>
      <c r="G2069" s="92">
        <f t="array" ref="G2069">IF(B2069="insumo",_xlfn.XLOOKUP($D2069,Insumos!$B$1:$B$996,Insumos!$D$1:$D$996),"")</f>
        <v/>
      </c>
      <c r="H2069" s="92" t="n">
        <v>92.93472222222221</v>
      </c>
      <c r="I2069" s="2162" t="n">
        <v>0</v>
      </c>
      <c r="J2069" s="2162" t="n">
        <v>0</v>
      </c>
      <c r="K2069" s="2162" t="n"/>
    </row>
    <row r="2070" outlineLevel="3" ht="15.75" customHeight="1">
      <c r="A2070" s="10" t="n">
        <v>95</v>
      </c>
      <c r="B2070" s="10" t="inlineStr">
        <is>
          <t>Insumo</t>
        </is>
      </c>
      <c r="C2070" s="10" t="inlineStr">
        <is>
          <t>37_DRY 140 mm LV - 2 PLACAS - 16,50cm  -  Lado A: PLACA GLASROC X - Lado B: PLACA GLASROC X</t>
        </is>
      </c>
      <c r="D2070" s="10" t="inlineStr">
        <is>
          <t>PINO DE ACO COM ARRUELA CONICA, DIAMETRO ARRUELA = *23* MM E COMP HASTE = *27* MM (ACAO INDIRETA)</t>
        </is>
      </c>
      <c r="E2070" s="11">
        <f t="array" ref="E2070">_xlfn.XLOOKUP(D2070,Insumos!B:B,Insumos!C:$C)</f>
        <v/>
      </c>
      <c r="F2070" s="14" t="n">
        <v>5.92</v>
      </c>
      <c r="G2070" s="92">
        <f t="array" ref="G2070">IF(B2070="insumo",_xlfn.XLOOKUP($D2070,Insumos!$B$1:$B$996,Insumos!$D$1:$D$996),"")</f>
        <v/>
      </c>
      <c r="H2070" s="92" t="n">
        <v>2.98368</v>
      </c>
      <c r="I2070" s="2162" t="n">
        <v>0</v>
      </c>
      <c r="J2070" s="2162" t="n">
        <v>0</v>
      </c>
      <c r="K2070" s="2162" t="n"/>
    </row>
    <row r="2071" outlineLevel="3" ht="15.75" customHeight="1">
      <c r="A2071" s="10" t="n">
        <v>43</v>
      </c>
      <c r="B2071" s="10" t="inlineStr">
        <is>
          <t>Insumo</t>
        </is>
      </c>
      <c r="C2071" s="10" t="inlineStr">
        <is>
          <t>37_DRY 140 mm LV - 2 PLACAS - 16,50cm  -  Lado A: PLACA GLASROC X - Lado B: PLACA GLASROC X</t>
        </is>
      </c>
      <c r="D2071" s="10" t="inlineStr">
        <is>
          <t>PERFIL GUIA, FORMATO U, EM ACO ZINCADO, PARA ESTRUTURA PAREDE DRYWALL, E = 0,5 MM, 70 X 3000 MM (L X C)</t>
        </is>
      </c>
      <c r="E2071" s="11">
        <f t="array" ref="E2071">_xlfn.XLOOKUP(D2071,Insumos!B:B,Insumos!C:$C)</f>
        <v/>
      </c>
      <c r="F2071" s="14">
        <f>1.5248*2</f>
        <v/>
      </c>
      <c r="G2071" s="92">
        <f t="array" ref="G2071">IF(B2071="insumo",_xlfn.XLOOKUP($D2071,Insumos!$B$1:$B$996,Insumos!$D$1:$D$996),"")</f>
        <v/>
      </c>
      <c r="H2071" s="92" t="n">
        <v>22.750016</v>
      </c>
      <c r="I2071" s="2162" t="n">
        <v>0</v>
      </c>
      <c r="J2071" s="2162" t="n">
        <v>0</v>
      </c>
      <c r="K2071" s="2162" t="n"/>
    </row>
    <row r="2072" outlineLevel="3" ht="15.75" customHeight="1">
      <c r="A2072" s="10" t="n">
        <v>43</v>
      </c>
      <c r="B2072" s="10" t="inlineStr">
        <is>
          <t>Insumo</t>
        </is>
      </c>
      <c r="C2072" s="10" t="inlineStr">
        <is>
          <t>37_DRY 140 mm LV - 2 PLACAS - 16,50cm  -  Lado A: PLACA GLASROC X - Lado B: PLACA GLASROC X</t>
        </is>
      </c>
      <c r="D2072" s="10" t="inlineStr">
        <is>
          <t>PERFIL MONTANTE, FORMATO C, EM ACO ZINCADO, PARA ESTRUTURA PAREDE DRYWALL, E = 0,5 MM, 70 X 3000 MM (L X C)</t>
        </is>
      </c>
      <c r="E2072" s="11">
        <f t="array" ref="E2072">_xlfn.XLOOKUP(D2072,Insumos!B:B,Insumos!C:$C)</f>
        <v/>
      </c>
      <c r="F2072" s="14">
        <f>4.0011*2</f>
        <v/>
      </c>
      <c r="G2072" s="92">
        <f t="array" ref="G2072">IF(B2072="insumo",_xlfn.XLOOKUP($D2072,Insumos!$B$1:$B$996,Insumos!$D$1:$D$996),"")</f>
        <v/>
      </c>
      <c r="H2072" s="92" t="n">
        <v>63.857556</v>
      </c>
      <c r="I2072" s="2162" t="n">
        <v>0</v>
      </c>
      <c r="J2072" s="2162" t="n">
        <v>0</v>
      </c>
      <c r="K2072" s="2162" t="n"/>
    </row>
    <row r="2073" outlineLevel="3" ht="15.75" customHeight="1">
      <c r="A2073" s="10" t="n">
        <v>95</v>
      </c>
      <c r="B2073" s="10" t="inlineStr">
        <is>
          <t>Insumo</t>
        </is>
      </c>
      <c r="C2073" s="10" t="inlineStr">
        <is>
          <t>37_DRY 140 mm LV - 2 PLACAS - 16,50cm  -  Lado A: PLACA GLASROC X - Lado B: PLACA GLASROC X</t>
        </is>
      </c>
      <c r="D2073" s="10" t="inlineStr">
        <is>
          <t>MASSA DE REJUNTE EM PO PARA DRYWALL, A BASE DE GESSO, SECAGEM RAPIDA, PARA TRATAMENTO DE JUNTAS DE CHAPA DE GESSO (NECESSITA ADICAO DE AGUA)</t>
        </is>
      </c>
      <c r="E2073" s="11">
        <f t="array" ref="E2073">_xlfn.XLOOKUP(D2073,Insumos!B:B,Insumos!C:$C)</f>
        <v/>
      </c>
      <c r="F2073" s="14" t="n">
        <v>1.0978</v>
      </c>
      <c r="G2073" s="92">
        <f t="array" ref="G2073">IF(B2073="insumo",_xlfn.XLOOKUP($D2073,Insumos!$B$1:$B$996,Insumos!$D$1:$D$996),"")</f>
        <v/>
      </c>
      <c r="H2073" s="92" t="n">
        <v>3.765454</v>
      </c>
      <c r="I2073" s="2162" t="n">
        <v>0</v>
      </c>
      <c r="J2073" s="2162" t="n">
        <v>0</v>
      </c>
      <c r="K2073" s="2162" t="n"/>
    </row>
    <row r="2074" outlineLevel="3" ht="15.75" customHeight="1">
      <c r="A2074" s="10" t="n">
        <v>94</v>
      </c>
      <c r="B2074" s="10" t="inlineStr">
        <is>
          <t>Insumo</t>
        </is>
      </c>
      <c r="C2074" s="10" t="inlineStr">
        <is>
          <t>37_DRY 140 mm LV - 2 PLACAS - 16,50cm  -  Lado A: PLACA GLASROC X - Lado B: PLACA GLASROC X</t>
        </is>
      </c>
      <c r="D2074" s="10" t="inlineStr">
        <is>
          <t>FITA DE PAPEL MICROPERFURADO, 50 X 150 MM, PARA TRATAMENTO DE JUNTAS DE CHAPA DE GESSO PARA DRYWALL</t>
        </is>
      </c>
      <c r="E2074" s="11">
        <f t="array" ref="E2074">_xlfn.XLOOKUP(D2074,Insumos!B:B,Insumos!C:$C)</f>
        <v/>
      </c>
      <c r="F2074" s="14" t="n">
        <v>2.5027</v>
      </c>
      <c r="G2074" s="92">
        <f t="array" ref="G2074">IF(B2074="insumo",_xlfn.XLOOKUP($D2074,Insumos!$B$1:$B$996,Insumos!$D$1:$D$996),"")</f>
        <v/>
      </c>
      <c r="H2074" s="92" t="n">
        <v>0.775837</v>
      </c>
      <c r="I2074" s="2162" t="n">
        <v>0</v>
      </c>
      <c r="J2074" s="2162" t="n">
        <v>0</v>
      </c>
      <c r="K2074" s="2162" t="n"/>
    </row>
    <row r="2075" outlineLevel="3" ht="15.75" customHeight="1">
      <c r="A2075" s="10" t="n">
        <v>94</v>
      </c>
      <c r="B2075" s="10" t="inlineStr">
        <is>
          <t>Insumo</t>
        </is>
      </c>
      <c r="C2075" s="10" t="inlineStr">
        <is>
          <t>37_DRY 140 mm LV - 2 PLACAS - 16,50cm  -  Lado A: PLACA GLASROC X - Lado B: PLACA GLASROC X</t>
        </is>
      </c>
      <c r="D2075" s="10" t="inlineStr">
        <is>
          <t>FITA DE PAPEL REFORCADA COM LAMINA DE METAL PARA REFORCO DE CANTOS DE CHAPA DE GESSO PARA DRYWALL</t>
        </is>
      </c>
      <c r="E2075" s="11">
        <f t="array" ref="E2075">_xlfn.XLOOKUP(D2075,Insumos!B:B,Insumos!C:$C)</f>
        <v/>
      </c>
      <c r="F2075" s="14" t="n">
        <v>1.5851</v>
      </c>
      <c r="G2075" s="92">
        <f t="array" ref="G2075">IF(B2075="insumo",_xlfn.XLOOKUP($D2075,Insumos!$B$1:$B$996,Insumos!$D$1:$D$996),"")</f>
        <v/>
      </c>
      <c r="H2075" s="92" t="n">
        <v>4.343174</v>
      </c>
      <c r="I2075" s="2162" t="n">
        <v>0</v>
      </c>
      <c r="J2075" s="2162" t="n">
        <v>0</v>
      </c>
      <c r="K2075" s="2162" t="n"/>
    </row>
    <row r="2076" outlineLevel="3" ht="15.75" customHeight="1">
      <c r="A2076" s="10" t="n">
        <v>97</v>
      </c>
      <c r="B2076" s="10" t="inlineStr">
        <is>
          <t>Insumo</t>
        </is>
      </c>
      <c r="C2076" s="10" t="inlineStr">
        <is>
          <t>37_DRY 140 mm LV - 2 PLACAS - 16,50cm  -  Lado A: PLACA GLASROC X - Lado B: PLACA GLASROC X</t>
        </is>
      </c>
      <c r="D2076" s="10" t="inlineStr">
        <is>
          <t>PARAFUSO DRY WALL, EM ACO FOSFATIZADO, CABECA TROMBETA E PONTA AGULHA (TA), COMPRIMENTO 25 MM</t>
        </is>
      </c>
      <c r="E2076" s="11">
        <f t="array" ref="E2076">_xlfn.XLOOKUP(D2076,Insumos!B:B,Insumos!C:$C)</f>
        <v/>
      </c>
      <c r="F2076" s="14" t="n">
        <v>20.1868</v>
      </c>
      <c r="G2076" s="92">
        <f t="array" ref="G2076">IF(B2076="insumo",_xlfn.XLOOKUP($D2076,Insumos!$B$1:$B$996,Insumos!$D$1:$D$996),"")</f>
        <v/>
      </c>
      <c r="H2076" s="92" t="n">
        <v>1.816812</v>
      </c>
      <c r="I2076" s="2162" t="n">
        <v>0</v>
      </c>
      <c r="J2076" s="2162" t="n">
        <v>0</v>
      </c>
      <c r="K2076" s="2162" t="n"/>
    </row>
    <row r="2077" outlineLevel="3" ht="15.75" customHeight="1">
      <c r="A2077" s="10" t="n">
        <v>95</v>
      </c>
      <c r="B2077" s="10" t="inlineStr">
        <is>
          <t>Insumo</t>
        </is>
      </c>
      <c r="C2077" s="10" t="inlineStr">
        <is>
          <t>37_DRY 140 mm LV - 2 PLACAS - 16,50cm  -  Lado A: PLACA GLASROC X - Lado B: PLACA GLASROC X</t>
        </is>
      </c>
      <c r="D2077" s="10" t="inlineStr">
        <is>
          <t>PARAFUSO DRY WALL, EM ACO ZINCADO, CABECA LENTILHA E PONTA BROCA (LB), LARGURA 4,2 MM, COMPRIMENTO 13 MM</t>
        </is>
      </c>
      <c r="E2077" s="11">
        <f t="array" ref="E2077">_xlfn.XLOOKUP(D2077,Insumos!B:B,Insumos!C:$C)</f>
        <v/>
      </c>
      <c r="F2077" s="14" t="n">
        <v>0.5441</v>
      </c>
      <c r="G2077" s="92">
        <f t="array" ref="G2077">IF(B2077="insumo",_xlfn.XLOOKUP($D2077,Insumos!$B$1:$B$996,Insumos!$D$1:$D$996),"")</f>
        <v/>
      </c>
      <c r="H2077" s="92" t="n">
        <v>0.10882</v>
      </c>
      <c r="I2077" s="2162" t="n">
        <v>0</v>
      </c>
      <c r="J2077" s="2162" t="n">
        <v>0</v>
      </c>
      <c r="K2077" s="2162" t="n"/>
    </row>
    <row r="2078" outlineLevel="3" ht="15.75" customHeight="1">
      <c r="A2078" s="10" t="n">
        <v>35</v>
      </c>
      <c r="B2078" s="10" t="inlineStr">
        <is>
          <t>Insumo</t>
        </is>
      </c>
      <c r="C2078" s="10" t="inlineStr">
        <is>
          <t>37_DRY 140 mm LV - 2 PLACAS - 16,50cm  -  Lado A: PLACA GLASROC X - Lado B: PLACA GLASROC X</t>
        </is>
      </c>
      <c r="D2078" s="10" t="inlineStr">
        <is>
          <t>Lã de pet 50 X 1200 X 12500 MM</t>
        </is>
      </c>
      <c r="E2078" s="11">
        <f t="array" ref="E2078">_xlfn.XLOOKUP(D2078,Insumos!B:B,Insumos!C:$C)</f>
        <v/>
      </c>
      <c r="F2078" s="14" t="n">
        <v>1.1</v>
      </c>
      <c r="G2078" s="92">
        <f t="array" ref="G2078">IF(B2078="insumo",_xlfn.XLOOKUP($D2078,Insumos!$B$1:$B$996,Insumos!$D$1:$D$996),"")</f>
        <v/>
      </c>
      <c r="H2078" s="92" t="n">
        <v>14.3212666666667</v>
      </c>
      <c r="I2078" s="2162" t="n">
        <v>0</v>
      </c>
      <c r="J2078" s="2162" t="n">
        <v>0</v>
      </c>
      <c r="K2078" s="2162" t="n"/>
    </row>
    <row r="2079" outlineLevel="2" ht="15.75" customHeight="1">
      <c r="A2079" s="1067" t="n">
        <v>1</v>
      </c>
      <c r="B2079" s="1067" t="inlineStr">
        <is>
          <t>Serviço</t>
        </is>
      </c>
      <c r="C2079" s="1067" t="inlineStr">
        <is>
          <t>37_DRY 140 mm LV - 3 PLACAS - 18,25cm  -  Lado A: PLACA GLASROC X - Lado B: PLACA RF + RF</t>
        </is>
      </c>
      <c r="D2079" s="1067" t="inlineStr">
        <is>
          <t>37_DRY 140 mm LV - 3 PLACAS - 18,25cm  -  Lado A: PLACA GLASROC X - Lado B: PLACA RF + RF</t>
        </is>
      </c>
      <c r="E2079" s="1068" t="inlineStr">
        <is>
          <t>M2</t>
        </is>
      </c>
      <c r="F2079" s="1067" t="n"/>
      <c r="G2079" s="1069">
        <f t="array" ref="G2079">IF(B2079="insumo",_xlfn.XLOOKUP($D2079,Insumos!$B$1:$B$996,Insumos!$D$1:$D$996),"")</f>
        <v/>
      </c>
      <c r="H2079" s="1069" t="n">
        <v>358.094837888889</v>
      </c>
      <c r="I2079" s="2161" t="n">
        <v>0</v>
      </c>
      <c r="J2079" s="2161" t="n">
        <v>0</v>
      </c>
      <c r="K2079" s="2161" t="n"/>
    </row>
    <row r="2080" outlineLevel="3" ht="15.75" customHeight="1">
      <c r="A2080" s="10" t="n">
        <v>86</v>
      </c>
      <c r="B2080" s="10" t="inlineStr">
        <is>
          <t>Insumo</t>
        </is>
      </c>
      <c r="C2080" s="10" t="inlineStr">
        <is>
          <t>37_DRY 140 mm LV - 3 PLACAS - 18,25cm  -  Lado A: PLACA GLASROC X - Lado B: PLACA RF + RF</t>
        </is>
      </c>
      <c r="D2080" s="10" t="inlineStr">
        <is>
          <t>SERVICO - CONFECCAO SHAFT GESSO</t>
        </is>
      </c>
      <c r="E2080" s="11">
        <f t="array" ref="E2080">_xlfn.XLOOKUP(D2080,Insumos!B:B,Insumos!C:$C)</f>
        <v/>
      </c>
      <c r="F2080" s="14" t="n">
        <v>1</v>
      </c>
      <c r="G2080" s="92">
        <f t="array" ref="G2080">IF(B2080="insumo",_xlfn.XLOOKUP($D2080,Insumos!$B$1:$B$996,Insumos!$D$1:$D$996),"")</f>
        <v/>
      </c>
      <c r="H2080" s="92" t="n">
        <v>70</v>
      </c>
      <c r="I2080" s="2162" t="n">
        <v>0</v>
      </c>
      <c r="J2080" s="2162" t="n">
        <v>0</v>
      </c>
      <c r="K2080" s="2162" t="n"/>
    </row>
    <row r="2081" outlineLevel="3" ht="15.75" customHeight="1">
      <c r="A2081" s="10" t="n">
        <v>3</v>
      </c>
      <c r="B2081" s="10" t="inlineStr">
        <is>
          <t>Insumo</t>
        </is>
      </c>
      <c r="C2081" s="10" t="inlineStr">
        <is>
          <t>37_DRY 140 mm LV - 3 PLACAS - 18,25cm  -  Lado A: PLACA GLASROC X - Lado B: PLACA RF + RF</t>
        </is>
      </c>
      <c r="D2081" s="10" t="inlineStr">
        <is>
          <t>CHAPA DE GESSO PARA DRYWALL PLACO - KNAUF (RF) VERMELHA 12,5MM X 1,20M X 1,80M</t>
        </is>
      </c>
      <c r="E2081" s="11">
        <f t="array" ref="E2081">_xlfn.XLOOKUP(D2081,Insumos!B:B,Insumos!C:$C)</f>
        <v/>
      </c>
      <c r="F2081" s="14" t="n">
        <v>2.106</v>
      </c>
      <c r="G2081" s="92">
        <f t="array" ref="G2081">IF(B2081="insumo",_xlfn.XLOOKUP($D2081,Insumos!$B$1:$B$996,Insumos!$D$1:$D$996),"")</f>
        <v/>
      </c>
      <c r="H2081" s="92" t="n">
        <v>80.4375</v>
      </c>
      <c r="I2081" s="2162" t="n">
        <v>0</v>
      </c>
      <c r="J2081" s="2162" t="n">
        <v>0</v>
      </c>
      <c r="K2081" s="2162" t="n"/>
    </row>
    <row r="2082" outlineLevel="3" ht="15.75" customHeight="1">
      <c r="A2082" s="10" t="n">
        <v>4</v>
      </c>
      <c r="B2082" s="10" t="inlineStr">
        <is>
          <t>Insumo</t>
        </is>
      </c>
      <c r="C2082" s="10" t="inlineStr">
        <is>
          <t>37_DRY 140 mm LV - 3 PLACAS - 18,25cm  -  Lado A: PLACA GLASROC X - Lado B: PLACA RF + RF</t>
        </is>
      </c>
      <c r="D2082" s="10" t="inlineStr">
        <is>
          <t>Placa de Gesso Glasroc X 12,5 X 1200 X 2400mm</t>
        </is>
      </c>
      <c r="E2082" s="11">
        <f t="array" ref="E2082">_xlfn.XLOOKUP(D2082,Insumos!B:B,Insumos!C:$C)</f>
        <v/>
      </c>
      <c r="F2082" s="14" t="n">
        <v>1.106</v>
      </c>
      <c r="G2082" s="92">
        <f t="array" ref="G2082">IF(B2082="insumo",_xlfn.XLOOKUP($D2082,Insumos!$B$1:$B$996,Insumos!$D$1:$D$996),"")</f>
        <v/>
      </c>
      <c r="H2082" s="92" t="n">
        <v>92.93472222222221</v>
      </c>
      <c r="I2082" s="2162" t="n">
        <v>0</v>
      </c>
      <c r="J2082" s="2162" t="n">
        <v>0</v>
      </c>
      <c r="K2082" s="2162" t="n"/>
    </row>
    <row r="2083" outlineLevel="3" ht="15.75" customHeight="1">
      <c r="A2083" s="10" t="n">
        <v>95</v>
      </c>
      <c r="B2083" s="10" t="inlineStr">
        <is>
          <t>Insumo</t>
        </is>
      </c>
      <c r="C2083" s="10" t="inlineStr">
        <is>
          <t>37_DRY 140 mm LV - 3 PLACAS - 18,25cm  -  Lado A: PLACA GLASROC X - Lado B: PLACA RF + RF</t>
        </is>
      </c>
      <c r="D2083" s="10" t="inlineStr">
        <is>
          <t>PINO DE ACO COM ARRUELA CONICA, DIAMETRO ARRUELA = *23* MM E COMP HASTE = *27* MM (ACAO INDIRETA)</t>
        </is>
      </c>
      <c r="E2083" s="11">
        <f t="array" ref="E2083">_xlfn.XLOOKUP(D2083,Insumos!B:B,Insumos!C:$C)</f>
        <v/>
      </c>
      <c r="F2083" s="14" t="n">
        <v>5.92</v>
      </c>
      <c r="G2083" s="92">
        <f t="array" ref="G2083">IF(B2083="insumo",_xlfn.XLOOKUP($D2083,Insumos!$B$1:$B$996,Insumos!$D$1:$D$996),"")</f>
        <v/>
      </c>
      <c r="H2083" s="92" t="n">
        <v>2.98368</v>
      </c>
      <c r="I2083" s="2162" t="n">
        <v>0</v>
      </c>
      <c r="J2083" s="2162" t="n">
        <v>0</v>
      </c>
      <c r="K2083" s="2162" t="n"/>
    </row>
    <row r="2084" outlineLevel="3" ht="15.75" customHeight="1">
      <c r="A2084" s="10" t="n">
        <v>43</v>
      </c>
      <c r="B2084" s="10" t="inlineStr">
        <is>
          <t>Insumo</t>
        </is>
      </c>
      <c r="C2084" s="10" t="inlineStr">
        <is>
          <t>37_DRY 140 mm LV - 3 PLACAS - 18,25cm  -  Lado A: PLACA GLASROC X - Lado B: PLACA RF + RF</t>
        </is>
      </c>
      <c r="D2084" s="10" t="inlineStr">
        <is>
          <t>PERFIL GUIA, FORMATO U, EM ACO ZINCADO, PARA ESTRUTURA PAREDE DRYWALL, E = 0,5 MM, 70 X 3000 MM (L X C)</t>
        </is>
      </c>
      <c r="E2084" s="11">
        <f t="array" ref="E2084">_xlfn.XLOOKUP(D2084,Insumos!B:B,Insumos!C:$C)</f>
        <v/>
      </c>
      <c r="F2084" s="14">
        <f>1.5248*2</f>
        <v/>
      </c>
      <c r="G2084" s="92">
        <f t="array" ref="G2084">IF(B2084="insumo",_xlfn.XLOOKUP($D2084,Insumos!$B$1:$B$996,Insumos!$D$1:$D$996),"")</f>
        <v/>
      </c>
      <c r="H2084" s="92" t="n">
        <v>22.750016</v>
      </c>
      <c r="I2084" s="2162" t="n">
        <v>0</v>
      </c>
      <c r="J2084" s="2162" t="n">
        <v>0</v>
      </c>
      <c r="K2084" s="2162" t="n"/>
    </row>
    <row r="2085" outlineLevel="3" ht="15.75" customHeight="1">
      <c r="A2085" s="10" t="n">
        <v>43</v>
      </c>
      <c r="B2085" s="10" t="inlineStr">
        <is>
          <t>Insumo</t>
        </is>
      </c>
      <c r="C2085" s="10" t="inlineStr">
        <is>
          <t>37_DRY 140 mm LV - 3 PLACAS - 18,25cm  -  Lado A: PLACA GLASROC X - Lado B: PLACA RF + RF</t>
        </is>
      </c>
      <c r="D2085" s="10" t="inlineStr">
        <is>
          <t>PERFIL MONTANTE, FORMATO C, EM ACO ZINCADO, PARA ESTRUTURA PAREDE DRYWALL, E = 0,5 MM, 70 X 3000 MM (L X C)</t>
        </is>
      </c>
      <c r="E2085" s="11">
        <f t="array" ref="E2085">_xlfn.XLOOKUP(D2085,Insumos!B:B,Insumos!C:$C)</f>
        <v/>
      </c>
      <c r="F2085" s="14">
        <f>4.0011*2</f>
        <v/>
      </c>
      <c r="G2085" s="92">
        <f t="array" ref="G2085">IF(B2085="insumo",_xlfn.XLOOKUP($D2085,Insumos!$B$1:$B$996,Insumos!$D$1:$D$996),"")</f>
        <v/>
      </c>
      <c r="H2085" s="92" t="n">
        <v>63.857556</v>
      </c>
      <c r="I2085" s="2162" t="n">
        <v>0</v>
      </c>
      <c r="J2085" s="2162" t="n">
        <v>0</v>
      </c>
      <c r="K2085" s="2162" t="n"/>
    </row>
    <row r="2086" outlineLevel="3" ht="15.75" customHeight="1">
      <c r="A2086" s="10" t="n">
        <v>95</v>
      </c>
      <c r="B2086" s="10" t="inlineStr">
        <is>
          <t>Insumo</t>
        </is>
      </c>
      <c r="C2086" s="10" t="inlineStr">
        <is>
          <t>37_DRY 140 mm LV - 3 PLACAS - 18,25cm  -  Lado A: PLACA GLASROC X - Lado B: PLACA RF + RF</t>
        </is>
      </c>
      <c r="D2086" s="10" t="inlineStr">
        <is>
          <t>MASSA DE REJUNTE EM PO PARA DRYWALL, A BASE DE GESSO, SECAGEM RAPIDA, PARA TRATAMENTO DE JUNTAS DE CHAPA DE GESSO (NECESSITA ADICAO DE AGUA)</t>
        </is>
      </c>
      <c r="E2086" s="11">
        <f t="array" ref="E2086">_xlfn.XLOOKUP(D2086,Insumos!B:B,Insumos!C:$C)</f>
        <v/>
      </c>
      <c r="F2086" s="14" t="n">
        <v>1.0978</v>
      </c>
      <c r="G2086" s="92">
        <f t="array" ref="G2086">IF(B2086="insumo",_xlfn.XLOOKUP($D2086,Insumos!$B$1:$B$996,Insumos!$D$1:$D$996),"")</f>
        <v/>
      </c>
      <c r="H2086" s="92" t="n">
        <v>3.765454</v>
      </c>
      <c r="I2086" s="2162" t="n">
        <v>0</v>
      </c>
      <c r="J2086" s="2162" t="n">
        <v>0</v>
      </c>
      <c r="K2086" s="2162" t="n"/>
    </row>
    <row r="2087" outlineLevel="3" ht="15.75" customHeight="1">
      <c r="A2087" s="10" t="n">
        <v>94</v>
      </c>
      <c r="B2087" s="10" t="inlineStr">
        <is>
          <t>Insumo</t>
        </is>
      </c>
      <c r="C2087" s="10" t="inlineStr">
        <is>
          <t>37_DRY 140 mm LV - 3 PLACAS - 18,25cm  -  Lado A: PLACA GLASROC X - Lado B: PLACA RF + RF</t>
        </is>
      </c>
      <c r="D2087" s="10" t="inlineStr">
        <is>
          <t>FITA DE PAPEL MICROPERFURADO, 50 X 150 MM, PARA TRATAMENTO DE JUNTAS DE CHAPA DE GESSO PARA DRYWALL</t>
        </is>
      </c>
      <c r="E2087" s="11">
        <f t="array" ref="E2087">_xlfn.XLOOKUP(D2087,Insumos!B:B,Insumos!C:$C)</f>
        <v/>
      </c>
      <c r="F2087" s="14" t="n">
        <v>2.5027</v>
      </c>
      <c r="G2087" s="92">
        <f t="array" ref="G2087">IF(B2087="insumo",_xlfn.XLOOKUP($D2087,Insumos!$B$1:$B$996,Insumos!$D$1:$D$996),"")</f>
        <v/>
      </c>
      <c r="H2087" s="92" t="n">
        <v>0.775837</v>
      </c>
      <c r="I2087" s="2162" t="n">
        <v>0</v>
      </c>
      <c r="J2087" s="2162" t="n">
        <v>0</v>
      </c>
      <c r="K2087" s="2162" t="n"/>
    </row>
    <row r="2088" outlineLevel="3" ht="15.75" customHeight="1">
      <c r="A2088" s="10" t="n">
        <v>94</v>
      </c>
      <c r="B2088" s="10" t="inlineStr">
        <is>
          <t>Insumo</t>
        </is>
      </c>
      <c r="C2088" s="10" t="inlineStr">
        <is>
          <t>37_DRY 140 mm LV - 3 PLACAS - 18,25cm  -  Lado A: PLACA GLASROC X - Lado B: PLACA RF + RF</t>
        </is>
      </c>
      <c r="D2088" s="10" t="inlineStr">
        <is>
          <t>FITA DE PAPEL REFORCADA COM LAMINA DE METAL PARA REFORCO DE CANTOS DE CHAPA DE GESSO PARA DRYWALL</t>
        </is>
      </c>
      <c r="E2088" s="11">
        <f t="array" ref="E2088">_xlfn.XLOOKUP(D2088,Insumos!B:B,Insumos!C:$C)</f>
        <v/>
      </c>
      <c r="F2088" s="14" t="n">
        <v>1.5851</v>
      </c>
      <c r="G2088" s="92">
        <f t="array" ref="G2088">IF(B2088="insumo",_xlfn.XLOOKUP($D2088,Insumos!$B$1:$B$996,Insumos!$D$1:$D$996),"")</f>
        <v/>
      </c>
      <c r="H2088" s="92" t="n">
        <v>4.343174</v>
      </c>
      <c r="I2088" s="2162" t="n">
        <v>0</v>
      </c>
      <c r="J2088" s="2162" t="n">
        <v>0</v>
      </c>
      <c r="K2088" s="2162" t="n"/>
    </row>
    <row r="2089" outlineLevel="3" ht="15.75" customHeight="1">
      <c r="A2089" s="10" t="n">
        <v>97</v>
      </c>
      <c r="B2089" s="10" t="inlineStr">
        <is>
          <t>Insumo</t>
        </is>
      </c>
      <c r="C2089" s="10" t="inlineStr">
        <is>
          <t>37_DRY 140 mm LV - 3 PLACAS - 18,25cm  -  Lado A: PLACA GLASROC X - Lado B: PLACA RF + RF</t>
        </is>
      </c>
      <c r="D2089" s="10" t="inlineStr">
        <is>
          <t>PARAFUSO DRY WALL, EM ACO FOSFATIZADO, CABECA TROMBETA E PONTA AGULHA (TA), COMPRIMENTO 25 MM</t>
        </is>
      </c>
      <c r="E2089" s="11">
        <f t="array" ref="E2089">_xlfn.XLOOKUP(D2089,Insumos!B:B,Insumos!C:$C)</f>
        <v/>
      </c>
      <c r="F2089" s="14" t="n">
        <v>20.1868</v>
      </c>
      <c r="G2089" s="92">
        <f t="array" ref="G2089">IF(B2089="insumo",_xlfn.XLOOKUP($D2089,Insumos!$B$1:$B$996,Insumos!$D$1:$D$996),"")</f>
        <v/>
      </c>
      <c r="H2089" s="92" t="n">
        <v>1.816812</v>
      </c>
      <c r="I2089" s="2162" t="n">
        <v>0</v>
      </c>
      <c r="J2089" s="2162" t="n">
        <v>0</v>
      </c>
      <c r="K2089" s="2162" t="n"/>
    </row>
    <row r="2090" outlineLevel="3" ht="15.75" customHeight="1">
      <c r="A2090" s="10" t="n">
        <v>95</v>
      </c>
      <c r="B2090" s="10" t="inlineStr">
        <is>
          <t>Insumo</t>
        </is>
      </c>
      <c r="C2090" s="10" t="inlineStr">
        <is>
          <t>37_DRY 140 mm LV - 3 PLACAS - 18,25cm  -  Lado A: PLACA GLASROC X - Lado B: PLACA RF + RF</t>
        </is>
      </c>
      <c r="D2090" s="10" t="inlineStr">
        <is>
          <t>PARAFUSO DRY WALL, EM ACO ZINCADO, CABECA LENTILHA E PONTA BROCA (LB), LARGURA 4,2 MM, COMPRIMENTO 13 MM</t>
        </is>
      </c>
      <c r="E2090" s="11">
        <f t="array" ref="E2090">_xlfn.XLOOKUP(D2090,Insumos!B:B,Insumos!C:$C)</f>
        <v/>
      </c>
      <c r="F2090" s="14" t="n">
        <v>0.5441</v>
      </c>
      <c r="G2090" s="92">
        <f t="array" ref="G2090">IF(B2090="insumo",_xlfn.XLOOKUP($D2090,Insumos!$B$1:$B$996,Insumos!$D$1:$D$996),"")</f>
        <v/>
      </c>
      <c r="H2090" s="92" t="n">
        <v>0.10882</v>
      </c>
      <c r="I2090" s="2162" t="n">
        <v>0</v>
      </c>
      <c r="J2090" s="2162" t="n">
        <v>0</v>
      </c>
      <c r="K2090" s="2162" t="n"/>
    </row>
    <row r="2091" outlineLevel="3" ht="15.75" customHeight="1">
      <c r="A2091" s="10" t="n">
        <v>35</v>
      </c>
      <c r="B2091" s="10" t="inlineStr">
        <is>
          <t>Insumo</t>
        </is>
      </c>
      <c r="C2091" s="10" t="inlineStr">
        <is>
          <t>37_DRY 140 mm LV - 3 PLACAS - 18,25cm  -  Lado A: PLACA GLASROC X - Lado B: PLACA RF + RF</t>
        </is>
      </c>
      <c r="D2091" s="10" t="inlineStr">
        <is>
          <t>Lã de pet 50 X 1200 X 12500 MM</t>
        </is>
      </c>
      <c r="E2091" s="11">
        <f t="array" ref="E2091">_xlfn.XLOOKUP(D2091,Insumos!B:B,Insumos!C:$C)</f>
        <v/>
      </c>
      <c r="F2091" s="14" t="n">
        <v>1.1</v>
      </c>
      <c r="G2091" s="92">
        <f t="array" ref="G2091">IF(B2091="insumo",_xlfn.XLOOKUP($D2091,Insumos!$B$1:$B$996,Insumos!$D$1:$D$996),"")</f>
        <v/>
      </c>
      <c r="H2091" s="92" t="n">
        <v>14.3212666666667</v>
      </c>
      <c r="I2091" s="2162" t="n">
        <v>0</v>
      </c>
      <c r="J2091" s="2162" t="n">
        <v>0</v>
      </c>
      <c r="K2091" s="2162" t="n"/>
    </row>
    <row r="2092" outlineLevel="2" ht="15.75" customHeight="1">
      <c r="A2092" s="1067" t="n">
        <v>1</v>
      </c>
      <c r="B2092" s="1067" t="inlineStr">
        <is>
          <t>Serviço</t>
        </is>
      </c>
      <c r="C2092" s="1067" t="inlineStr">
        <is>
          <t>37_DRY 140 mm LV - 3 PLACAS - 18,25cm  -  Lado A: PLACA GLASROC X - Lado B: PLACA RF + RFU</t>
        </is>
      </c>
      <c r="D2092" s="1067" t="inlineStr">
        <is>
          <t>37_DRY 140 mm LV - 3 PLACAS - 18,25cm  -  Lado A: PLACA GLASROC X - Lado B: PLACA RF + RFU</t>
        </is>
      </c>
      <c r="E2092" s="1068" t="inlineStr">
        <is>
          <t>M2</t>
        </is>
      </c>
      <c r="F2092" s="1067" t="n"/>
      <c r="G2092" s="1069">
        <f t="array" ref="G2092">IF(B2092="insumo",_xlfn.XLOOKUP($D2092,Insumos!$B$1:$B$996,Insumos!$D$1:$D$996),"")</f>
        <v/>
      </c>
      <c r="H2092" s="1069" t="n">
        <v>358.094837888889</v>
      </c>
      <c r="I2092" s="2161" t="n">
        <v>0</v>
      </c>
      <c r="J2092" s="2161" t="n">
        <v>0</v>
      </c>
      <c r="K2092" s="2161" t="n"/>
    </row>
    <row r="2093" outlineLevel="3" ht="15.75" customHeight="1">
      <c r="A2093" s="10" t="n">
        <v>86</v>
      </c>
      <c r="B2093" s="10" t="inlineStr">
        <is>
          <t>Insumo</t>
        </is>
      </c>
      <c r="C2093" s="10" t="inlineStr">
        <is>
          <t>37_DRY 140 mm LV - 3 PLACAS - 18,25cm  -  Lado A: PLACA GLASROC X - Lado B: PLACA RF + RFU</t>
        </is>
      </c>
      <c r="D2093" s="10" t="inlineStr">
        <is>
          <t>SERVICO - CONFECCAO SHAFT GESSO</t>
        </is>
      </c>
      <c r="E2093" s="11">
        <f t="array" ref="E2093">_xlfn.XLOOKUP(D2093,Insumos!B:B,Insumos!C:$C)</f>
        <v/>
      </c>
      <c r="F2093" s="14" t="n">
        <v>1</v>
      </c>
      <c r="G2093" s="92">
        <f t="array" ref="G2093">IF(B2093="insumo",_xlfn.XLOOKUP($D2093,Insumos!$B$1:$B$996,Insumos!$D$1:$D$996),"")</f>
        <v/>
      </c>
      <c r="H2093" s="92" t="n">
        <v>70</v>
      </c>
      <c r="I2093" s="2162" t="n">
        <v>0</v>
      </c>
      <c r="J2093" s="2162" t="n">
        <v>0</v>
      </c>
      <c r="K2093" s="2162" t="n"/>
    </row>
    <row r="2094" outlineLevel="3" ht="15.75" customHeight="1">
      <c r="A2094" s="10" t="n">
        <v>3</v>
      </c>
      <c r="B2094" s="10" t="inlineStr">
        <is>
          <t>Insumo</t>
        </is>
      </c>
      <c r="C2094" s="10" t="inlineStr">
        <is>
          <t>37_DRY 140 mm LV - 3 PLACAS - 18,25cm  -  Lado A: PLACA GLASROC X - Lado B: PLACA RF + RFU</t>
        </is>
      </c>
      <c r="D2094" s="10" t="inlineStr">
        <is>
          <t>CHAPA DE GESSO PARA DRYWALL PLACO - KNAUF (RF) VERMELHA 12,5MM X 1,20M X 1,80M</t>
        </is>
      </c>
      <c r="E2094" s="11">
        <f t="array" ref="E2094">_xlfn.XLOOKUP(D2094,Insumos!B:B,Insumos!C:$C)</f>
        <v/>
      </c>
      <c r="F2094" s="14" t="n">
        <v>2.106</v>
      </c>
      <c r="G2094" s="92">
        <f t="array" ref="G2094">IF(B2094="insumo",_xlfn.XLOOKUP($D2094,Insumos!$B$1:$B$996,Insumos!$D$1:$D$996),"")</f>
        <v/>
      </c>
      <c r="H2094" s="92" t="n">
        <v>80.4375</v>
      </c>
      <c r="I2094" s="2162" t="n">
        <v>0</v>
      </c>
      <c r="J2094" s="2162" t="n">
        <v>0</v>
      </c>
      <c r="K2094" s="2162" t="n"/>
    </row>
    <row r="2095" outlineLevel="3" ht="15.75" customHeight="1">
      <c r="A2095" s="10" t="n">
        <v>4</v>
      </c>
      <c r="B2095" s="10" t="inlineStr">
        <is>
          <t>Insumo</t>
        </is>
      </c>
      <c r="C2095" s="10" t="inlineStr">
        <is>
          <t>37_DRY 140 mm LV - 3 PLACAS - 18,25cm  -  Lado A: PLACA GLASROC X - Lado B: PLACA RF + RFU</t>
        </is>
      </c>
      <c r="D2095" s="10" t="inlineStr">
        <is>
          <t>Placa de Gesso Glasroc X 12,5 X 1200 X 2400mm</t>
        </is>
      </c>
      <c r="E2095" s="11">
        <f t="array" ref="E2095">_xlfn.XLOOKUP(D2095,Insumos!B:B,Insumos!C:$C)</f>
        <v/>
      </c>
      <c r="F2095" s="14" t="n">
        <v>1.106</v>
      </c>
      <c r="G2095" s="92">
        <f t="array" ref="G2095">IF(B2095="insumo",_xlfn.XLOOKUP($D2095,Insumos!$B$1:$B$996,Insumos!$D$1:$D$996),"")</f>
        <v/>
      </c>
      <c r="H2095" s="92" t="n">
        <v>92.93472222222221</v>
      </c>
      <c r="I2095" s="2162" t="n">
        <v>0</v>
      </c>
      <c r="J2095" s="2162" t="n">
        <v>0</v>
      </c>
      <c r="K2095" s="2162" t="n"/>
    </row>
    <row r="2096" outlineLevel="3" ht="15.75" customHeight="1">
      <c r="A2096" s="10" t="n">
        <v>95</v>
      </c>
      <c r="B2096" s="10" t="inlineStr">
        <is>
          <t>Insumo</t>
        </is>
      </c>
      <c r="C2096" s="10" t="inlineStr">
        <is>
          <t>37_DRY 140 mm LV - 3 PLACAS - 18,25cm  -  Lado A: PLACA GLASROC X - Lado B: PLACA RF + RFU</t>
        </is>
      </c>
      <c r="D2096" s="10" t="inlineStr">
        <is>
          <t>PINO DE ACO COM ARRUELA CONICA, DIAMETRO ARRUELA = *23* MM E COMP HASTE = *27* MM (ACAO INDIRETA)</t>
        </is>
      </c>
      <c r="E2096" s="11">
        <f t="array" ref="E2096">_xlfn.XLOOKUP(D2096,Insumos!B:B,Insumos!C:$C)</f>
        <v/>
      </c>
      <c r="F2096" s="14" t="n">
        <v>5.92</v>
      </c>
      <c r="G2096" s="92">
        <f t="array" ref="G2096">IF(B2096="insumo",_xlfn.XLOOKUP($D2096,Insumos!$B$1:$B$996,Insumos!$D$1:$D$996),"")</f>
        <v/>
      </c>
      <c r="H2096" s="92" t="n">
        <v>2.98368</v>
      </c>
      <c r="I2096" s="2162" t="n">
        <v>0</v>
      </c>
      <c r="J2096" s="2162" t="n">
        <v>0</v>
      </c>
      <c r="K2096" s="2162" t="n"/>
    </row>
    <row r="2097" outlineLevel="3" ht="15.75" customHeight="1">
      <c r="A2097" s="10" t="n">
        <v>43</v>
      </c>
      <c r="B2097" s="10" t="inlineStr">
        <is>
          <t>Insumo</t>
        </is>
      </c>
      <c r="C2097" s="10" t="inlineStr">
        <is>
          <t>37_DRY 140 mm LV - 3 PLACAS - 18,25cm  -  Lado A: PLACA GLASROC X - Lado B: PLACA RF + RFU</t>
        </is>
      </c>
      <c r="D2097" s="10" t="inlineStr">
        <is>
          <t>PERFIL GUIA, FORMATO U, EM ACO ZINCADO, PARA ESTRUTURA PAREDE DRYWALL, E = 0,5 MM, 70 X 3000 MM (L X C)</t>
        </is>
      </c>
      <c r="E2097" s="11">
        <f t="array" ref="E2097">_xlfn.XLOOKUP(D2097,Insumos!B:B,Insumos!C:$C)</f>
        <v/>
      </c>
      <c r="F2097" s="14">
        <f>1.5248*2</f>
        <v/>
      </c>
      <c r="G2097" s="92">
        <f t="array" ref="G2097">IF(B2097="insumo",_xlfn.XLOOKUP($D2097,Insumos!$B$1:$B$996,Insumos!$D$1:$D$996),"")</f>
        <v/>
      </c>
      <c r="H2097" s="92" t="n">
        <v>22.750016</v>
      </c>
      <c r="I2097" s="2162" t="n">
        <v>0</v>
      </c>
      <c r="J2097" s="2162" t="n">
        <v>0</v>
      </c>
      <c r="K2097" s="2162" t="n"/>
    </row>
    <row r="2098" outlineLevel="3" ht="15.75" customHeight="1">
      <c r="A2098" s="10" t="n">
        <v>43</v>
      </c>
      <c r="B2098" s="10" t="inlineStr">
        <is>
          <t>Insumo</t>
        </is>
      </c>
      <c r="C2098" s="10" t="inlineStr">
        <is>
          <t>37_DRY 140 mm LV - 3 PLACAS - 18,25cm  -  Lado A: PLACA GLASROC X - Lado B: PLACA RF + RFU</t>
        </is>
      </c>
      <c r="D2098" s="10" t="inlineStr">
        <is>
          <t>PERFIL MONTANTE, FORMATO C, EM ACO ZINCADO, PARA ESTRUTURA PAREDE DRYWALL, E = 0,5 MM, 70 X 3000 MM (L X C)</t>
        </is>
      </c>
      <c r="E2098" s="11">
        <f t="array" ref="E2098">_xlfn.XLOOKUP(D2098,Insumos!B:B,Insumos!C:$C)</f>
        <v/>
      </c>
      <c r="F2098" s="14">
        <f>4.0011*2</f>
        <v/>
      </c>
      <c r="G2098" s="92">
        <f t="array" ref="G2098">IF(B2098="insumo",_xlfn.XLOOKUP($D2098,Insumos!$B$1:$B$996,Insumos!$D$1:$D$996),"")</f>
        <v/>
      </c>
      <c r="H2098" s="92" t="n">
        <v>63.857556</v>
      </c>
      <c r="I2098" s="2162" t="n">
        <v>0</v>
      </c>
      <c r="J2098" s="2162" t="n">
        <v>0</v>
      </c>
      <c r="K2098" s="2162" t="n"/>
    </row>
    <row r="2099" outlineLevel="3" ht="15.75" customHeight="1">
      <c r="A2099" s="10" t="n">
        <v>95</v>
      </c>
      <c r="B2099" s="10" t="inlineStr">
        <is>
          <t>Insumo</t>
        </is>
      </c>
      <c r="C2099" s="10" t="inlineStr">
        <is>
          <t>37_DRY 140 mm LV - 3 PLACAS - 18,25cm  -  Lado A: PLACA GLASROC X - Lado B: PLACA RF + RFU</t>
        </is>
      </c>
      <c r="D2099" s="10" t="inlineStr">
        <is>
          <t>MASSA DE REJUNTE EM PO PARA DRYWALL, A BASE DE GESSO, SECAGEM RAPIDA, PARA TRATAMENTO DE JUNTAS DE CHAPA DE GESSO (NECESSITA ADICAO DE AGUA)</t>
        </is>
      </c>
      <c r="E2099" s="11">
        <f t="array" ref="E2099">_xlfn.XLOOKUP(D2099,Insumos!B:B,Insumos!C:$C)</f>
        <v/>
      </c>
      <c r="F2099" s="14" t="n">
        <v>1.0978</v>
      </c>
      <c r="G2099" s="92">
        <f t="array" ref="G2099">IF(B2099="insumo",_xlfn.XLOOKUP($D2099,Insumos!$B$1:$B$996,Insumos!$D$1:$D$996),"")</f>
        <v/>
      </c>
      <c r="H2099" s="92" t="n">
        <v>3.765454</v>
      </c>
      <c r="I2099" s="2162" t="n">
        <v>0</v>
      </c>
      <c r="J2099" s="2162" t="n">
        <v>0</v>
      </c>
      <c r="K2099" s="2162" t="n"/>
    </row>
    <row r="2100" outlineLevel="3" ht="15.75" customHeight="1">
      <c r="A2100" s="10" t="n">
        <v>94</v>
      </c>
      <c r="B2100" s="10" t="inlineStr">
        <is>
          <t>Insumo</t>
        </is>
      </c>
      <c r="C2100" s="10" t="inlineStr">
        <is>
          <t>37_DRY 140 mm LV - 3 PLACAS - 18,25cm  -  Lado A: PLACA GLASROC X - Lado B: PLACA RF + RFU</t>
        </is>
      </c>
      <c r="D2100" s="10" t="inlineStr">
        <is>
          <t>FITA DE PAPEL MICROPERFURADO, 50 X 150 MM, PARA TRATAMENTO DE JUNTAS DE CHAPA DE GESSO PARA DRYWALL</t>
        </is>
      </c>
      <c r="E2100" s="11">
        <f t="array" ref="E2100">_xlfn.XLOOKUP(D2100,Insumos!B:B,Insumos!C:$C)</f>
        <v/>
      </c>
      <c r="F2100" s="14" t="n">
        <v>2.5027</v>
      </c>
      <c r="G2100" s="92">
        <f t="array" ref="G2100">IF(B2100="insumo",_xlfn.XLOOKUP($D2100,Insumos!$B$1:$B$996,Insumos!$D$1:$D$996),"")</f>
        <v/>
      </c>
      <c r="H2100" s="92" t="n">
        <v>0.775837</v>
      </c>
      <c r="I2100" s="2162" t="n">
        <v>0</v>
      </c>
      <c r="J2100" s="2162" t="n">
        <v>0</v>
      </c>
      <c r="K2100" s="2162" t="n"/>
    </row>
    <row r="2101" outlineLevel="3" ht="15.75" customHeight="1">
      <c r="A2101" s="10" t="n">
        <v>94</v>
      </c>
      <c r="B2101" s="10" t="inlineStr">
        <is>
          <t>Insumo</t>
        </is>
      </c>
      <c r="C2101" s="10" t="inlineStr">
        <is>
          <t>37_DRY 140 mm LV - 3 PLACAS - 18,25cm  -  Lado A: PLACA GLASROC X - Lado B: PLACA RF + RFU</t>
        </is>
      </c>
      <c r="D2101" s="10" t="inlineStr">
        <is>
          <t>FITA DE PAPEL REFORCADA COM LAMINA DE METAL PARA REFORCO DE CANTOS DE CHAPA DE GESSO PARA DRYWALL</t>
        </is>
      </c>
      <c r="E2101" s="11">
        <f t="array" ref="E2101">_xlfn.XLOOKUP(D2101,Insumos!B:B,Insumos!C:$C)</f>
        <v/>
      </c>
      <c r="F2101" s="14" t="n">
        <v>1.5851</v>
      </c>
      <c r="G2101" s="92">
        <f t="array" ref="G2101">IF(B2101="insumo",_xlfn.XLOOKUP($D2101,Insumos!$B$1:$B$996,Insumos!$D$1:$D$996),"")</f>
        <v/>
      </c>
      <c r="H2101" s="92" t="n">
        <v>4.343174</v>
      </c>
      <c r="I2101" s="2162" t="n">
        <v>0</v>
      </c>
      <c r="J2101" s="2162" t="n">
        <v>0</v>
      </c>
      <c r="K2101" s="2162" t="n"/>
    </row>
    <row r="2102" outlineLevel="3" ht="15.75" customHeight="1">
      <c r="A2102" s="10" t="n">
        <v>97</v>
      </c>
      <c r="B2102" s="10" t="inlineStr">
        <is>
          <t>Insumo</t>
        </is>
      </c>
      <c r="C2102" s="10" t="inlineStr">
        <is>
          <t>37_DRY 140 mm LV - 3 PLACAS - 18,25cm  -  Lado A: PLACA GLASROC X - Lado B: PLACA RF + RFU</t>
        </is>
      </c>
      <c r="D2102" s="10" t="inlineStr">
        <is>
          <t>PARAFUSO DRY WALL, EM ACO FOSFATIZADO, CABECA TROMBETA E PONTA AGULHA (TA), COMPRIMENTO 25 MM</t>
        </is>
      </c>
      <c r="E2102" s="11">
        <f t="array" ref="E2102">_xlfn.XLOOKUP(D2102,Insumos!B:B,Insumos!C:$C)</f>
        <v/>
      </c>
      <c r="F2102" s="14" t="n">
        <v>20.1868</v>
      </c>
      <c r="G2102" s="92">
        <f t="array" ref="G2102">IF(B2102="insumo",_xlfn.XLOOKUP($D2102,Insumos!$B$1:$B$996,Insumos!$D$1:$D$996),"")</f>
        <v/>
      </c>
      <c r="H2102" s="92" t="n">
        <v>1.816812</v>
      </c>
      <c r="I2102" s="2162" t="n">
        <v>0</v>
      </c>
      <c r="J2102" s="2162" t="n">
        <v>0</v>
      </c>
      <c r="K2102" s="2162" t="n"/>
    </row>
    <row r="2103" outlineLevel="3" ht="15.75" customHeight="1">
      <c r="A2103" s="10" t="n">
        <v>95</v>
      </c>
      <c r="B2103" s="10" t="inlineStr">
        <is>
          <t>Insumo</t>
        </is>
      </c>
      <c r="C2103" s="10" t="inlineStr">
        <is>
          <t>37_DRY 140 mm LV - 3 PLACAS - 18,25cm  -  Lado A: PLACA GLASROC X - Lado B: PLACA RF + RFU</t>
        </is>
      </c>
      <c r="D2103" s="10" t="inlineStr">
        <is>
          <t>PARAFUSO DRY WALL, EM ACO ZINCADO, CABECA LENTILHA E PONTA BROCA (LB), LARGURA 4,2 MM, COMPRIMENTO 13 MM</t>
        </is>
      </c>
      <c r="E2103" s="11">
        <f t="array" ref="E2103">_xlfn.XLOOKUP(D2103,Insumos!B:B,Insumos!C:$C)</f>
        <v/>
      </c>
      <c r="F2103" s="14" t="n">
        <v>0.5441</v>
      </c>
      <c r="G2103" s="92">
        <f t="array" ref="G2103">IF(B2103="insumo",_xlfn.XLOOKUP($D2103,Insumos!$B$1:$B$996,Insumos!$D$1:$D$996),"")</f>
        <v/>
      </c>
      <c r="H2103" s="92" t="n">
        <v>0.10882</v>
      </c>
      <c r="I2103" s="2162" t="n">
        <v>0</v>
      </c>
      <c r="J2103" s="2162" t="n">
        <v>0</v>
      </c>
      <c r="K2103" s="2162" t="n"/>
    </row>
    <row r="2104" outlineLevel="3" ht="15.75" customHeight="1">
      <c r="A2104" s="10" t="n">
        <v>35</v>
      </c>
      <c r="B2104" s="10" t="inlineStr">
        <is>
          <t>Insumo</t>
        </is>
      </c>
      <c r="C2104" s="10" t="inlineStr">
        <is>
          <t>37_DRY 140 mm LV - 3 PLACAS - 18,25cm  -  Lado A: PLACA GLASROC X - Lado B: PLACA RF + RFU</t>
        </is>
      </c>
      <c r="D2104" s="10" t="inlineStr">
        <is>
          <t>Lã de pet 50 X 1200 X 12500 MM</t>
        </is>
      </c>
      <c r="E2104" s="11">
        <f t="array" ref="E2104">_xlfn.XLOOKUP(D2104,Insumos!B:B,Insumos!C:$C)</f>
        <v/>
      </c>
      <c r="F2104" s="14" t="n">
        <v>1.1</v>
      </c>
      <c r="G2104" s="92">
        <f t="array" ref="G2104">IF(B2104="insumo",_xlfn.XLOOKUP($D2104,Insumos!$B$1:$B$996,Insumos!$D$1:$D$996),"")</f>
        <v/>
      </c>
      <c r="H2104" s="92" t="n">
        <v>14.3212666666667</v>
      </c>
      <c r="I2104" s="2162" t="n">
        <v>0</v>
      </c>
      <c r="J2104" s="2162" t="n">
        <v>0</v>
      </c>
      <c r="K2104" s="2162" t="n"/>
    </row>
    <row r="2105" outlineLevel="2" ht="15.75" customHeight="1">
      <c r="A2105" s="1067" t="n">
        <v>1</v>
      </c>
      <c r="B2105" s="1067" t="inlineStr">
        <is>
          <t>Serviço</t>
        </is>
      </c>
      <c r="C2105" s="1067" t="inlineStr">
        <is>
          <t>38_DRY 0 mm - 1 PLACA - 1,25cm  -  Lado A: PLACA PERFORMANCE RU - Lado B: N/A</t>
        </is>
      </c>
      <c r="D2105" s="1067" t="inlineStr">
        <is>
          <t>38_DRY 0 mm - 1 PLACA - 1,25cm  -  Lado A: PLACA PERFORMANCE RU - Lado B: N/A</t>
        </is>
      </c>
      <c r="E2105" s="1068" t="inlineStr">
        <is>
          <t>M2</t>
        </is>
      </c>
      <c r="F2105" s="1067" t="n"/>
      <c r="G2105" s="1069">
        <f t="array" ref="G2105">IF(B2105="insumo",_xlfn.XLOOKUP($D2105,Insumos!$B$1:$B$996,Insumos!$D$1:$D$996),"")</f>
        <v/>
      </c>
      <c r="H2105" s="1069" t="n">
        <v>105.3232385</v>
      </c>
      <c r="I2105" s="2161" t="n">
        <v>0</v>
      </c>
      <c r="J2105" s="2161" t="n">
        <v>0</v>
      </c>
      <c r="K2105" s="2161" t="n"/>
    </row>
    <row r="2106" outlineLevel="3" ht="15.75" customHeight="1">
      <c r="A2106" s="10" t="n">
        <v>86</v>
      </c>
      <c r="B2106" s="10" t="inlineStr">
        <is>
          <t>Insumo</t>
        </is>
      </c>
      <c r="C2106" s="10" t="inlineStr">
        <is>
          <t>38_DRY 0 mm - 1 PLACA - 1,25cm  -  Lado A: PLACA PERFORMANCE RU - Lado B: N/A</t>
        </is>
      </c>
      <c r="D2106" s="10" t="inlineStr">
        <is>
          <t>SERVICO - CONFECCAO SHAFT GESSO</t>
        </is>
      </c>
      <c r="E2106" s="11">
        <f t="array" ref="E2106">_xlfn.XLOOKUP(D2106,Insumos!B:B,Insumos!C:$C)</f>
        <v/>
      </c>
      <c r="F2106" s="14" t="n">
        <v>1</v>
      </c>
      <c r="G2106" s="92">
        <f t="array" ref="G2106">IF(B2106="insumo",_xlfn.XLOOKUP($D2106,Insumos!$B$1:$B$996,Insumos!$D$1:$D$996),"")</f>
        <v/>
      </c>
      <c r="H2106" s="92" t="n">
        <v>70</v>
      </c>
      <c r="I2106" s="2162" t="n">
        <v>0</v>
      </c>
      <c r="J2106" s="2162" t="n">
        <v>0</v>
      </c>
      <c r="K2106" s="2162" t="n"/>
    </row>
    <row r="2107" outlineLevel="3" ht="15.75" customHeight="1">
      <c r="A2107" s="10" t="n">
        <v>49</v>
      </c>
      <c r="B2107" s="10" t="inlineStr">
        <is>
          <t>Insumo</t>
        </is>
      </c>
      <c r="C2107" s="10" t="inlineStr">
        <is>
          <t>38_DRY 0 mm - 1 PLACA - 1,25cm  -  Lado A: PLACA PERFORMANCE RU - Lado B: N/A</t>
        </is>
      </c>
      <c r="D2107" s="10" t="inlineStr">
        <is>
          <t>PLACA / CHAPA DE GESSO ACARTONADO, RESISTENTE A UMIDADE (RU), COR VERDE, E = 12,5 MM, 1200 X 2400 MM (L X C)</t>
        </is>
      </c>
      <c r="E2107" s="11">
        <f t="array" ref="E2107">_xlfn.XLOOKUP(D2107,Insumos!B:B,Insumos!C:$C)</f>
        <v/>
      </c>
      <c r="F2107" s="14" t="n">
        <v>1.106</v>
      </c>
      <c r="G2107" s="92">
        <f t="array" ref="G2107">IF(B2107="insumo",_xlfn.XLOOKUP($D2107,Insumos!$B$1:$B$996,Insumos!$D$1:$D$996),"")</f>
        <v/>
      </c>
      <c r="H2107" s="92" t="n">
        <v>29.9726</v>
      </c>
      <c r="I2107" s="2162" t="n">
        <v>0</v>
      </c>
      <c r="J2107" s="2162" t="n">
        <v>0</v>
      </c>
      <c r="K2107" s="2162" t="n"/>
    </row>
    <row r="2108" outlineLevel="3" ht="15.75" customHeight="1">
      <c r="A2108" s="10" t="n">
        <v>95</v>
      </c>
      <c r="B2108" s="10" t="inlineStr">
        <is>
          <t>Insumo</t>
        </is>
      </c>
      <c r="C2108" s="10" t="inlineStr">
        <is>
          <t>38_DRY 0 mm - 1 PLACA - 1,25cm  -  Lado A: PLACA PERFORMANCE RU - Lado B: N/A</t>
        </is>
      </c>
      <c r="D2108" s="10" t="inlineStr">
        <is>
          <t>MASSA DE REJUNTE EM PO PARA DRYWALL, A BASE DE GESSO, SECAGEM RAPIDA, PARA TRATAMENTO DE JUNTAS DE CHAPA DE GESSO (NECESSITA ADICAO DE AGUA)</t>
        </is>
      </c>
      <c r="E2108" s="11">
        <f t="array" ref="E2108">_xlfn.XLOOKUP(D2108,Insumos!B:B,Insumos!C:$C)</f>
        <v/>
      </c>
      <c r="F2108" s="14">
        <f>1.0978/2</f>
        <v/>
      </c>
      <c r="G2108" s="92">
        <f t="array" ref="G2108">IF(B2108="insumo",_xlfn.XLOOKUP($D2108,Insumos!$B$1:$B$996,Insumos!$D$1:$D$996),"")</f>
        <v/>
      </c>
      <c r="H2108" s="92" t="n">
        <v>1.882727</v>
      </c>
      <c r="I2108" s="2162" t="n">
        <v>0</v>
      </c>
      <c r="J2108" s="2162" t="n">
        <v>0</v>
      </c>
      <c r="K2108" s="2162" t="n"/>
    </row>
    <row r="2109" outlineLevel="3" ht="15.75" customHeight="1">
      <c r="A2109" s="10" t="n">
        <v>94</v>
      </c>
      <c r="B2109" s="10" t="inlineStr">
        <is>
          <t>Insumo</t>
        </is>
      </c>
      <c r="C2109" s="10" t="inlineStr">
        <is>
          <t>38_DRY 0 mm - 1 PLACA - 1,25cm  -  Lado A: PLACA PERFORMANCE RU - Lado B: N/A</t>
        </is>
      </c>
      <c r="D2109" s="10" t="inlineStr">
        <is>
          <t>FITA DE PAPEL MICROPERFURADO, 50 X 150 MM, PARA TRATAMENTO DE JUNTAS DE CHAPA DE GESSO PARA DRYWALL</t>
        </is>
      </c>
      <c r="E2109" s="11">
        <f t="array" ref="E2109">_xlfn.XLOOKUP(D2109,Insumos!B:B,Insumos!C:$C)</f>
        <v/>
      </c>
      <c r="F2109" s="14">
        <f>2.5027/2</f>
        <v/>
      </c>
      <c r="G2109" s="92">
        <f t="array" ref="G2109">IF(B2109="insumo",_xlfn.XLOOKUP($D2109,Insumos!$B$1:$B$996,Insumos!$D$1:$D$996),"")</f>
        <v/>
      </c>
      <c r="H2109" s="92" t="n">
        <v>0.3879185</v>
      </c>
      <c r="I2109" s="2162" t="n">
        <v>0</v>
      </c>
      <c r="J2109" s="2162" t="n">
        <v>0</v>
      </c>
      <c r="K2109" s="2162" t="n"/>
    </row>
    <row r="2110" outlineLevel="3" ht="15.75" customHeight="1">
      <c r="A2110" s="10" t="n">
        <v>94</v>
      </c>
      <c r="B2110" s="10" t="inlineStr">
        <is>
          <t>Insumo</t>
        </is>
      </c>
      <c r="C2110" s="10" t="inlineStr">
        <is>
          <t>38_DRY 0 mm - 1 PLACA - 1,25cm  -  Lado A: PLACA PERFORMANCE RU - Lado B: N/A</t>
        </is>
      </c>
      <c r="D2110" s="10" t="inlineStr">
        <is>
          <t>FITA DE PAPEL REFORCADA COM LAMINA DE METAL PARA REFORCO DE CANTOS DE CHAPA DE GESSO PARA DRYWALL</t>
        </is>
      </c>
      <c r="E2110" s="11">
        <f t="array" ref="E2110">_xlfn.XLOOKUP(D2110,Insumos!B:B,Insumos!C:$C)</f>
        <v/>
      </c>
      <c r="F2110" s="14">
        <f>1.5851/2</f>
        <v/>
      </c>
      <c r="G2110" s="92">
        <f t="array" ref="G2110">IF(B2110="insumo",_xlfn.XLOOKUP($D2110,Insumos!$B$1:$B$996,Insumos!$D$1:$D$996),"")</f>
        <v/>
      </c>
      <c r="H2110" s="92" t="n">
        <v>2.171587</v>
      </c>
      <c r="I2110" s="2162" t="n">
        <v>0</v>
      </c>
      <c r="J2110" s="2162" t="n">
        <v>0</v>
      </c>
      <c r="K2110" s="2162" t="n"/>
    </row>
    <row r="2111" outlineLevel="3" ht="15.75" customHeight="1">
      <c r="A2111" s="10" t="n">
        <v>97</v>
      </c>
      <c r="B2111" s="10" t="inlineStr">
        <is>
          <t>Insumo</t>
        </is>
      </c>
      <c r="C2111" s="10" t="inlineStr">
        <is>
          <t>38_DRY 0 mm - 1 PLACA - 1,25cm  -  Lado A: PLACA PERFORMANCE RU - Lado B: N/A</t>
        </is>
      </c>
      <c r="D2111" s="10" t="inlineStr">
        <is>
          <t>PARAFUSO DRY WALL, EM ACO FOSFATIZADO, CABECA TROMBETA E PONTA AGULHA (TA), COMPRIMENTO 25 MM</t>
        </is>
      </c>
      <c r="E2111" s="11">
        <f t="array" ref="E2111">_xlfn.XLOOKUP(D2111,Insumos!B:B,Insumos!C:$C)</f>
        <v/>
      </c>
      <c r="F2111" s="14">
        <f>20.1868/2</f>
        <v/>
      </c>
      <c r="G2111" s="92">
        <f t="array" ref="G2111">IF(B2111="insumo",_xlfn.XLOOKUP($D2111,Insumos!$B$1:$B$996,Insumos!$D$1:$D$996),"")</f>
        <v/>
      </c>
      <c r="H2111" s="92" t="n">
        <v>0.908406</v>
      </c>
      <c r="I2111" s="2162" t="n">
        <v>0</v>
      </c>
      <c r="J2111" s="2162" t="n">
        <v>0</v>
      </c>
      <c r="K2111" s="2162" t="n"/>
    </row>
    <row r="2112" outlineLevel="2" ht="15.75" customHeight="1">
      <c r="A2112" s="1067" t="n">
        <v>1</v>
      </c>
      <c r="B2112" s="1067" t="inlineStr">
        <is>
          <t>Serviço</t>
        </is>
      </c>
      <c r="C2112" s="1067" t="inlineStr">
        <is>
          <t>38_DRY 0 mm - 1 PLACA - 1,25cm  -  Lado A: PLACA ST - Lado B: N/A</t>
        </is>
      </c>
      <c r="D2112" s="1067" t="inlineStr">
        <is>
          <t>38_DRY 0 mm - 1 PLACA - 1,25cm  -  Lado A: PLACA ST - Lado B: N/A</t>
        </is>
      </c>
      <c r="E2112" s="1068" t="inlineStr">
        <is>
          <t>M2</t>
        </is>
      </c>
      <c r="F2112" s="1067" t="n"/>
      <c r="G2112" s="1069">
        <f t="array" ref="G2112">IF(B2112="insumo",_xlfn.XLOOKUP($D2112,Insumos!$B$1:$B$996,Insumos!$D$1:$D$996),"")</f>
        <v/>
      </c>
      <c r="H2112" s="1069" t="n">
        <v>97.6475985</v>
      </c>
      <c r="I2112" s="2161" t="n">
        <v>0</v>
      </c>
      <c r="J2112" s="2161" t="n">
        <v>0</v>
      </c>
      <c r="K2112" s="2161" t="n"/>
    </row>
    <row r="2113" outlineLevel="3" ht="15.75" customHeight="1">
      <c r="A2113" s="10" t="n">
        <v>86</v>
      </c>
      <c r="B2113" s="10" t="inlineStr">
        <is>
          <t>Insumo</t>
        </is>
      </c>
      <c r="C2113" s="10" t="inlineStr">
        <is>
          <t>38_DRY 0 mm - 1 PLACA - 1,25cm  -  Lado A: PLACA ST - Lado B: N/A</t>
        </is>
      </c>
      <c r="D2113" s="10" t="inlineStr">
        <is>
          <t>SERVICO - CONFECCAO SHAFT GESSO</t>
        </is>
      </c>
      <c r="E2113" s="11">
        <f t="array" ref="E2113">_xlfn.XLOOKUP(D2113,Insumos!B:B,Insumos!C:$C)</f>
        <v/>
      </c>
      <c r="F2113" s="14" t="n">
        <v>1</v>
      </c>
      <c r="G2113" s="92">
        <f t="array" ref="G2113">IF(B2113="insumo",_xlfn.XLOOKUP($D2113,Insumos!$B$1:$B$996,Insumos!$D$1:$D$996),"")</f>
        <v/>
      </c>
      <c r="H2113" s="92" t="n">
        <v>70</v>
      </c>
      <c r="I2113" s="2162" t="n">
        <v>0</v>
      </c>
      <c r="J2113" s="2162" t="n">
        <v>0</v>
      </c>
      <c r="K2113" s="2162" t="n"/>
    </row>
    <row r="2114" outlineLevel="3" ht="15.75" customHeight="1">
      <c r="A2114" s="10" t="n">
        <v>47</v>
      </c>
      <c r="B2114" s="10" t="inlineStr">
        <is>
          <t>Insumo</t>
        </is>
      </c>
      <c r="C2114" s="10" t="inlineStr">
        <is>
          <t>38_DRY 0 mm - 1 PLACA - 1,25cm  -  Lado A: PLACA ST - Lado B: N/A</t>
        </is>
      </c>
      <c r="D2114" s="10" t="inlineStr">
        <is>
          <t>PLACA / CHAPA DE GESSO ACARTONADO, STANDARD (ST), COR BRANCA, E = 12,5 MM, 1200 X 2400 MM (L X C)</t>
        </is>
      </c>
      <c r="E2114" s="11">
        <f t="array" ref="E2114">_xlfn.XLOOKUP(D2114,Insumos!B:B,Insumos!C:$C)</f>
        <v/>
      </c>
      <c r="F2114" s="14" t="n">
        <v>1.106</v>
      </c>
      <c r="G2114" s="92">
        <f t="array" ref="G2114">IF(B2114="insumo",_xlfn.XLOOKUP($D2114,Insumos!$B$1:$B$996,Insumos!$D$1:$D$996),"")</f>
        <v/>
      </c>
      <c r="H2114" s="92" t="n">
        <v>22.29696</v>
      </c>
      <c r="I2114" s="2162" t="n">
        <v>0</v>
      </c>
      <c r="J2114" s="2162" t="n">
        <v>0</v>
      </c>
      <c r="K2114" s="2162" t="n"/>
    </row>
    <row r="2115" outlineLevel="3" ht="15.75" customHeight="1">
      <c r="A2115" s="10" t="n">
        <v>95</v>
      </c>
      <c r="B2115" s="10" t="inlineStr">
        <is>
          <t>Insumo</t>
        </is>
      </c>
      <c r="C2115" s="10" t="inlineStr">
        <is>
          <t>38_DRY 0 mm - 1 PLACA - 1,25cm  -  Lado A: PLACA ST - Lado B: N/A</t>
        </is>
      </c>
      <c r="D2115" s="10" t="inlineStr">
        <is>
          <t>MASSA DE REJUNTE EM PO PARA DRYWALL, A BASE DE GESSO, SECAGEM RAPIDA, PARA TRATAMENTO DE JUNTAS DE CHAPA DE GESSO (NECESSITA ADICAO DE AGUA)</t>
        </is>
      </c>
      <c r="E2115" s="11">
        <f t="array" ref="E2115">_xlfn.XLOOKUP(D2115,Insumos!B:B,Insumos!C:$C)</f>
        <v/>
      </c>
      <c r="F2115" s="14">
        <f>1.0978/2</f>
        <v/>
      </c>
      <c r="G2115" s="92">
        <f t="array" ref="G2115">IF(B2115="insumo",_xlfn.XLOOKUP($D2115,Insumos!$B$1:$B$996,Insumos!$D$1:$D$996),"")</f>
        <v/>
      </c>
      <c r="H2115" s="92" t="n">
        <v>1.882727</v>
      </c>
      <c r="I2115" s="2162" t="n">
        <v>0</v>
      </c>
      <c r="J2115" s="2162" t="n">
        <v>0</v>
      </c>
      <c r="K2115" s="2162" t="n"/>
    </row>
    <row r="2116" outlineLevel="3" ht="15.75" customHeight="1">
      <c r="A2116" s="10" t="n">
        <v>94</v>
      </c>
      <c r="B2116" s="10" t="inlineStr">
        <is>
          <t>Insumo</t>
        </is>
      </c>
      <c r="C2116" s="10" t="inlineStr">
        <is>
          <t>38_DRY 0 mm - 1 PLACA - 1,25cm  -  Lado A: PLACA ST - Lado B: N/A</t>
        </is>
      </c>
      <c r="D2116" s="10" t="inlineStr">
        <is>
          <t>FITA DE PAPEL MICROPERFURADO, 50 X 150 MM, PARA TRATAMENTO DE JUNTAS DE CHAPA DE GESSO PARA DRYWALL</t>
        </is>
      </c>
      <c r="E2116" s="11">
        <f t="array" ref="E2116">_xlfn.XLOOKUP(D2116,Insumos!B:B,Insumos!C:$C)</f>
        <v/>
      </c>
      <c r="F2116" s="14">
        <f>2.5027/2</f>
        <v/>
      </c>
      <c r="G2116" s="92">
        <f t="array" ref="G2116">IF(B2116="insumo",_xlfn.XLOOKUP($D2116,Insumos!$B$1:$B$996,Insumos!$D$1:$D$996),"")</f>
        <v/>
      </c>
      <c r="H2116" s="92" t="n">
        <v>0.3879185</v>
      </c>
      <c r="I2116" s="2162" t="n">
        <v>0</v>
      </c>
      <c r="J2116" s="2162" t="n">
        <v>0</v>
      </c>
      <c r="K2116" s="2162" t="n"/>
    </row>
    <row r="2117" outlineLevel="3" ht="15.75" customHeight="1">
      <c r="A2117" s="10" t="n">
        <v>94</v>
      </c>
      <c r="B2117" s="10" t="inlineStr">
        <is>
          <t>Insumo</t>
        </is>
      </c>
      <c r="C2117" s="10" t="inlineStr">
        <is>
          <t>38_DRY 0 mm - 1 PLACA - 1,25cm  -  Lado A: PLACA ST - Lado B: N/A</t>
        </is>
      </c>
      <c r="D2117" s="10" t="inlineStr">
        <is>
          <t>FITA DE PAPEL REFORCADA COM LAMINA DE METAL PARA REFORCO DE CANTOS DE CHAPA DE GESSO PARA DRYWALL</t>
        </is>
      </c>
      <c r="E2117" s="11">
        <f t="array" ref="E2117">_xlfn.XLOOKUP(D2117,Insumos!B:B,Insumos!C:$C)</f>
        <v/>
      </c>
      <c r="F2117" s="14">
        <f>1.5851/2</f>
        <v/>
      </c>
      <c r="G2117" s="92">
        <f t="array" ref="G2117">IF(B2117="insumo",_xlfn.XLOOKUP($D2117,Insumos!$B$1:$B$996,Insumos!$D$1:$D$996),"")</f>
        <v/>
      </c>
      <c r="H2117" s="92" t="n">
        <v>2.171587</v>
      </c>
      <c r="I2117" s="2162" t="n">
        <v>0</v>
      </c>
      <c r="J2117" s="2162" t="n">
        <v>0</v>
      </c>
      <c r="K2117" s="2162" t="n"/>
    </row>
    <row r="2118" outlineLevel="3" ht="15.75" customHeight="1">
      <c r="A2118" s="10" t="n">
        <v>97</v>
      </c>
      <c r="B2118" s="10" t="inlineStr">
        <is>
          <t>Insumo</t>
        </is>
      </c>
      <c r="C2118" s="10" t="inlineStr">
        <is>
          <t>38_DRY 0 mm - 1 PLACA - 1,25cm  -  Lado A: PLACA ST - Lado B: N/A</t>
        </is>
      </c>
      <c r="D2118" s="10" t="inlineStr">
        <is>
          <t>PARAFUSO DRY WALL, EM ACO FOSFATIZADO, CABECA TROMBETA E PONTA AGULHA (TA), COMPRIMENTO 25 MM</t>
        </is>
      </c>
      <c r="E2118" s="11">
        <f t="array" ref="E2118">_xlfn.XLOOKUP(D2118,Insumos!B:B,Insumos!C:$C)</f>
        <v/>
      </c>
      <c r="F2118" s="14">
        <f>20.1868/2</f>
        <v/>
      </c>
      <c r="G2118" s="92">
        <f t="array" ref="G2118">IF(B2118="insumo",_xlfn.XLOOKUP($D2118,Insumos!$B$1:$B$996,Insumos!$D$1:$D$996),"")</f>
        <v/>
      </c>
      <c r="H2118" s="92" t="n">
        <v>0.908406</v>
      </c>
      <c r="I2118" s="2162" t="n">
        <v>0</v>
      </c>
      <c r="J2118" s="2162" t="n">
        <v>0</v>
      </c>
      <c r="K2118" s="2162" t="n"/>
    </row>
    <row r="2119" outlineLevel="2" ht="15.75" customHeight="1">
      <c r="A2119" s="1067" t="n">
        <v>1</v>
      </c>
      <c r="B2119" s="1067" t="inlineStr">
        <is>
          <t>Serviço</t>
        </is>
      </c>
      <c r="C2119" s="1067" t="inlineStr">
        <is>
          <t>38_DRY 0 mm - 1 PLACA - 1,25cm  -  Lado A: PLACA PERFORMANCE ST - Lado B: N/A</t>
        </is>
      </c>
      <c r="D2119" s="1067" t="inlineStr">
        <is>
          <t>38_DRY 0 mm - 1 PLACA - 1,25cm  -  Lado A: PLACA PERFORMANCE ST - Lado B: N/A</t>
        </is>
      </c>
      <c r="E2119" s="1068" t="inlineStr">
        <is>
          <t>M2</t>
        </is>
      </c>
      <c r="F2119" s="1067" t="n"/>
      <c r="G2119" s="1069">
        <f t="array" ref="G2119">IF(B2119="insumo",_xlfn.XLOOKUP($D2119,Insumos!$B$1:$B$996,Insumos!$D$1:$D$996),"")</f>
        <v/>
      </c>
      <c r="H2119" s="1069" t="n">
        <v>97.6475985</v>
      </c>
      <c r="I2119" s="2161" t="n">
        <v>0</v>
      </c>
      <c r="J2119" s="2161" t="n">
        <v>0</v>
      </c>
      <c r="K2119" s="2161" t="n"/>
    </row>
    <row r="2120" outlineLevel="3" ht="15.75" customHeight="1">
      <c r="A2120" s="10" t="n">
        <v>86</v>
      </c>
      <c r="B2120" s="10" t="inlineStr">
        <is>
          <t>Insumo</t>
        </is>
      </c>
      <c r="C2120" s="10" t="inlineStr">
        <is>
          <t>38_DRY 0 mm - 1 PLACA - 1,25cm  -  Lado A: PLACA PERFORMANCE ST - Lado B: N/A</t>
        </is>
      </c>
      <c r="D2120" s="10" t="inlineStr">
        <is>
          <t>SERVICO - CONFECCAO SHAFT GESSO</t>
        </is>
      </c>
      <c r="E2120" s="11">
        <f t="array" ref="E2120">_xlfn.XLOOKUP(D2120,Insumos!B:B,Insumos!C:$C)</f>
        <v/>
      </c>
      <c r="F2120" s="14" t="n">
        <v>1</v>
      </c>
      <c r="G2120" s="92">
        <f t="array" ref="G2120">IF(B2120="insumo",_xlfn.XLOOKUP($D2120,Insumos!$B$1:$B$996,Insumos!$D$1:$D$996),"")</f>
        <v/>
      </c>
      <c r="H2120" s="92" t="n">
        <v>70</v>
      </c>
      <c r="I2120" s="2162" t="n">
        <v>0</v>
      </c>
      <c r="J2120" s="2162" t="n">
        <v>0</v>
      </c>
      <c r="K2120" s="2162" t="n"/>
    </row>
    <row r="2121" outlineLevel="3" ht="15.75" customHeight="1">
      <c r="A2121" s="10" t="n">
        <v>47</v>
      </c>
      <c r="B2121" s="10" t="inlineStr">
        <is>
          <t>Insumo</t>
        </is>
      </c>
      <c r="C2121" s="10" t="inlineStr">
        <is>
          <t>38_DRY 0 mm - 1 PLACA - 1,25cm  -  Lado A: PLACA PERFORMANCE ST - Lado B: N/A</t>
        </is>
      </c>
      <c r="D2121" s="10" t="inlineStr">
        <is>
          <t>PLACA / CHAPA DE GESSO ACARTONADO, STANDARD (ST), COR BRANCA, E = 12,5 MM, 1200 X 2400 MM (L X C)</t>
        </is>
      </c>
      <c r="E2121" s="11">
        <f t="array" ref="E2121">_xlfn.XLOOKUP(D2121,Insumos!B:B,Insumos!C:$C)</f>
        <v/>
      </c>
      <c r="F2121" s="14" t="n">
        <v>1.106</v>
      </c>
      <c r="G2121" s="92">
        <f t="array" ref="G2121">IF(B2121="insumo",_xlfn.XLOOKUP($D2121,Insumos!$B$1:$B$996,Insumos!$D$1:$D$996),"")</f>
        <v/>
      </c>
      <c r="H2121" s="92" t="n">
        <v>22.29696</v>
      </c>
      <c r="I2121" s="2162" t="n">
        <v>0</v>
      </c>
      <c r="J2121" s="2162" t="n">
        <v>0</v>
      </c>
      <c r="K2121" s="2162" t="n"/>
    </row>
    <row r="2122" outlineLevel="3" ht="15.75" customHeight="1">
      <c r="A2122" s="10" t="n">
        <v>95</v>
      </c>
      <c r="B2122" s="10" t="inlineStr">
        <is>
          <t>Insumo</t>
        </is>
      </c>
      <c r="C2122" s="10" t="inlineStr">
        <is>
          <t>38_DRY 0 mm - 1 PLACA - 1,25cm  -  Lado A: PLACA PERFORMANCE ST - Lado B: N/A</t>
        </is>
      </c>
      <c r="D2122" s="10" t="inlineStr">
        <is>
          <t>MASSA DE REJUNTE EM PO PARA DRYWALL, A BASE DE GESSO, SECAGEM RAPIDA, PARA TRATAMENTO DE JUNTAS DE CHAPA DE GESSO (NECESSITA ADICAO DE AGUA)</t>
        </is>
      </c>
      <c r="E2122" s="11">
        <f t="array" ref="E2122">_xlfn.XLOOKUP(D2122,Insumos!B:B,Insumos!C:$C)</f>
        <v/>
      </c>
      <c r="F2122" s="14">
        <f>1.0978/2</f>
        <v/>
      </c>
      <c r="G2122" s="92">
        <f t="array" ref="G2122">IF(B2122="insumo",_xlfn.XLOOKUP($D2122,Insumos!$B$1:$B$996,Insumos!$D$1:$D$996),"")</f>
        <v/>
      </c>
      <c r="H2122" s="92" t="n">
        <v>1.882727</v>
      </c>
      <c r="I2122" s="2162" t="n">
        <v>0</v>
      </c>
      <c r="J2122" s="2162" t="n">
        <v>0</v>
      </c>
      <c r="K2122" s="2162" t="n"/>
    </row>
    <row r="2123" outlineLevel="3" ht="15.75" customHeight="1">
      <c r="A2123" s="10" t="n">
        <v>94</v>
      </c>
      <c r="B2123" s="10" t="inlineStr">
        <is>
          <t>Insumo</t>
        </is>
      </c>
      <c r="C2123" s="10" t="inlineStr">
        <is>
          <t>38_DRY 0 mm - 1 PLACA - 1,25cm  -  Lado A: PLACA PERFORMANCE ST - Lado B: N/A</t>
        </is>
      </c>
      <c r="D2123" s="10" t="inlineStr">
        <is>
          <t>FITA DE PAPEL MICROPERFURADO, 50 X 150 MM, PARA TRATAMENTO DE JUNTAS DE CHAPA DE GESSO PARA DRYWALL</t>
        </is>
      </c>
      <c r="E2123" s="11">
        <f t="array" ref="E2123">_xlfn.XLOOKUP(D2123,Insumos!B:B,Insumos!C:$C)</f>
        <v/>
      </c>
      <c r="F2123" s="14">
        <f>2.5027/2</f>
        <v/>
      </c>
      <c r="G2123" s="92">
        <f t="array" ref="G2123">IF(B2123="insumo",_xlfn.XLOOKUP($D2123,Insumos!$B$1:$B$996,Insumos!$D$1:$D$996),"")</f>
        <v/>
      </c>
      <c r="H2123" s="92" t="n">
        <v>0.3879185</v>
      </c>
      <c r="I2123" s="2162" t="n">
        <v>0</v>
      </c>
      <c r="J2123" s="2162" t="n">
        <v>0</v>
      </c>
      <c r="K2123" s="2162" t="n"/>
    </row>
    <row r="2124" outlineLevel="3" ht="15.75" customHeight="1">
      <c r="A2124" s="10" t="n">
        <v>94</v>
      </c>
      <c r="B2124" s="10" t="inlineStr">
        <is>
          <t>Insumo</t>
        </is>
      </c>
      <c r="C2124" s="10" t="inlineStr">
        <is>
          <t>38_DRY 0 mm - 1 PLACA - 1,25cm  -  Lado A: PLACA PERFORMANCE ST - Lado B: N/A</t>
        </is>
      </c>
      <c r="D2124" s="10" t="inlineStr">
        <is>
          <t>FITA DE PAPEL REFORCADA COM LAMINA DE METAL PARA REFORCO DE CANTOS DE CHAPA DE GESSO PARA DRYWALL</t>
        </is>
      </c>
      <c r="E2124" s="11">
        <f t="array" ref="E2124">_xlfn.XLOOKUP(D2124,Insumos!B:B,Insumos!C:$C)</f>
        <v/>
      </c>
      <c r="F2124" s="14">
        <f>1.5851/2</f>
        <v/>
      </c>
      <c r="G2124" s="92">
        <f t="array" ref="G2124">IF(B2124="insumo",_xlfn.XLOOKUP($D2124,Insumos!$B$1:$B$996,Insumos!$D$1:$D$996),"")</f>
        <v/>
      </c>
      <c r="H2124" s="92" t="n">
        <v>2.171587</v>
      </c>
      <c r="I2124" s="2162" t="n">
        <v>0</v>
      </c>
      <c r="J2124" s="2162" t="n">
        <v>0</v>
      </c>
      <c r="K2124" s="2162" t="n"/>
    </row>
    <row r="2125" outlineLevel="3" ht="15.75" customHeight="1">
      <c r="A2125" s="10" t="n">
        <v>97</v>
      </c>
      <c r="B2125" s="10" t="inlineStr">
        <is>
          <t>Insumo</t>
        </is>
      </c>
      <c r="C2125" s="10" t="inlineStr">
        <is>
          <t>38_DRY 0 mm - 1 PLACA - 1,25cm  -  Lado A: PLACA PERFORMANCE ST - Lado B: N/A</t>
        </is>
      </c>
      <c r="D2125" s="10" t="inlineStr">
        <is>
          <t>PARAFUSO DRY WALL, EM ACO FOSFATIZADO, CABECA TROMBETA E PONTA AGULHA (TA), COMPRIMENTO 25 MM</t>
        </is>
      </c>
      <c r="E2125" s="11">
        <f t="array" ref="E2125">_xlfn.XLOOKUP(D2125,Insumos!B:B,Insumos!C:$C)</f>
        <v/>
      </c>
      <c r="F2125" s="14">
        <f>20.1868/2</f>
        <v/>
      </c>
      <c r="G2125" s="92">
        <f t="array" ref="G2125">IF(B2125="insumo",_xlfn.XLOOKUP($D2125,Insumos!$B$1:$B$996,Insumos!$D$1:$D$996),"")</f>
        <v/>
      </c>
      <c r="H2125" s="92" t="n">
        <v>0.908406</v>
      </c>
      <c r="I2125" s="2162" t="n">
        <v>0</v>
      </c>
      <c r="J2125" s="2162" t="n">
        <v>0</v>
      </c>
      <c r="K2125" s="2162" t="n"/>
    </row>
    <row r="2126" outlineLevel="2" ht="15.75" customHeight="1">
      <c r="A2126" s="1067" t="n">
        <v>1</v>
      </c>
      <c r="B2126" s="1067" t="inlineStr">
        <is>
          <t>Serviço</t>
        </is>
      </c>
      <c r="C2126" s="1067" t="inlineStr">
        <is>
          <t>38_DRY 0 mm - 1 PLACA - 1,25cm  -  Lado A: PLACA RU - Lado B: N/A</t>
        </is>
      </c>
      <c r="D2126" s="1067" t="inlineStr">
        <is>
          <t>38_DRY 0 mm - 1 PLACA - 1,25cm  -  Lado A: PLACA RU - Lado B: N/A</t>
        </is>
      </c>
      <c r="E2126" s="1068" t="inlineStr">
        <is>
          <t>M2</t>
        </is>
      </c>
      <c r="F2126" s="1067" t="n"/>
      <c r="G2126" s="1069">
        <f t="array" ref="G2126">IF(B2126="insumo",_xlfn.XLOOKUP($D2126,Insumos!$B$1:$B$996,Insumos!$D$1:$D$996),"")</f>
        <v/>
      </c>
      <c r="H2126" s="1069" t="n">
        <v>105.3232385</v>
      </c>
      <c r="I2126" s="2161" t="n">
        <v>0</v>
      </c>
      <c r="J2126" s="2161" t="n">
        <v>0</v>
      </c>
      <c r="K2126" s="2161" t="n"/>
    </row>
    <row r="2127" outlineLevel="3" ht="15.75" customHeight="1">
      <c r="A2127" s="10" t="n">
        <v>86</v>
      </c>
      <c r="B2127" s="10" t="inlineStr">
        <is>
          <t>Insumo</t>
        </is>
      </c>
      <c r="C2127" s="10" t="inlineStr">
        <is>
          <t>38_DRY 0 mm - 1 PLACA - 1,25cm  -  Lado A: PLACA RU - Lado B: N/A</t>
        </is>
      </c>
      <c r="D2127" s="10" t="inlineStr">
        <is>
          <t>SERVICO - CONFECCAO SHAFT GESSO</t>
        </is>
      </c>
      <c r="E2127" s="11">
        <f t="array" ref="E2127">_xlfn.XLOOKUP(D2127,Insumos!B:B,Insumos!C:$C)</f>
        <v/>
      </c>
      <c r="F2127" s="14" t="n">
        <v>1</v>
      </c>
      <c r="G2127" s="92">
        <f t="array" ref="G2127">IF(B2127="insumo",_xlfn.XLOOKUP($D2127,Insumos!$B$1:$B$996,Insumos!$D$1:$D$996),"")</f>
        <v/>
      </c>
      <c r="H2127" s="92" t="n">
        <v>70</v>
      </c>
      <c r="I2127" s="2162" t="n">
        <v>0</v>
      </c>
      <c r="J2127" s="2162" t="n">
        <v>0</v>
      </c>
      <c r="K2127" s="2162" t="n"/>
    </row>
    <row r="2128" outlineLevel="3" ht="15.75" customHeight="1">
      <c r="A2128" s="10" t="n">
        <v>49</v>
      </c>
      <c r="B2128" s="10" t="inlineStr">
        <is>
          <t>Insumo</t>
        </is>
      </c>
      <c r="C2128" s="10" t="inlineStr">
        <is>
          <t>38_DRY 0 mm - 1 PLACA - 1,25cm  -  Lado A: PLACA RU - Lado B: N/A</t>
        </is>
      </c>
      <c r="D2128" s="10" t="inlineStr">
        <is>
          <t>PLACA / CHAPA DE GESSO ACARTONADO, RESISTENTE A UMIDADE (RU), COR VERDE, E = 12,5 MM, 1200 X 2400 MM (L X C)</t>
        </is>
      </c>
      <c r="E2128" s="11">
        <f t="array" ref="E2128">_xlfn.XLOOKUP(D2128,Insumos!B:B,Insumos!C:$C)</f>
        <v/>
      </c>
      <c r="F2128" s="14" t="n">
        <v>1.106</v>
      </c>
      <c r="G2128" s="92">
        <f t="array" ref="G2128">IF(B2128="insumo",_xlfn.XLOOKUP($D2128,Insumos!$B$1:$B$996,Insumos!$D$1:$D$996),"")</f>
        <v/>
      </c>
      <c r="H2128" s="92" t="n">
        <v>29.9726</v>
      </c>
      <c r="I2128" s="2162" t="n">
        <v>0</v>
      </c>
      <c r="J2128" s="2162" t="n">
        <v>0</v>
      </c>
      <c r="K2128" s="2162" t="n"/>
    </row>
    <row r="2129" outlineLevel="3" ht="15.75" customHeight="1">
      <c r="A2129" s="10" t="n">
        <v>95</v>
      </c>
      <c r="B2129" s="10" t="inlineStr">
        <is>
          <t>Insumo</t>
        </is>
      </c>
      <c r="C2129" s="10" t="inlineStr">
        <is>
          <t>38_DRY 0 mm - 1 PLACA - 1,25cm  -  Lado A: PLACA RU - Lado B: N/A</t>
        </is>
      </c>
      <c r="D2129" s="10" t="inlineStr">
        <is>
          <t>MASSA DE REJUNTE EM PO PARA DRYWALL, A BASE DE GESSO, SECAGEM RAPIDA, PARA TRATAMENTO DE JUNTAS DE CHAPA DE GESSO (NECESSITA ADICAO DE AGUA)</t>
        </is>
      </c>
      <c r="E2129" s="11">
        <f t="array" ref="E2129">_xlfn.XLOOKUP(D2129,Insumos!B:B,Insumos!C:$C)</f>
        <v/>
      </c>
      <c r="F2129" s="14">
        <f>1.0978/2</f>
        <v/>
      </c>
      <c r="G2129" s="92">
        <f t="array" ref="G2129">IF(B2129="insumo",_xlfn.XLOOKUP($D2129,Insumos!$B$1:$B$996,Insumos!$D$1:$D$996),"")</f>
        <v/>
      </c>
      <c r="H2129" s="92" t="n">
        <v>1.882727</v>
      </c>
      <c r="I2129" s="2162" t="n">
        <v>0</v>
      </c>
      <c r="J2129" s="2162" t="n">
        <v>0</v>
      </c>
      <c r="K2129" s="2162" t="n"/>
    </row>
    <row r="2130" outlineLevel="3" ht="15.75" customHeight="1">
      <c r="A2130" s="10" t="n">
        <v>94</v>
      </c>
      <c r="B2130" s="10" t="inlineStr">
        <is>
          <t>Insumo</t>
        </is>
      </c>
      <c r="C2130" s="10" t="inlineStr">
        <is>
          <t>38_DRY 0 mm - 1 PLACA - 1,25cm  -  Lado A: PLACA RU - Lado B: N/A</t>
        </is>
      </c>
      <c r="D2130" s="10" t="inlineStr">
        <is>
          <t>FITA DE PAPEL MICROPERFURADO, 50 X 150 MM, PARA TRATAMENTO DE JUNTAS DE CHAPA DE GESSO PARA DRYWALL</t>
        </is>
      </c>
      <c r="E2130" s="11">
        <f t="array" ref="E2130">_xlfn.XLOOKUP(D2130,Insumos!B:B,Insumos!C:$C)</f>
        <v/>
      </c>
      <c r="F2130" s="14">
        <f>2.5027/2</f>
        <v/>
      </c>
      <c r="G2130" s="92">
        <f t="array" ref="G2130">IF(B2130="insumo",_xlfn.XLOOKUP($D2130,Insumos!$B$1:$B$996,Insumos!$D$1:$D$996),"")</f>
        <v/>
      </c>
      <c r="H2130" s="92" t="n">
        <v>0.3879185</v>
      </c>
      <c r="I2130" s="2162" t="n">
        <v>0</v>
      </c>
      <c r="J2130" s="2162" t="n">
        <v>0</v>
      </c>
      <c r="K2130" s="2162" t="n"/>
    </row>
    <row r="2131" outlineLevel="3" ht="15.75" customHeight="1">
      <c r="A2131" s="10" t="n">
        <v>94</v>
      </c>
      <c r="B2131" s="10" t="inlineStr">
        <is>
          <t>Insumo</t>
        </is>
      </c>
      <c r="C2131" s="10" t="inlineStr">
        <is>
          <t>38_DRY 0 mm - 1 PLACA - 1,25cm  -  Lado A: PLACA RU - Lado B: N/A</t>
        </is>
      </c>
      <c r="D2131" s="10" t="inlineStr">
        <is>
          <t>FITA DE PAPEL REFORCADA COM LAMINA DE METAL PARA REFORCO DE CANTOS DE CHAPA DE GESSO PARA DRYWALL</t>
        </is>
      </c>
      <c r="E2131" s="11">
        <f t="array" ref="E2131">_xlfn.XLOOKUP(D2131,Insumos!B:B,Insumos!C:$C)</f>
        <v/>
      </c>
      <c r="F2131" s="14">
        <f>1.5851/2</f>
        <v/>
      </c>
      <c r="G2131" s="92">
        <f t="array" ref="G2131">IF(B2131="insumo",_xlfn.XLOOKUP($D2131,Insumos!$B$1:$B$996,Insumos!$D$1:$D$996),"")</f>
        <v/>
      </c>
      <c r="H2131" s="92" t="n">
        <v>2.171587</v>
      </c>
      <c r="I2131" s="2162" t="n">
        <v>0</v>
      </c>
      <c r="J2131" s="2162" t="n">
        <v>0</v>
      </c>
      <c r="K2131" s="2162" t="n"/>
    </row>
    <row r="2132" outlineLevel="3" ht="15.75" customHeight="1">
      <c r="A2132" s="10" t="n">
        <v>97</v>
      </c>
      <c r="B2132" s="10" t="inlineStr">
        <is>
          <t>Insumo</t>
        </is>
      </c>
      <c r="C2132" s="10" t="inlineStr">
        <is>
          <t>38_DRY 0 mm - 1 PLACA - 1,25cm  -  Lado A: PLACA RU - Lado B: N/A</t>
        </is>
      </c>
      <c r="D2132" s="10" t="inlineStr">
        <is>
          <t>PARAFUSO DRY WALL, EM ACO FOSFATIZADO, CABECA TROMBETA E PONTA AGULHA (TA), COMPRIMENTO 25 MM</t>
        </is>
      </c>
      <c r="E2132" s="11">
        <f t="array" ref="E2132">_xlfn.XLOOKUP(D2132,Insumos!B:B,Insumos!C:$C)</f>
        <v/>
      </c>
      <c r="F2132" s="14">
        <f>20.1868/2</f>
        <v/>
      </c>
      <c r="G2132" s="92">
        <f t="array" ref="G2132">IF(B2132="insumo",_xlfn.XLOOKUP($D2132,Insumos!$B$1:$B$996,Insumos!$D$1:$D$996),"")</f>
        <v/>
      </c>
      <c r="H2132" s="92" t="n">
        <v>0.908406</v>
      </c>
      <c r="I2132" s="2162" t="n">
        <v>0</v>
      </c>
      <c r="J2132" s="2162" t="n">
        <v>0</v>
      </c>
      <c r="K2132" s="2162" t="n"/>
    </row>
    <row r="2133" outlineLevel="2" ht="15.75" customHeight="1">
      <c r="A2133" s="1067" t="n">
        <v>1</v>
      </c>
      <c r="B2133" s="1067" t="inlineStr">
        <is>
          <t>Serviço</t>
        </is>
      </c>
      <c r="C2133" s="1067" t="inlineStr">
        <is>
          <t>38_DRY 0 mm - 1 PLACA - 1,25cm  -</t>
        </is>
      </c>
      <c r="D2133" s="1067" t="inlineStr">
        <is>
          <t>38_DRY 0 mm - 1 PLACA - 1,25cm  -</t>
        </is>
      </c>
      <c r="E2133" s="1068" t="inlineStr">
        <is>
          <t>M2</t>
        </is>
      </c>
      <c r="F2133" s="1067" t="n"/>
      <c r="G2133" s="1069">
        <f t="array" ref="G2133">IF(B2133="insumo",_xlfn.XLOOKUP($D2133,Insumos!$B$1:$B$996,Insumos!$D$1:$D$996),"")</f>
        <v/>
      </c>
      <c r="H2133" s="1069" t="n">
        <v>105.3232385</v>
      </c>
      <c r="I2133" s="2161" t="n">
        <v>0</v>
      </c>
      <c r="J2133" s="2161" t="n">
        <v>0</v>
      </c>
      <c r="K2133" s="2161" t="n"/>
    </row>
    <row r="2134" outlineLevel="3" ht="15.75" customHeight="1">
      <c r="A2134" s="10" t="n">
        <v>86</v>
      </c>
      <c r="B2134" s="10" t="inlineStr">
        <is>
          <t>Insumo</t>
        </is>
      </c>
      <c r="C2134" s="10" t="inlineStr">
        <is>
          <t>38_DRY 0 mm - 1 PLACA - 1,25cm  -</t>
        </is>
      </c>
      <c r="D2134" s="10" t="inlineStr">
        <is>
          <t>SERVICO - CONFECCAO SHAFT GESSO</t>
        </is>
      </c>
      <c r="E2134" s="11">
        <f t="array" ref="E2134">_xlfn.XLOOKUP(D2134,Insumos!B:B,Insumos!C:$C)</f>
        <v/>
      </c>
      <c r="F2134" s="14" t="n">
        <v>1</v>
      </c>
      <c r="G2134" s="92">
        <f t="array" ref="G2134">IF(B2134="insumo",_xlfn.XLOOKUP($D2134,Insumos!$B$1:$B$996,Insumos!$D$1:$D$996),"")</f>
        <v/>
      </c>
      <c r="H2134" s="92" t="n">
        <v>70</v>
      </c>
      <c r="I2134" s="2162" t="n">
        <v>0</v>
      </c>
      <c r="J2134" s="2162" t="n">
        <v>0</v>
      </c>
      <c r="K2134" s="2162" t="n"/>
    </row>
    <row r="2135" outlineLevel="3" ht="15.75" customHeight="1">
      <c r="A2135" s="10" t="n">
        <v>49</v>
      </c>
      <c r="B2135" s="10" t="inlineStr">
        <is>
          <t>Insumo</t>
        </is>
      </c>
      <c r="C2135" s="10" t="inlineStr">
        <is>
          <t>38_DRY 0 mm - 1 PLACA - 1,25cm  -</t>
        </is>
      </c>
      <c r="D2135" s="10" t="inlineStr">
        <is>
          <t>PLACA / CHAPA DE GESSO ACARTONADO, RESISTENTE A UMIDADE (RU), COR VERDE, E = 12,5 MM, 1200 X 2400 MM (L X C)</t>
        </is>
      </c>
      <c r="E2135" s="11">
        <f t="array" ref="E2135">_xlfn.XLOOKUP(D2135,Insumos!B:B,Insumos!C:$C)</f>
        <v/>
      </c>
      <c r="F2135" s="14" t="n">
        <v>1.106</v>
      </c>
      <c r="G2135" s="92">
        <f t="array" ref="G2135">IF(B2135="insumo",_xlfn.XLOOKUP($D2135,Insumos!$B$1:$B$996,Insumos!$D$1:$D$996),"")</f>
        <v/>
      </c>
      <c r="H2135" s="92" t="n">
        <v>29.9726</v>
      </c>
      <c r="I2135" s="2162" t="n">
        <v>0</v>
      </c>
      <c r="J2135" s="2162" t="n">
        <v>0</v>
      </c>
      <c r="K2135" s="2162" t="n"/>
    </row>
    <row r="2136" outlineLevel="3" ht="15.75" customHeight="1">
      <c r="A2136" s="10" t="n">
        <v>95</v>
      </c>
      <c r="B2136" s="10" t="inlineStr">
        <is>
          <t>Insumo</t>
        </is>
      </c>
      <c r="C2136" s="10" t="inlineStr">
        <is>
          <t>38_DRY 0 mm - 1 PLACA - 1,25cm  -</t>
        </is>
      </c>
      <c r="D2136" s="10" t="inlineStr">
        <is>
          <t>MASSA DE REJUNTE EM PO PARA DRYWALL, A BASE DE GESSO, SECAGEM RAPIDA, PARA TRATAMENTO DE JUNTAS DE CHAPA DE GESSO (NECESSITA ADICAO DE AGUA)</t>
        </is>
      </c>
      <c r="E2136" s="11">
        <f t="array" ref="E2136">_xlfn.XLOOKUP(D2136,Insumos!B:B,Insumos!C:$C)</f>
        <v/>
      </c>
      <c r="F2136" s="14">
        <f>1.0978/2</f>
        <v/>
      </c>
      <c r="G2136" s="92">
        <f t="array" ref="G2136">IF(B2136="insumo",_xlfn.XLOOKUP($D2136,Insumos!$B$1:$B$996,Insumos!$D$1:$D$996),"")</f>
        <v/>
      </c>
      <c r="H2136" s="92" t="n">
        <v>1.882727</v>
      </c>
      <c r="I2136" s="2162" t="n">
        <v>0</v>
      </c>
      <c r="J2136" s="2162" t="n">
        <v>0</v>
      </c>
      <c r="K2136" s="2162" t="n"/>
    </row>
    <row r="2137" outlineLevel="3" ht="15.75" customHeight="1">
      <c r="A2137" s="10" t="n">
        <v>94</v>
      </c>
      <c r="B2137" s="10" t="inlineStr">
        <is>
          <t>Insumo</t>
        </is>
      </c>
      <c r="C2137" s="10" t="inlineStr">
        <is>
          <t>38_DRY 0 mm - 1 PLACA - 1,25cm  -</t>
        </is>
      </c>
      <c r="D2137" s="10" t="inlineStr">
        <is>
          <t>FITA DE PAPEL MICROPERFURADO, 50 X 150 MM, PARA TRATAMENTO DE JUNTAS DE CHAPA DE GESSO PARA DRYWALL</t>
        </is>
      </c>
      <c r="E2137" s="11">
        <f t="array" ref="E2137">_xlfn.XLOOKUP(D2137,Insumos!B:B,Insumos!C:$C)</f>
        <v/>
      </c>
      <c r="F2137" s="14">
        <f>2.5027/2</f>
        <v/>
      </c>
      <c r="G2137" s="92">
        <f t="array" ref="G2137">IF(B2137="insumo",_xlfn.XLOOKUP($D2137,Insumos!$B$1:$B$996,Insumos!$D$1:$D$996),"")</f>
        <v/>
      </c>
      <c r="H2137" s="92" t="n">
        <v>0.3879185</v>
      </c>
      <c r="I2137" s="2162" t="n">
        <v>0</v>
      </c>
      <c r="J2137" s="2162" t="n">
        <v>0</v>
      </c>
      <c r="K2137" s="2162" t="n"/>
    </row>
    <row r="2138" outlineLevel="3" ht="15.75" customHeight="1">
      <c r="A2138" s="10" t="n">
        <v>94</v>
      </c>
      <c r="B2138" s="10" t="inlineStr">
        <is>
          <t>Insumo</t>
        </is>
      </c>
      <c r="C2138" s="10" t="inlineStr">
        <is>
          <t>38_DRY 0 mm - 1 PLACA - 1,25cm  -</t>
        </is>
      </c>
      <c r="D2138" s="10" t="inlineStr">
        <is>
          <t>FITA DE PAPEL REFORCADA COM LAMINA DE METAL PARA REFORCO DE CANTOS DE CHAPA DE GESSO PARA DRYWALL</t>
        </is>
      </c>
      <c r="E2138" s="11">
        <f t="array" ref="E2138">_xlfn.XLOOKUP(D2138,Insumos!B:B,Insumos!C:$C)</f>
        <v/>
      </c>
      <c r="F2138" s="14">
        <f>1.5851/2</f>
        <v/>
      </c>
      <c r="G2138" s="92">
        <f t="array" ref="G2138">IF(B2138="insumo",_xlfn.XLOOKUP($D2138,Insumos!$B$1:$B$996,Insumos!$D$1:$D$996),"")</f>
        <v/>
      </c>
      <c r="H2138" s="92" t="n">
        <v>2.171587</v>
      </c>
      <c r="I2138" s="2162" t="n">
        <v>0</v>
      </c>
      <c r="J2138" s="2162" t="n">
        <v>0</v>
      </c>
      <c r="K2138" s="2162" t="n"/>
    </row>
    <row r="2139" outlineLevel="3" ht="15.75" customHeight="1">
      <c r="A2139" s="10" t="n">
        <v>97</v>
      </c>
      <c r="B2139" s="10" t="inlineStr">
        <is>
          <t>Insumo</t>
        </is>
      </c>
      <c r="C2139" s="10" t="inlineStr">
        <is>
          <t>38_DRY 0 mm - 1 PLACA - 1,25cm  -</t>
        </is>
      </c>
      <c r="D2139" s="10" t="inlineStr">
        <is>
          <t>PARAFUSO DRY WALL, EM ACO FOSFATIZADO, CABECA TROMBETA E PONTA AGULHA (TA), COMPRIMENTO 25 MM</t>
        </is>
      </c>
      <c r="E2139" s="11">
        <f t="array" ref="E2139">_xlfn.XLOOKUP(D2139,Insumos!B:B,Insumos!C:$C)</f>
        <v/>
      </c>
      <c r="F2139" s="14">
        <f>20.1868/2</f>
        <v/>
      </c>
      <c r="G2139" s="92">
        <f t="array" ref="G2139">IF(B2139="insumo",_xlfn.XLOOKUP($D2139,Insumos!$B$1:$B$996,Insumos!$D$1:$D$996),"")</f>
        <v/>
      </c>
      <c r="H2139" s="92" t="n">
        <v>0.908406</v>
      </c>
      <c r="I2139" s="2162" t="n">
        <v>0</v>
      </c>
      <c r="J2139" s="2162" t="n">
        <v>0</v>
      </c>
      <c r="K2139" s="2162" t="n"/>
    </row>
    <row r="2140" outlineLevel="2" ht="15.75" customHeight="1">
      <c r="A2140" s="1067" t="n">
        <v>1</v>
      </c>
      <c r="B2140" s="1067" t="inlineStr">
        <is>
          <t>Serviço</t>
        </is>
      </c>
      <c r="C2140" s="1067" t="inlineStr">
        <is>
          <t>Isolamento de lã de vidro</t>
        </is>
      </c>
      <c r="D2140" s="1067" t="inlineStr">
        <is>
          <t>Isolamento de lã de vidro</t>
        </is>
      </c>
      <c r="E2140" s="1068" t="inlineStr">
        <is>
          <t>M2</t>
        </is>
      </c>
      <c r="F2140" s="1067" t="n"/>
      <c r="G2140" s="1069">
        <f t="array" ref="G2140">IF(B2140="insumo",_xlfn.XLOOKUP($D2140,Insumos!$B$1:$B$996,Insumos!$D$1:$D$996),"")</f>
        <v/>
      </c>
      <c r="H2140" s="1069" t="n">
        <v>14.1115333333333</v>
      </c>
      <c r="I2140" s="2161" t="n">
        <v>0</v>
      </c>
      <c r="J2140" s="2161" t="n">
        <v>0</v>
      </c>
      <c r="K2140" s="2161" t="n"/>
    </row>
    <row r="2141" outlineLevel="3" ht="15.75" customHeight="1">
      <c r="A2141" s="10" t="n">
        <v>5</v>
      </c>
      <c r="B2141" s="10" t="inlineStr">
        <is>
          <t>Insumo</t>
        </is>
      </c>
      <c r="C2141" s="10" t="inlineStr">
        <is>
          <t>Isolamento de lã de vidro</t>
        </is>
      </c>
      <c r="D2141" s="10" t="inlineStr">
        <is>
          <t>LÂ DE VIDRO PARA ISOLAMENTO 50mm</t>
        </is>
      </c>
      <c r="E2141" s="11">
        <f t="array" ref="E2141">_xlfn.XLOOKUP(D2141,Insumos!B:B,Insumos!C:$C)</f>
        <v/>
      </c>
      <c r="F2141" s="14" t="n">
        <v>1.1</v>
      </c>
      <c r="G2141" s="92">
        <f t="array" ref="G2141">IF(B2141="insumo",_xlfn.XLOOKUP($D2141,Insumos!$B$1:$B$996,Insumos!$D$1:$D$996),"")</f>
        <v/>
      </c>
      <c r="H2141" s="92" t="n">
        <v>14.1115333333333</v>
      </c>
      <c r="I2141" s="2162" t="n">
        <v>0</v>
      </c>
      <c r="J2141" s="2162" t="n">
        <v>0</v>
      </c>
      <c r="K2141" s="2162" t="n"/>
    </row>
    <row r="2142" outlineLevel="2" ht="15.75" customHeight="1">
      <c r="A2142" s="1067" t="n">
        <v>1</v>
      </c>
      <c r="B2142" s="1067" t="inlineStr">
        <is>
          <t>Serviço</t>
        </is>
      </c>
      <c r="C2142" s="1067" t="inlineStr">
        <is>
          <t>Placa de Zinco Metálico</t>
        </is>
      </c>
      <c r="D2142" s="1067" t="inlineStr">
        <is>
          <t>Placa de Zinco Metálico</t>
        </is>
      </c>
      <c r="E2142" s="1068" t="inlineStr">
        <is>
          <t>M2</t>
        </is>
      </c>
      <c r="F2142" s="1067" t="n"/>
      <c r="G2142" s="1069">
        <f t="array" ref="G2142">IF(B2142="insumo",_xlfn.XLOOKUP($D2142,Insumos!$B$1:$B$996,Insumos!$D$1:$D$996),"")</f>
        <v/>
      </c>
      <c r="H2142" s="1069" t="n">
        <v>142.123333333333</v>
      </c>
      <c r="I2142" s="2161" t="n">
        <v>0</v>
      </c>
      <c r="J2142" s="2161" t="n">
        <v>0</v>
      </c>
      <c r="K2142" s="2161" t="n"/>
    </row>
    <row r="2143" outlineLevel="3" ht="15.75" customHeight="1">
      <c r="A2143" s="10" t="n">
        <v>1</v>
      </c>
      <c r="B2143" s="10" t="inlineStr">
        <is>
          <t>Insumo</t>
        </is>
      </c>
      <c r="C2143" s="10" t="inlineStr">
        <is>
          <t>Placa de Zinco Metálico</t>
        </is>
      </c>
      <c r="D2143" s="10" t="inlineStr">
        <is>
          <t>Chapa de Aço Galvanizada 1,55mm (Chapa 16) x 1200mm x 3000mm</t>
        </is>
      </c>
      <c r="E2143" s="11">
        <f t="array" ref="E2143">_xlfn.XLOOKUP(D2143,Insumos!B:B,Insumos!C:$C)</f>
        <v/>
      </c>
      <c r="F2143" s="14" t="n">
        <v>1.05</v>
      </c>
      <c r="G2143" s="92">
        <f t="array" ref="G2143">IF(B2143="insumo",_xlfn.XLOOKUP($D2143,Insumos!$B$1:$B$996,Insumos!$D$1:$D$996),"")</f>
        <v/>
      </c>
      <c r="H2143" s="92" t="n">
        <v>142.123333333333</v>
      </c>
      <c r="I2143" s="2162" t="n">
        <v>0</v>
      </c>
      <c r="J2143" s="2162" t="n">
        <v>0</v>
      </c>
      <c r="K2143" s="2162" t="n"/>
    </row>
    <row r="2144" outlineLevel="1" ht="15.75" customHeight="1">
      <c r="A2144" s="1090" t="n">
        <v>1</v>
      </c>
      <c r="B2144" s="1090" t="inlineStr">
        <is>
          <t>Subetapa</t>
        </is>
      </c>
      <c r="C2144" s="1090" t="inlineStr">
        <is>
          <t>Placa de Zinco Metálico</t>
        </is>
      </c>
      <c r="D2144" s="1090" t="inlineStr">
        <is>
          <t>MAO DE OBRA</t>
        </is>
      </c>
      <c r="E2144" s="1091" t="n"/>
      <c r="F2144" s="2160" t="n"/>
      <c r="G2144" s="1091" t="n"/>
      <c r="H2144" s="1091" t="n">
        <v>0</v>
      </c>
      <c r="I2144" s="2160" t="n">
        <v>0</v>
      </c>
      <c r="J2144" s="2160" t="n">
        <v>0</v>
      </c>
      <c r="K2144" s="2160" t="n"/>
    </row>
    <row r="2145" outlineLevel="2" ht="15.75" customHeight="1">
      <c r="A2145" s="1067" t="n">
        <v>1</v>
      </c>
      <c r="B2145" s="1067" t="inlineStr">
        <is>
          <t>Serviço</t>
        </is>
      </c>
      <c r="C2145" s="1067" t="inlineStr">
        <is>
          <t>Mão de obra para assentamento de blocos cerâmicos</t>
        </is>
      </c>
      <c r="D2145" s="1067" t="inlineStr">
        <is>
          <t>Mão de obra para assentamento de blocos cerâmicos</t>
        </is>
      </c>
      <c r="E2145" s="1068" t="inlineStr">
        <is>
          <t>M2</t>
        </is>
      </c>
      <c r="F2145" s="1067" t="n"/>
      <c r="G2145" s="1069">
        <f t="array" ref="G2145">IF(B2145="insumo",_xlfn.XLOOKUP($D2145,Insumos!$B$1:$B$996,Insumos!$D$1:$D$996),"")</f>
        <v/>
      </c>
      <c r="H2145" s="1069" t="n">
        <v>47</v>
      </c>
      <c r="I2145" s="2161" t="e">
        <v>#REF!</v>
      </c>
      <c r="J2145" s="2161" t="e">
        <v>#REF!</v>
      </c>
      <c r="K2145" s="2161" t="n"/>
    </row>
    <row r="2146" outlineLevel="3" ht="15.75" customHeight="1">
      <c r="A2146" s="10" t="n">
        <v>1</v>
      </c>
      <c r="B2146" s="10" t="inlineStr">
        <is>
          <t>Insumo</t>
        </is>
      </c>
      <c r="C2146" s="10" t="inlineStr">
        <is>
          <t>Mão de obra para assentamento de blocos cerâmicos</t>
        </is>
      </c>
      <c r="D2146" s="10" t="inlineStr">
        <is>
          <t>Mão de obra para assentamento de blocos cerâmicos</t>
        </is>
      </c>
      <c r="E2146" s="11">
        <f t="array" ref="E2146">_xlfn.XLOOKUP(D2146,Insumos!B:B,Insumos!C:$C)</f>
        <v/>
      </c>
      <c r="F2146" s="14" t="n">
        <v>1</v>
      </c>
      <c r="G2146" s="92">
        <f t="array" ref="G2146">IF(B2146="insumo",_xlfn.XLOOKUP($D2146,Insumos!$B$1:$B$996,Insumos!$D$1:$D$996),"")</f>
        <v/>
      </c>
      <c r="H2146" s="92" t="n">
        <v>47</v>
      </c>
      <c r="I2146" s="2162" t="e">
        <v>#REF!</v>
      </c>
      <c r="J2146" s="2162" t="e">
        <v>#REF!</v>
      </c>
      <c r="K2146" s="2162" t="n"/>
    </row>
    <row r="2147" outlineLevel="2" ht="15.75" customHeight="1">
      <c r="A2147" s="1067" t="n">
        <v>1</v>
      </c>
      <c r="B2147" s="1067" t="inlineStr">
        <is>
          <t>Serviço</t>
        </is>
      </c>
      <c r="C2147" s="1067" t="inlineStr">
        <is>
          <t xml:space="preserve">Mão de obra para assentamento de blocos de Refratário </t>
        </is>
      </c>
      <c r="D2147" s="1067" t="inlineStr">
        <is>
          <t xml:space="preserve">Mão de obra para assentamento de blocos de Refratário </t>
        </is>
      </c>
      <c r="E2147" s="1068" t="inlineStr">
        <is>
          <t>M2</t>
        </is>
      </c>
      <c r="F2147" s="1075" t="n"/>
      <c r="G2147" s="1069">
        <f t="array" ref="G2147">IF(B2147="insumo",_xlfn.XLOOKUP($D2147,Insumos!$B$1:$B$996,Insumos!$D$1:$D$996),"")</f>
        <v/>
      </c>
      <c r="H2147" s="1069" t="n">
        <v>48</v>
      </c>
      <c r="I2147" s="2161" t="n">
        <v>0</v>
      </c>
      <c r="J2147" s="2161" t="n">
        <v>0</v>
      </c>
      <c r="K2147" s="2161" t="n"/>
    </row>
    <row r="2148" outlineLevel="3" ht="15.75" customHeight="1">
      <c r="A2148" s="10" t="n">
        <v>1</v>
      </c>
      <c r="B2148" s="10" t="inlineStr">
        <is>
          <t>Insumo</t>
        </is>
      </c>
      <c r="C2148" s="10" t="inlineStr">
        <is>
          <t xml:space="preserve">Mão de obra para assentamento de blocos de Refratário </t>
        </is>
      </c>
      <c r="D2148" s="10" t="inlineStr">
        <is>
          <t xml:space="preserve">Mão de obra para assentamento de blocos de Refratário </t>
        </is>
      </c>
      <c r="E2148" s="11">
        <f t="array" ref="E2148">_xlfn.XLOOKUP(D2148,Insumos!B:B,Insumos!C:$C)</f>
        <v/>
      </c>
      <c r="F2148" s="14" t="n">
        <v>1</v>
      </c>
      <c r="G2148" s="92">
        <f t="array" ref="G2148">IF(B2148="insumo",_xlfn.XLOOKUP($D2148,Insumos!$B$1:$B$996,Insumos!$D$1:$D$996),"")</f>
        <v/>
      </c>
      <c r="H2148" s="92" t="n">
        <v>48</v>
      </c>
      <c r="I2148" s="2162" t="n">
        <v>0</v>
      </c>
      <c r="J2148" s="2162" t="n">
        <v>0</v>
      </c>
      <c r="K2148" s="2162" t="n"/>
    </row>
    <row r="2149" outlineLevel="2" ht="15.75" customHeight="1">
      <c r="A2149" s="1067" t="n">
        <v>1</v>
      </c>
      <c r="B2149" s="1067" t="inlineStr">
        <is>
          <t>Serviço</t>
        </is>
      </c>
      <c r="C2149" s="1067" t="inlineStr">
        <is>
          <t>Mão de obra para assentamento de blocos de silico calcarios</t>
        </is>
      </c>
      <c r="D2149" s="1067" t="inlineStr">
        <is>
          <t>Mão de obra para assentamento de blocos de silico calcarios</t>
        </is>
      </c>
      <c r="E2149" s="1068" t="inlineStr">
        <is>
          <t>M2</t>
        </is>
      </c>
      <c r="F2149" s="1075" t="n"/>
      <c r="G2149" s="1069">
        <f t="array" ref="G2149">IF(B2149="insumo",_xlfn.XLOOKUP($D2149,Insumos!$B$1:$B$996,Insumos!$D$1:$D$996),"")</f>
        <v/>
      </c>
      <c r="H2149" s="1069" t="n">
        <v>47</v>
      </c>
      <c r="I2149" s="2161" t="e">
        <v>#REF!</v>
      </c>
      <c r="J2149" s="2161" t="e">
        <v>#REF!</v>
      </c>
      <c r="K2149" s="2161" t="n"/>
    </row>
    <row r="2150" outlineLevel="3" ht="15.75" customHeight="1">
      <c r="A2150" s="10" t="n">
        <v>1</v>
      </c>
      <c r="B2150" s="10" t="inlineStr">
        <is>
          <t>Insumo</t>
        </is>
      </c>
      <c r="C2150" s="10" t="inlineStr">
        <is>
          <t>Mão de obra para assentamento de blocos de silico calcarios</t>
        </is>
      </c>
      <c r="D2150" s="10" t="inlineStr">
        <is>
          <t>Mão de obra para assentamento de blocos de silico calcarios</t>
        </is>
      </c>
      <c r="E2150" s="11">
        <f t="array" ref="E2150">_xlfn.XLOOKUP(D2150,Insumos!B:B,Insumos!C:$C)</f>
        <v/>
      </c>
      <c r="F2150" s="14" t="n">
        <v>1</v>
      </c>
      <c r="G2150" s="92">
        <f t="array" ref="G2150">IF(B2150="insumo",_xlfn.XLOOKUP($D2150,Insumos!$B$1:$B$996,Insumos!$D$1:$D$996),"")</f>
        <v/>
      </c>
      <c r="H2150" s="92" t="n">
        <v>47</v>
      </c>
      <c r="I2150" s="2162" t="e">
        <v>#REF!</v>
      </c>
      <c r="J2150" s="2162" t="e">
        <v>#REF!</v>
      </c>
      <c r="K2150" s="2162" t="n"/>
    </row>
    <row r="2151" outlineLevel="2" ht="15.75" customHeight="1">
      <c r="A2151" s="1067" t="n">
        <v>1</v>
      </c>
      <c r="B2151" s="1067" t="inlineStr">
        <is>
          <t>Serviço</t>
        </is>
      </c>
      <c r="C2151" s="1067" t="inlineStr">
        <is>
          <t>Mão de obra para assentamento de blocos concreto</t>
        </is>
      </c>
      <c r="D2151" s="1067" t="inlineStr">
        <is>
          <t>Mão de obra para assentamento de blocos concreto</t>
        </is>
      </c>
      <c r="E2151" s="1068" t="inlineStr">
        <is>
          <t>M2</t>
        </is>
      </c>
      <c r="F2151" s="1075" t="n"/>
      <c r="G2151" s="1069">
        <f t="array" ref="G2151">IF(B2151="insumo",_xlfn.XLOOKUP($D2151,Insumos!$B$1:$B$996,Insumos!$D$1:$D$996),"")</f>
        <v/>
      </c>
      <c r="H2151" s="1069" t="n">
        <v>47</v>
      </c>
      <c r="I2151" s="2161" t="n">
        <v>0</v>
      </c>
      <c r="J2151" s="2161" t="n">
        <v>0</v>
      </c>
      <c r="K2151" s="2161" t="n"/>
    </row>
    <row r="2152" outlineLevel="3" ht="15.75" customHeight="1">
      <c r="A2152" s="10" t="n">
        <v>1</v>
      </c>
      <c r="B2152" s="10" t="inlineStr">
        <is>
          <t>Insumo</t>
        </is>
      </c>
      <c r="C2152" s="10" t="inlineStr">
        <is>
          <t>Mão de obra para assentamento de blocos concreto</t>
        </is>
      </c>
      <c r="D2152" s="10" t="inlineStr">
        <is>
          <t>Mão de obra para assentamento de blocos concreto</t>
        </is>
      </c>
      <c r="E2152" s="11">
        <f t="array" ref="E2152">_xlfn.XLOOKUP(D2152,Insumos!B:B,Insumos!C:$C)</f>
        <v/>
      </c>
      <c r="F2152" s="14" t="n">
        <v>1</v>
      </c>
      <c r="G2152" s="92">
        <f t="array" ref="G2152">IF(B2152="insumo",_xlfn.XLOOKUP($D2152,Insumos!$B$1:$B$996,Insumos!$D$1:$D$996),"")</f>
        <v/>
      </c>
      <c r="H2152" s="92" t="n">
        <v>47</v>
      </c>
      <c r="I2152" s="2162" t="n">
        <v>0</v>
      </c>
      <c r="J2152" s="2162" t="n">
        <v>0</v>
      </c>
      <c r="K2152" s="2162" t="n"/>
    </row>
    <row r="2153" outlineLevel="2" ht="15.75" customHeight="1">
      <c r="A2153" s="1067" t="n">
        <v>1</v>
      </c>
      <c r="B2153" s="1067" t="inlineStr">
        <is>
          <t>Serviço</t>
        </is>
      </c>
      <c r="C2153" s="1067" t="inlineStr">
        <is>
          <t xml:space="preserve">Mão de obra para Sistema de vedação em drywall </t>
        </is>
      </c>
      <c r="D2153" s="1067" t="inlineStr">
        <is>
          <t xml:space="preserve">Mão de obra para Sistema de vedação em drywall </t>
        </is>
      </c>
      <c r="E2153" s="1068" t="inlineStr">
        <is>
          <t>M2</t>
        </is>
      </c>
      <c r="F2153" s="1067" t="n"/>
      <c r="G2153" s="1069">
        <f t="array" ref="G2153">IF(B2153="insumo",_xlfn.XLOOKUP($D2153,Insumos!$B$1:$B$996,Insumos!$D$1:$D$996),"")</f>
        <v/>
      </c>
      <c r="H2153" s="1069" t="e">
        <v>#REF!</v>
      </c>
      <c r="I2153" s="2161" t="e">
        <v>#REF!</v>
      </c>
      <c r="J2153" s="2161" t="e">
        <v>#REF!</v>
      </c>
      <c r="K2153" s="2161" t="n"/>
    </row>
    <row r="2154" outlineLevel="3" ht="15.75" customHeight="1">
      <c r="A2154" s="10" t="n">
        <v>1</v>
      </c>
      <c r="B2154" s="10" t="inlineStr">
        <is>
          <t>Insumo</t>
        </is>
      </c>
      <c r="C2154" s="10" t="inlineStr">
        <is>
          <t xml:space="preserve">Mão de obra para Sistema de vedação em drywall </t>
        </is>
      </c>
      <c r="D2154" s="10" t="inlineStr">
        <is>
          <t xml:space="preserve">Mão de obra para Sistema de vedação em drywall </t>
        </is>
      </c>
      <c r="E2154" s="11">
        <f t="array" ref="E2154">_xlfn.XLOOKUP(D2154,Insumos!B:B,Insumos!C:$C)</f>
        <v/>
      </c>
      <c r="F2154" s="14" t="n">
        <v>1</v>
      </c>
      <c r="G2154" s="92">
        <f t="array" ref="G2154">IF(B2154="insumo",_xlfn.XLOOKUP($D2154,Insumos!$B$1:$B$996,Insumos!$D$1:$D$996),"")</f>
        <v/>
      </c>
      <c r="H2154" s="92" t="e">
        <v>#REF!</v>
      </c>
      <c r="I2154" s="2162" t="e">
        <v>#REF!</v>
      </c>
      <c r="J2154" s="2162" t="e">
        <v>#REF!</v>
      </c>
      <c r="K2154" s="2162" t="n"/>
    </row>
    <row r="2155" outlineLevel="2" ht="15.75" customHeight="1">
      <c r="A2155" s="1067" t="n">
        <v>1</v>
      </c>
      <c r="B2155" s="1067" t="inlineStr">
        <is>
          <t>Serviço</t>
        </is>
      </c>
      <c r="C2155" s="1067" t="inlineStr">
        <is>
          <t>Mão de obra para assentamento de blocos concreto Estrutural</t>
        </is>
      </c>
      <c r="D2155" s="1067" t="inlineStr">
        <is>
          <t>Mão de obra para assentamento de blocos concreto Estrutural</t>
        </is>
      </c>
      <c r="E2155" s="1068" t="inlineStr">
        <is>
          <t>M2</t>
        </is>
      </c>
      <c r="F2155" s="1075" t="n"/>
      <c r="G2155" s="1069">
        <f t="array" ref="G2155">IF(B2155="insumo",_xlfn.XLOOKUP($D2155,Insumos!$B$1:$B$996,Insumos!$D$1:$D$996),"")</f>
        <v/>
      </c>
      <c r="H2155" s="1069" t="n">
        <v>48</v>
      </c>
      <c r="I2155" s="2161" t="n">
        <v>0</v>
      </c>
      <c r="J2155" s="2161" t="n">
        <v>0</v>
      </c>
      <c r="K2155" s="2161" t="n"/>
    </row>
    <row r="2156" outlineLevel="3" ht="15.75" customHeight="1">
      <c r="A2156" s="10" t="n">
        <v>1</v>
      </c>
      <c r="B2156" s="10" t="inlineStr">
        <is>
          <t>Insumo</t>
        </is>
      </c>
      <c r="C2156" s="10" t="inlineStr">
        <is>
          <t>Mão de obra para assentamento de blocos concreto Estrutural</t>
        </is>
      </c>
      <c r="D2156" s="10" t="inlineStr">
        <is>
          <t>Mão de obra para assentamento de blocos concreto Estrutural</t>
        </is>
      </c>
      <c r="E2156" s="11">
        <f t="array" ref="E2156">_xlfn.XLOOKUP(D2156,Insumos!B:B,Insumos!C:$C)</f>
        <v/>
      </c>
      <c r="F2156" s="14" t="n">
        <v>1</v>
      </c>
      <c r="G2156" s="92">
        <f t="array" ref="G2156">IF(B2156="insumo",_xlfn.XLOOKUP($D2156,Insumos!$B$1:$B$996,Insumos!$D$1:$D$996),"")</f>
        <v/>
      </c>
      <c r="H2156" s="92" t="n">
        <v>48</v>
      </c>
      <c r="I2156" s="2162" t="n">
        <v>0</v>
      </c>
      <c r="J2156" s="2162" t="n">
        <v>0</v>
      </c>
      <c r="K2156" s="2162" t="n"/>
    </row>
    <row r="2157" ht="15.75" customHeight="1">
      <c r="A2157" s="7" t="n">
        <v>1</v>
      </c>
      <c r="B2157" s="7" t="inlineStr">
        <is>
          <t>Etapa</t>
        </is>
      </c>
      <c r="C2157" s="7" t="inlineStr">
        <is>
          <t>Mão de obra para assentamento de blocos concreto Estrutural</t>
        </is>
      </c>
      <c r="D2157" s="7" t="inlineStr">
        <is>
          <t>SISTEMAS E INSTALAÇÕES HIDROSSANITÁRIAS E DRENAGEM</t>
        </is>
      </c>
      <c r="E2157" s="8" t="n"/>
      <c r="F2157" s="2159" t="n"/>
      <c r="G2157" s="91">
        <f t="array" ref="G2157">IF(B2157="insumo",_xlfn.XLOOKUP($D2157,Insumos!$B$1:$B$996,Insumos!$D$1:$D$996),"")</f>
        <v/>
      </c>
      <c r="H2157" s="91" t="n">
        <v>0</v>
      </c>
      <c r="I2157" s="2159" t="n">
        <v>0</v>
      </c>
      <c r="J2157" s="2159" t="n">
        <v>0</v>
      </c>
      <c r="K2157" s="2159" t="n"/>
    </row>
    <row r="2158" ht="15.75" customHeight="1">
      <c r="A2158" s="7" t="n">
        <v>1</v>
      </c>
      <c r="B2158" s="7" t="inlineStr">
        <is>
          <t>Etapa</t>
        </is>
      </c>
      <c r="C2158" s="7" t="inlineStr">
        <is>
          <t>Mão de obra para assentamento de blocos concreto Estrutural</t>
        </is>
      </c>
      <c r="D2158" s="7" t="inlineStr">
        <is>
          <t>SISTEMAS E INSTALAÇÕES ELÉTRICAS</t>
        </is>
      </c>
      <c r="E2158" s="8" t="n"/>
      <c r="F2158" s="2159" t="n"/>
      <c r="G2158" s="91">
        <f t="array" ref="G2158">IF(B2158="insumo",_xlfn.XLOOKUP($D2158,Insumos!$B$1:$B$996,Insumos!$D$1:$D$996),"")</f>
        <v/>
      </c>
      <c r="H2158" s="91" t="n">
        <v>0</v>
      </c>
      <c r="I2158" s="2159" t="n">
        <v>0</v>
      </c>
      <c r="J2158" s="2159" t="n">
        <v>0</v>
      </c>
      <c r="K2158" s="2159" t="n"/>
    </row>
    <row r="2159" ht="15.75" customHeight="1">
      <c r="A2159" s="7" t="n">
        <v>1</v>
      </c>
      <c r="B2159" s="7" t="inlineStr">
        <is>
          <t>Etapa</t>
        </is>
      </c>
      <c r="C2159" s="7" t="inlineStr">
        <is>
          <t>Mão de obra para assentamento de blocos concreto Estrutural</t>
        </is>
      </c>
      <c r="D2159" s="7" t="inlineStr">
        <is>
          <t xml:space="preserve">INSTALAÇÕES PREVENTIVAS E GLP </t>
        </is>
      </c>
      <c r="E2159" s="8" t="n"/>
      <c r="F2159" s="2159" t="n"/>
      <c r="G2159" s="91">
        <f t="array" ref="G2159">IF(B2159="insumo",_xlfn.XLOOKUP($D2159,Insumos!$B$1:$B$996,Insumos!$D$1:$D$996),"")</f>
        <v/>
      </c>
      <c r="H2159" s="91" t="n">
        <v>0</v>
      </c>
      <c r="I2159" s="2159" t="n">
        <v>0</v>
      </c>
      <c r="J2159" s="2159" t="n">
        <v>0</v>
      </c>
      <c r="K2159" s="2159" t="n"/>
    </row>
    <row r="2160" ht="15.75" customHeight="1">
      <c r="A2160" s="7" t="n">
        <v>1</v>
      </c>
      <c r="B2160" s="7" t="inlineStr">
        <is>
          <t>Etapa</t>
        </is>
      </c>
      <c r="C2160" s="7" t="inlineStr">
        <is>
          <t>Mão de obra para assentamento de blocos concreto Estrutural</t>
        </is>
      </c>
      <c r="D2160" s="7" t="inlineStr">
        <is>
          <t>EQUIPAMENTOS E SISTEMAS ESPECIAIS</t>
        </is>
      </c>
      <c r="E2160" s="8" t="n"/>
      <c r="F2160" s="2159" t="n"/>
      <c r="G2160" s="91">
        <f t="array" ref="G2160">IF(B2160="insumo",_xlfn.XLOOKUP($D2160,Insumos!$B$1:$B$996,Insumos!$D$1:$D$996),"")</f>
        <v/>
      </c>
      <c r="H2160" s="91" t="n">
        <v>0</v>
      </c>
      <c r="I2160" s="2159" t="n">
        <v>0</v>
      </c>
      <c r="J2160" s="2159" t="n">
        <v>0</v>
      </c>
      <c r="K2160" s="2159" t="n"/>
    </row>
    <row r="2161" outlineLevel="1" ht="15.75" customHeight="1">
      <c r="A2161" s="1090" t="n">
        <v>1</v>
      </c>
      <c r="B2161" s="1090" t="inlineStr">
        <is>
          <t>Subetapa</t>
        </is>
      </c>
      <c r="C2161" s="1090" t="inlineStr">
        <is>
          <t>Mão de obra para assentamento de blocos concreto Estrutural</t>
        </is>
      </c>
      <c r="D2161" s="1090" t="inlineStr">
        <is>
          <t>EQUIPAMENTOS</t>
        </is>
      </c>
      <c r="E2161" s="1091" t="n"/>
      <c r="F2161" s="2160" t="n"/>
      <c r="G2161" s="1091" t="n"/>
      <c r="H2161" s="1091" t="n">
        <v>0</v>
      </c>
      <c r="I2161" s="2160" t="n">
        <v>0</v>
      </c>
      <c r="J2161" s="2160" t="n">
        <v>0</v>
      </c>
      <c r="K2161" s="2160" t="n"/>
    </row>
    <row r="2162" outlineLevel="2" ht="15.75" customHeight="1">
      <c r="A2162" s="1067" t="n">
        <v>1</v>
      </c>
      <c r="B2162" s="1067" t="inlineStr">
        <is>
          <t>Serviço</t>
        </is>
      </c>
      <c r="C2162" s="1067" t="inlineStr">
        <is>
          <t>Churrasqueiras kit Gourmet Médio Inox 304</t>
        </is>
      </c>
      <c r="D2162" s="1067" t="inlineStr">
        <is>
          <t>Churrasqueiras kit Gourmet Médio Inox 304</t>
        </is>
      </c>
      <c r="E2162" s="1068" t="inlineStr">
        <is>
          <t>UN</t>
        </is>
      </c>
      <c r="F2162" s="1067" t="n"/>
      <c r="G2162" s="1069">
        <f t="array" ref="G2162">IF(B2162="insumo",_xlfn.XLOOKUP($D2162,Insumos!$B$1:$B$996,Insumos!$D$1:$D$996),"")</f>
        <v/>
      </c>
      <c r="H2162" s="1069" t="n">
        <v>6600</v>
      </c>
      <c r="I2162" s="2161" t="n">
        <v>0</v>
      </c>
      <c r="J2162" s="2161" t="n">
        <v>0</v>
      </c>
      <c r="K2162" s="2161" t="n"/>
    </row>
    <row r="2163" outlineLevel="3" ht="15.75" customHeight="1">
      <c r="A2163" s="10" t="n">
        <v>2</v>
      </c>
      <c r="B2163" s="10" t="inlineStr">
        <is>
          <t>Insumo</t>
        </is>
      </c>
      <c r="C2163" s="10" t="inlineStr">
        <is>
          <t>Churrasqueiras kit Gourmet Médio Inox 304</t>
        </is>
      </c>
      <c r="D2163" s="10" t="inlineStr">
        <is>
          <t>Instalação de Churrasqueiras</t>
        </is>
      </c>
      <c r="E2163" s="11">
        <f t="array" ref="E2163">_xlfn.XLOOKUP(D2163,Insumos!B:B,Insumos!C:$C)</f>
        <v/>
      </c>
      <c r="F2163" s="14" t="n">
        <v>1</v>
      </c>
      <c r="G2163" s="92">
        <f t="array" ref="G2163">IF(B2163="insumo",_xlfn.XLOOKUP($D2163,Insumos!$B$1:$B$996,Insumos!$D$1:$D$996),"")</f>
        <v/>
      </c>
      <c r="H2163" s="92" t="n">
        <v>400</v>
      </c>
      <c r="I2163" s="2162" t="n">
        <v>0</v>
      </c>
      <c r="J2163" s="2162" t="n">
        <v>0</v>
      </c>
      <c r="K2163" s="2162" t="n"/>
    </row>
    <row r="2164" outlineLevel="3" ht="15.75" customHeight="1">
      <c r="A2164" s="10" t="n">
        <v>1</v>
      </c>
      <c r="B2164" s="10" t="inlineStr">
        <is>
          <t>Insumo</t>
        </is>
      </c>
      <c r="C2164" s="10" t="inlineStr">
        <is>
          <t>Churrasqueiras kit Gourmet Médio Inox 304</t>
        </is>
      </c>
      <c r="D2164" s="10" t="inlineStr">
        <is>
          <t>Churrasqueiras kit Gourmet Médio Inox 304</t>
        </is>
      </c>
      <c r="E2164" s="11">
        <f t="array" ref="E2164">_xlfn.XLOOKUP(D2164,Insumos!B:B,Insumos!C:$C)</f>
        <v/>
      </c>
      <c r="F2164" s="14" t="n">
        <v>1</v>
      </c>
      <c r="G2164" s="92">
        <f t="array" ref="G2164">IF(B2164="insumo",_xlfn.XLOOKUP($D2164,Insumos!$B$1:$B$996,Insumos!$D$1:$D$996),"")</f>
        <v/>
      </c>
      <c r="H2164" s="92" t="n">
        <v>6200</v>
      </c>
      <c r="I2164" s="2162" t="n">
        <v>0</v>
      </c>
      <c r="J2164" s="2162" t="n">
        <v>0</v>
      </c>
      <c r="K2164" s="2162" t="n"/>
    </row>
    <row r="2165" outlineLevel="2" ht="15.75" customHeight="1">
      <c r="A2165" s="1067" t="n">
        <v>1</v>
      </c>
      <c r="B2165" s="1067" t="inlineStr">
        <is>
          <t>Serviço</t>
        </is>
      </c>
      <c r="C2165" s="1067" t="inlineStr">
        <is>
          <t>Churrasqueiras Pré-Moldadas</t>
        </is>
      </c>
      <c r="D2165" s="1067" t="inlineStr">
        <is>
          <t>Churrasqueiras Pré-Moldadas</t>
        </is>
      </c>
      <c r="E2165" s="1068" t="inlineStr">
        <is>
          <t>UN</t>
        </is>
      </c>
      <c r="F2165" s="1067" t="n"/>
      <c r="G2165" s="1069">
        <f t="array" ref="G2165">IF(B2165="insumo",_xlfn.XLOOKUP($D2165,Insumos!$B$1:$B$996,Insumos!$D$1:$D$996),"")</f>
        <v/>
      </c>
      <c r="H2165" s="1069" t="n">
        <v>1800</v>
      </c>
      <c r="I2165" s="2161" t="n">
        <v>42</v>
      </c>
      <c r="J2165" s="2161" t="n">
        <v>75600</v>
      </c>
      <c r="K2165" s="2161" t="n"/>
    </row>
    <row r="2166" outlineLevel="3" ht="15.75" customHeight="1">
      <c r="A2166" s="10" t="n">
        <v>2</v>
      </c>
      <c r="B2166" s="10" t="inlineStr">
        <is>
          <t>Insumo</t>
        </is>
      </c>
      <c r="C2166" s="10" t="inlineStr">
        <is>
          <t>Churrasqueiras Pré-Moldadas</t>
        </is>
      </c>
      <c r="D2166" s="10" t="inlineStr">
        <is>
          <t>Instalação de Churrasqueiras</t>
        </is>
      </c>
      <c r="E2166" s="11">
        <f t="array" ref="E2166">_xlfn.XLOOKUP(D2166,Insumos!B:B,Insumos!C:$C)</f>
        <v/>
      </c>
      <c r="F2166" s="14" t="n">
        <v>1</v>
      </c>
      <c r="G2166" s="92">
        <f t="array" ref="G2166">IF(B2166="insumo",_xlfn.XLOOKUP($D2166,Insumos!$B$1:$B$996,Insumos!$D$1:$D$996),"")</f>
        <v/>
      </c>
      <c r="H2166" s="92" t="n">
        <v>400</v>
      </c>
      <c r="I2166" s="2162" t="n">
        <v>42</v>
      </c>
      <c r="J2166" s="2162" t="n">
        <v>16800</v>
      </c>
      <c r="K2166" s="2162" t="n"/>
    </row>
    <row r="2167" outlineLevel="3" ht="15.75" customHeight="1">
      <c r="A2167" s="10" t="n">
        <v>1</v>
      </c>
      <c r="B2167" s="10" t="inlineStr">
        <is>
          <t>Insumo</t>
        </is>
      </c>
      <c r="C2167" s="10" t="inlineStr">
        <is>
          <t>Churrasqueiras Pré-Moldadas</t>
        </is>
      </c>
      <c r="D2167" s="10" t="inlineStr">
        <is>
          <t>Churrasqueiras Pré-Moldadas</t>
        </is>
      </c>
      <c r="E2167" s="11">
        <f t="array" ref="E2167">_xlfn.XLOOKUP(D2167,Insumos!B:B,Insumos!C:$C)</f>
        <v/>
      </c>
      <c r="F2167" s="14" t="n">
        <v>1</v>
      </c>
      <c r="G2167" s="92">
        <f t="array" ref="G2167">IF(B2167="insumo",_xlfn.XLOOKUP($D2167,Insumos!$B$1:$B$996,Insumos!$D$1:$D$996),"")</f>
        <v/>
      </c>
      <c r="H2167" s="92" t="n">
        <v>1400</v>
      </c>
      <c r="I2167" s="2162" t="n">
        <v>42</v>
      </c>
      <c r="J2167" s="2162" t="n">
        <v>58800</v>
      </c>
      <c r="K2167" s="2162" t="n"/>
    </row>
    <row r="2168" ht="15.75" customHeight="1">
      <c r="A2168" s="7" t="n">
        <v>1</v>
      </c>
      <c r="B2168" s="7" t="inlineStr">
        <is>
          <t>Etapa</t>
        </is>
      </c>
      <c r="C2168" s="7" t="inlineStr">
        <is>
          <t>Churrasqueiras Pré-Moldadas</t>
        </is>
      </c>
      <c r="D2168" s="7" t="inlineStr">
        <is>
          <t>IMPERMEABILIZAÇÃO E TRATAMENTOS</t>
        </is>
      </c>
      <c r="E2168" s="8" t="n"/>
      <c r="F2168" s="2159" t="n"/>
      <c r="G2168" s="91">
        <f t="array" ref="G2168">IF(B2168="insumo",_xlfn.XLOOKUP($D2168,Insumos!$B$1:$B$996,Insumos!$D$1:$D$996),"")</f>
        <v/>
      </c>
      <c r="H2168" s="91" t="n">
        <v>0</v>
      </c>
      <c r="I2168" s="2159" t="n">
        <v>0</v>
      </c>
      <c r="J2168" s="2159" t="n">
        <v>0</v>
      </c>
      <c r="K2168" s="2159" t="n"/>
    </row>
    <row r="2169" outlineLevel="1" ht="15.75" customHeight="1">
      <c r="A2169" s="1090" t="n">
        <v>1</v>
      </c>
      <c r="B2169" s="1090" t="inlineStr">
        <is>
          <t>Subetapa</t>
        </is>
      </c>
      <c r="C2169" s="1090" t="inlineStr">
        <is>
          <t>Churrasqueiras Pré-Moldadas</t>
        </is>
      </c>
      <c r="D2169" s="1090" t="inlineStr">
        <is>
          <t>MATERIAIS</t>
        </is>
      </c>
      <c r="E2169" s="1091" t="n"/>
      <c r="F2169" s="2160" t="n"/>
      <c r="G2169" s="1091" t="n"/>
      <c r="H2169" s="1091" t="n">
        <v>0</v>
      </c>
      <c r="I2169" s="2160" t="n">
        <v>0</v>
      </c>
      <c r="J2169" s="2160" t="n">
        <v>0</v>
      </c>
      <c r="K2169" s="2160" t="n"/>
    </row>
    <row r="2170" outlineLevel="2" ht="15.75" customHeight="1">
      <c r="A2170" s="1067" t="n">
        <v>1</v>
      </c>
      <c r="B2170" s="1067" t="inlineStr">
        <is>
          <t>Serviço</t>
        </is>
      </c>
      <c r="C2170" s="1067" t="inlineStr">
        <is>
          <t xml:space="preserve">Regularização de superfície para impermeabilização </t>
        </is>
      </c>
      <c r="D2170" s="1067" t="inlineStr">
        <is>
          <t xml:space="preserve">Regularização de superfície para impermeabilização </t>
        </is>
      </c>
      <c r="E2170" s="1068" t="inlineStr">
        <is>
          <t>M2</t>
        </is>
      </c>
      <c r="F2170" s="1067" t="n"/>
      <c r="G2170" s="1069">
        <f t="array" ref="G2170">IF(B2170="insumo",_xlfn.XLOOKUP($D2170,Insumos!$B$1:$B$996,Insumos!$D$1:$D$996),"")</f>
        <v/>
      </c>
      <c r="H2170" s="1069" t="n">
        <v>7.0659</v>
      </c>
      <c r="I2170" s="2161" t="n">
        <v>3018.39</v>
      </c>
      <c r="J2170" s="2161" t="n">
        <v>21327.641901</v>
      </c>
      <c r="K2170" s="2161" t="n"/>
    </row>
    <row r="2171" outlineLevel="3" ht="15.75" customHeight="1">
      <c r="A2171" s="10" t="n">
        <v>10</v>
      </c>
      <c r="B2171" s="10" t="inlineStr">
        <is>
          <t>Insumo</t>
        </is>
      </c>
      <c r="C2171" s="10" t="inlineStr">
        <is>
          <t xml:space="preserve">Regularização de superfície para impermeabilização </t>
        </is>
      </c>
      <c r="D2171" s="10" t="inlineStr">
        <is>
          <t>AREIA MEDIA</t>
        </is>
      </c>
      <c r="E2171" s="11">
        <f t="array" ref="E2171">_xlfn.XLOOKUP(D2171,Insumos!B:B,Insumos!C:$C)</f>
        <v/>
      </c>
      <c r="F2171" s="14" t="n">
        <v>0.0155</v>
      </c>
      <c r="G2171" s="92">
        <f t="array" ref="G2171">IF(B2171="insumo",_xlfn.XLOOKUP($D2171,Insumos!$B$1:$B$996,Insumos!$D$1:$D$996),"")</f>
        <v/>
      </c>
      <c r="H2171" s="92" t="n">
        <v>2.2475</v>
      </c>
      <c r="I2171" s="2162" t="n">
        <v>3018.39</v>
      </c>
      <c r="J2171" s="2162" t="n">
        <v>6783.831525</v>
      </c>
      <c r="K2171" s="2162" t="n"/>
    </row>
    <row r="2172" outlineLevel="3" ht="15.75" customHeight="1">
      <c r="A2172" s="10" t="n">
        <v>62</v>
      </c>
      <c r="B2172" s="10" t="inlineStr">
        <is>
          <t>Insumo</t>
        </is>
      </c>
      <c r="C2172" s="10" t="inlineStr">
        <is>
          <t xml:space="preserve">Regularização de superfície para impermeabilização </t>
        </is>
      </c>
      <c r="D2172" s="10" t="inlineStr">
        <is>
          <t>Cimento Portland Composto CP II-32</t>
        </is>
      </c>
      <c r="E2172" s="11">
        <f t="array" ref="E2172">_xlfn.XLOOKUP(D2172,Insumos!B:B,Insumos!C:$C)</f>
        <v/>
      </c>
      <c r="F2172" s="14" t="n">
        <v>6.34</v>
      </c>
      <c r="G2172" s="92">
        <f t="array" ref="G2172">IF(B2172="insumo",_xlfn.XLOOKUP($D2172,Insumos!$B$1:$B$996,Insumos!$D$1:$D$996),"")</f>
        <v/>
      </c>
      <c r="H2172" s="92" t="n">
        <v>4.8184</v>
      </c>
      <c r="I2172" s="2162" t="n">
        <v>3018.39</v>
      </c>
      <c r="J2172" s="2162" t="n">
        <v>14543.810376</v>
      </c>
      <c r="K2172" s="2162" t="n"/>
    </row>
    <row r="2173" outlineLevel="2" ht="15.75" customHeight="1">
      <c r="A2173" s="1067" t="n">
        <v>1</v>
      </c>
      <c r="B2173" s="1067" t="inlineStr">
        <is>
          <t>Serviço</t>
        </is>
      </c>
      <c r="C2173" s="1067" t="inlineStr">
        <is>
          <t>Proteção mecânica de superfície com argamassa de cimento e areia, traço 1:3 E=5cm</t>
        </is>
      </c>
      <c r="D2173" s="1067" t="inlineStr">
        <is>
          <t>Proteção mecânica de superfície com argamassa de cimento e areia, traço 1:3 E=5cm</t>
        </is>
      </c>
      <c r="E2173" s="1068" t="inlineStr">
        <is>
          <t>M2</t>
        </is>
      </c>
      <c r="F2173" s="1067" t="n"/>
      <c r="G2173" s="1069">
        <f t="array" ref="G2173">IF(B2173="insumo",_xlfn.XLOOKUP($D2173,Insumos!$B$1:$B$996,Insumos!$D$1:$D$996),"")</f>
        <v/>
      </c>
      <c r="H2173" s="1069" t="n">
        <v>49.3585</v>
      </c>
      <c r="I2173" s="2161" t="n">
        <v>1014.45</v>
      </c>
      <c r="J2173" s="2161" t="n">
        <v>50071.730325</v>
      </c>
      <c r="K2173" s="2161" t="n"/>
    </row>
    <row r="2174" outlineLevel="3" ht="15.75" customHeight="1">
      <c r="A2174" s="10" t="n">
        <v>32</v>
      </c>
      <c r="B2174" s="10" t="inlineStr">
        <is>
          <t>Insumo</t>
        </is>
      </c>
      <c r="C2174" s="10" t="inlineStr">
        <is>
          <t>Proteção mecânica de superfície com argamassa de cimento e areia, traço 1:3 E=5cm</t>
        </is>
      </c>
      <c r="D2174" s="10" t="inlineStr">
        <is>
          <t>Argamassa usninada para contrapiso</t>
        </is>
      </c>
      <c r="E2174" s="11">
        <f t="array" ref="E2174">_xlfn.XLOOKUP(D2174,Insumos!B:B,Insumos!C:$C)</f>
        <v/>
      </c>
      <c r="F2174" s="14" t="n">
        <v>0.0625</v>
      </c>
      <c r="G2174" s="92">
        <f t="array" ref="G2174">IF(B2174="insumo",_xlfn.XLOOKUP($D2174,Insumos!$B$1:$B$996,Insumos!$D$1:$D$996),"")</f>
        <v/>
      </c>
      <c r="H2174" s="92" t="n">
        <v>34.375</v>
      </c>
      <c r="I2174" s="2162" t="n">
        <v>1014.45</v>
      </c>
      <c r="J2174" s="2162" t="n">
        <v>34871.71875</v>
      </c>
      <c r="K2174" s="2162" t="n"/>
    </row>
    <row r="2175" outlineLevel="3" ht="15.75" customHeight="1">
      <c r="A2175" s="10" t="n">
        <v>3</v>
      </c>
      <c r="B2175" s="10" t="inlineStr">
        <is>
          <t>Insumo</t>
        </is>
      </c>
      <c r="C2175" s="10" t="inlineStr">
        <is>
          <t>Proteção mecânica de superfície com argamassa de cimento e areia, traço 1:3 E=5cm</t>
        </is>
      </c>
      <c r="D2175" s="10" t="inlineStr">
        <is>
          <t>Tela de arame galvanizada, hexagonal, fio 0,56 mm (24 bwg), malha 1/2", h = 1 m</t>
        </is>
      </c>
      <c r="E2175" s="11">
        <f t="array" ref="E2175">_xlfn.XLOOKUP(D2175,Insumos!B:B,Insumos!C:$C)</f>
        <v/>
      </c>
      <c r="F2175" s="14" t="n">
        <v>1.05</v>
      </c>
      <c r="G2175" s="92">
        <f t="array" ref="G2175">IF(B2175="insumo",_xlfn.XLOOKUP($D2175,Insumos!$B$1:$B$996,Insumos!$D$1:$D$996),"")</f>
        <v/>
      </c>
      <c r="H2175" s="92" t="n">
        <v>14.9835</v>
      </c>
      <c r="I2175" s="2162" t="n">
        <v>1014.45</v>
      </c>
      <c r="J2175" s="2162" t="n">
        <v>15200.011575</v>
      </c>
      <c r="K2175" s="2162" t="n"/>
    </row>
    <row r="2176" outlineLevel="2" ht="15.75" customHeight="1">
      <c r="A2176" s="1067" t="n">
        <v>1</v>
      </c>
      <c r="B2176" s="1067" t="inlineStr">
        <is>
          <t>Serviço</t>
        </is>
      </c>
      <c r="C2176" s="1067" t="inlineStr">
        <is>
          <t>Impermeabilização de Baldrames com Tinta Asfáltica (Neutrol)</t>
        </is>
      </c>
      <c r="D2176" s="1067" t="inlineStr">
        <is>
          <t>Impermeabilização de Baldrames com Tinta Asfáltica (Neutrol)</t>
        </is>
      </c>
      <c r="E2176" s="1068" t="inlineStr">
        <is>
          <t>M2</t>
        </is>
      </c>
      <c r="F2176" s="1067" t="n"/>
      <c r="G2176" s="1069">
        <f t="array" ref="G2176">IF(B2176="insumo",_xlfn.XLOOKUP($D2176,Insumos!$B$1:$B$996,Insumos!$D$1:$D$996),"")</f>
        <v/>
      </c>
      <c r="H2176" s="1069" t="n">
        <v>29.16</v>
      </c>
      <c r="I2176" s="2161" t="n">
        <v>698.85</v>
      </c>
      <c r="J2176" s="2161" t="n">
        <v>20378.466</v>
      </c>
      <c r="K2176" s="2161" t="n"/>
    </row>
    <row r="2177" outlineLevel="3" ht="15.75" customHeight="1">
      <c r="A2177" s="10" t="n">
        <v>2</v>
      </c>
      <c r="B2177" s="10" t="inlineStr">
        <is>
          <t>Insumo</t>
        </is>
      </c>
      <c r="C2177" s="10" t="inlineStr">
        <is>
          <t>Impermeabilização de Baldrames com Tinta Asfáltica (Neutrol)</t>
        </is>
      </c>
      <c r="D2177" s="10" t="inlineStr">
        <is>
          <t>emulsão asfáltica de alta resistência química</t>
        </is>
      </c>
      <c r="E2177" s="11">
        <f t="array" ref="E2177">_xlfn.XLOOKUP(D2177,Insumos!B:B,Insumos!C:$C)</f>
        <v/>
      </c>
      <c r="F2177" s="14" t="n">
        <v>1.5</v>
      </c>
      <c r="G2177" s="92">
        <f t="array" ref="G2177">IF(B2177="insumo",_xlfn.XLOOKUP($D2177,Insumos!$B$1:$B$996,Insumos!$D$1:$D$996),"")</f>
        <v/>
      </c>
      <c r="H2177" s="92" t="n">
        <v>29.16</v>
      </c>
      <c r="I2177" s="2162" t="n">
        <v>698.85</v>
      </c>
      <c r="J2177" s="2162" t="n">
        <v>20378.466</v>
      </c>
      <c r="K2177" s="2162" t="n"/>
    </row>
    <row r="2178" outlineLevel="2" ht="15.75" customHeight="1">
      <c r="A2178" s="1067" t="n">
        <v>1</v>
      </c>
      <c r="B2178" s="1067" t="inlineStr">
        <is>
          <t>Serviço</t>
        </is>
      </c>
      <c r="C2178" s="1067" t="inlineStr">
        <is>
          <t>Impermeabilização de Laje Sob Solo com Tinta Asfáltica (Neutrol) Com Adtivo</t>
        </is>
      </c>
      <c r="D2178" s="1067" t="inlineStr">
        <is>
          <t>Impermeabilização de Laje Sob Solo com Tinta Asfáltica (Neutrol) Com Adtivo</t>
        </is>
      </c>
      <c r="E2178" s="1068" t="inlineStr">
        <is>
          <t>M2</t>
        </is>
      </c>
      <c r="F2178" s="1067" t="n"/>
      <c r="G2178" s="1069">
        <f t="array" ref="G2178">IF(B2178="insumo",_xlfn.XLOOKUP($D2178,Insumos!$B$1:$B$996,Insumos!$D$1:$D$996),"")</f>
        <v/>
      </c>
      <c r="H2178" s="1069" t="n">
        <v>82.4933333333333</v>
      </c>
      <c r="I2178" s="2161" t="n">
        <v>0</v>
      </c>
      <c r="J2178" s="2161" t="n">
        <v>0</v>
      </c>
      <c r="K2178" s="2161" t="n"/>
    </row>
    <row r="2179" outlineLevel="3" ht="15.75" customHeight="1">
      <c r="A2179" s="10" t="n">
        <v>2</v>
      </c>
      <c r="B2179" s="10" t="inlineStr">
        <is>
          <t>Insumo</t>
        </is>
      </c>
      <c r="C2179" s="10" t="inlineStr">
        <is>
          <t>Impermeabilização de Laje Sob Solo com Tinta Asfáltica (Neutrol) Com Adtivo</t>
        </is>
      </c>
      <c r="D2179" s="10" t="inlineStr">
        <is>
          <t>emulsão asfáltica de alta resistência química</t>
        </is>
      </c>
      <c r="E2179" s="11">
        <f t="array" ref="E2179">_xlfn.XLOOKUP(D2179,Insumos!B:B,Insumos!C:$C)</f>
        <v/>
      </c>
      <c r="F2179" s="14" t="n">
        <v>1.5</v>
      </c>
      <c r="G2179" s="92">
        <f t="array" ref="G2179">IF(B2179="insumo",_xlfn.XLOOKUP($D2179,Insumos!$B$1:$B$996,Insumos!$D$1:$D$996),"")</f>
        <v/>
      </c>
      <c r="H2179" s="92" t="n">
        <v>29.16</v>
      </c>
      <c r="I2179" s="2162" t="n">
        <v>0</v>
      </c>
      <c r="J2179" s="2162" t="n">
        <v>0</v>
      </c>
      <c r="K2179" s="2162" t="n"/>
    </row>
    <row r="2180" outlineLevel="3" ht="15.75" customHeight="1">
      <c r="A2180" s="10" t="n">
        <v>2</v>
      </c>
      <c r="B2180" s="10" t="inlineStr">
        <is>
          <t>Insumo</t>
        </is>
      </c>
      <c r="C2180" s="10" t="inlineStr">
        <is>
          <t>Impermeabilização de Laje Sob Solo com Tinta Asfáltica (Neutrol) Com Adtivo</t>
        </is>
      </c>
      <c r="D2180" s="10" t="inlineStr">
        <is>
          <t>Aditivo Adesivo Liquido Para Impermeabilização</t>
        </is>
      </c>
      <c r="E2180" s="11">
        <f t="array" ref="E2180">_xlfn.XLOOKUP(D2180,Insumos!B:B,Insumos!C:$C)</f>
        <v/>
      </c>
      <c r="F2180" s="14" t="n">
        <v>0.8</v>
      </c>
      <c r="G2180" s="92">
        <f t="array" ref="G2180">IF(B2180="insumo",_xlfn.XLOOKUP($D2180,Insumos!$B$1:$B$996,Insumos!$D$1:$D$996),"")</f>
        <v/>
      </c>
      <c r="H2180" s="92" t="n">
        <v>53.3333333333333</v>
      </c>
      <c r="I2180" s="2162" t="n">
        <v>0</v>
      </c>
      <c r="J2180" s="2162" t="n">
        <v>0</v>
      </c>
      <c r="K2180" s="2162" t="n"/>
    </row>
    <row r="2181" outlineLevel="2" ht="15.75" customHeight="1">
      <c r="A2181" s="1067" t="n">
        <v>1</v>
      </c>
      <c r="B2181" s="1067" t="inlineStr">
        <is>
          <t>Serviço</t>
        </is>
      </c>
      <c r="C2181" s="1067" t="inlineStr">
        <is>
          <t>Impermeabilização De Superfície Com Mebrana Impermeável, Uma Camada, Inclusive Aplicação De Primer Asfáltico</t>
        </is>
      </c>
      <c r="D2181" s="1067" t="inlineStr">
        <is>
          <t>Impermeabilização De Superfície Com Mebrana Impermeável, Uma Camada, Inclusive Aplicação De Primer Asfáltico</t>
        </is>
      </c>
      <c r="E2181" s="1068" t="inlineStr">
        <is>
          <t>M2</t>
        </is>
      </c>
      <c r="F2181" s="1067" t="n"/>
      <c r="G2181" s="1069">
        <f t="array" ref="G2181">IF(B2181="insumo",_xlfn.XLOOKUP($D2181,Insumos!$B$1:$B$996,Insumos!$D$1:$D$996),"")</f>
        <v/>
      </c>
      <c r="H2181" s="1069" t="n">
        <v>26.9419153846154</v>
      </c>
      <c r="I2181" s="2161" t="n">
        <v>0</v>
      </c>
      <c r="J2181" s="2161" t="n">
        <v>0</v>
      </c>
      <c r="K2181" s="2161" t="n"/>
    </row>
    <row r="2182" outlineLevel="3" ht="15.75" customHeight="1">
      <c r="A2182" s="10" t="n">
        <v>7</v>
      </c>
      <c r="B2182" s="10" t="inlineStr">
        <is>
          <t>Insumo</t>
        </is>
      </c>
      <c r="C2182" s="10" t="inlineStr">
        <is>
          <t>Impermeabilização De Superfície Com Mebrana Impermeável, Uma Camada, Inclusive Aplicação De Primer Asfáltico</t>
        </is>
      </c>
      <c r="D2182" s="10" t="inlineStr">
        <is>
          <t>PRIMER PARA MANTA ASFALTICA A BASE DE ASFALTO MODIFICADO DILUIDO EM SOLVENTE, APLICACAO A FRIO</t>
        </is>
      </c>
      <c r="E2182" s="11">
        <f t="array" ref="E2182">_xlfn.XLOOKUP(D2182,Insumos!B:B,Insumos!C:$C)</f>
        <v/>
      </c>
      <c r="F2182" s="14" t="n">
        <v>0.615</v>
      </c>
      <c r="G2182" s="92">
        <f t="array" ref="G2182">IF(B2182="insumo",_xlfn.XLOOKUP($D2182,Insumos!$B$1:$B$996,Insumos!$D$1:$D$996),"")</f>
        <v/>
      </c>
      <c r="H2182" s="92" t="n">
        <v>14.4648</v>
      </c>
      <c r="I2182" s="2162" t="n">
        <v>0</v>
      </c>
      <c r="J2182" s="2162" t="n">
        <v>0</v>
      </c>
      <c r="K2182" s="2162" t="n"/>
    </row>
    <row r="2183" outlineLevel="3" ht="15.75" customHeight="1">
      <c r="A2183" s="10" t="n">
        <v>1</v>
      </c>
      <c r="B2183" s="10" t="inlineStr">
        <is>
          <t>Insumo</t>
        </is>
      </c>
      <c r="C2183" s="10" t="inlineStr">
        <is>
          <t>Impermeabilização De Superfície Com Mebrana Impermeável, Uma Camada, Inclusive Aplicação De Primer Asfáltico</t>
        </is>
      </c>
      <c r="D2183" s="10" t="inlineStr">
        <is>
          <t>Membrana Impermeável Respirável - 1,30x50m</t>
        </is>
      </c>
      <c r="E2183" s="11">
        <f t="array" ref="E2183">_xlfn.XLOOKUP(D2183,Insumos!B:B,Insumos!C:$C)</f>
        <v/>
      </c>
      <c r="F2183" s="14" t="n">
        <v>1.125</v>
      </c>
      <c r="G2183" s="92">
        <f t="array" ref="G2183">IF(B2183="insumo",_xlfn.XLOOKUP($D2183,Insumos!$B$1:$B$996,Insumos!$D$1:$D$996),"")</f>
        <v/>
      </c>
      <c r="H2183" s="92" t="n">
        <v>12.4771153846154</v>
      </c>
      <c r="I2183" s="2162" t="n">
        <v>0</v>
      </c>
      <c r="J2183" s="2162" t="n">
        <v>0</v>
      </c>
      <c r="K2183" s="2162" t="n"/>
    </row>
    <row r="2184" outlineLevel="2" ht="15.75" customHeight="1">
      <c r="A2184" s="1067" t="n">
        <v>1</v>
      </c>
      <c r="B2184" s="1067" t="inlineStr">
        <is>
          <t>Serviço</t>
        </is>
      </c>
      <c r="C2184" s="1067" t="inlineStr">
        <is>
          <t>Impermeabilização De Superfície Com Manta Asfáltica, Uma Camada, Inclusive Aplicação De Primer Asfáltico</t>
        </is>
      </c>
      <c r="D2184" s="1067" t="inlineStr">
        <is>
          <t>Impermeabilização De Superfície Com Manta Asfáltica, Uma Camada, Inclusive Aplicação De Primer Asfáltico</t>
        </is>
      </c>
      <c r="E2184" s="1068" t="inlineStr">
        <is>
          <t>M2</t>
        </is>
      </c>
      <c r="F2184" s="1067" t="n"/>
      <c r="G2184" s="1069">
        <f t="array" ref="G2184">IF(B2184="insumo",_xlfn.XLOOKUP($D2184,Insumos!$B$1:$B$996,Insumos!$D$1:$D$996),"")</f>
        <v/>
      </c>
      <c r="H2184" s="1069" t="n">
        <v>93.2373</v>
      </c>
      <c r="I2184" s="2161" t="n">
        <v>0</v>
      </c>
      <c r="J2184" s="2161" t="n">
        <v>0</v>
      </c>
      <c r="K2184" s="2161" t="n"/>
    </row>
    <row r="2185" outlineLevel="3" ht="15.75" customHeight="1">
      <c r="A2185" s="10" t="n">
        <v>7</v>
      </c>
      <c r="B2185" s="10" t="inlineStr">
        <is>
          <t>Insumo</t>
        </is>
      </c>
      <c r="C2185" s="10" t="inlineStr">
        <is>
          <t>Impermeabilização De Superfície Com Manta Asfáltica, Uma Camada, Inclusive Aplicação De Primer Asfáltico</t>
        </is>
      </c>
      <c r="D2185" s="10" t="inlineStr">
        <is>
          <t>PRIMER PARA MANTA ASFALTICA A BASE DE ASFALTO MODIFICADO DILUIDO EM SOLVENTE, APLICACAO A FRIO</t>
        </is>
      </c>
      <c r="E2185" s="11">
        <f t="array" ref="E2185">_xlfn.XLOOKUP(D2185,Insumos!B:B,Insumos!C:$C)</f>
        <v/>
      </c>
      <c r="F2185" s="14" t="n">
        <v>0.615</v>
      </c>
      <c r="G2185" s="92">
        <f t="array" ref="G2185">IF(B2185="insumo",_xlfn.XLOOKUP($D2185,Insumos!$B$1:$B$996,Insumos!$D$1:$D$996),"")</f>
        <v/>
      </c>
      <c r="H2185" s="92" t="n">
        <v>14.4648</v>
      </c>
      <c r="I2185" s="2162" t="n">
        <v>0</v>
      </c>
      <c r="J2185" s="2162" t="n">
        <v>0</v>
      </c>
      <c r="K2185" s="2162" t="n"/>
    </row>
    <row r="2186" outlineLevel="3" ht="15.75" customHeight="1">
      <c r="A2186" s="10" t="n">
        <v>5</v>
      </c>
      <c r="B2186" s="10" t="inlineStr">
        <is>
          <t>Insumo</t>
        </is>
      </c>
      <c r="C2186" s="10" t="inlineStr">
        <is>
          <t>Impermeabilização De Superfície Com Manta Asfáltica, Uma Camada, Inclusive Aplicação De Primer Asfáltico</t>
        </is>
      </c>
      <c r="D2186" s="10" t="inlineStr">
        <is>
          <t>MANTA ASFALTICA ELASTOMERICA EM POLIESTER 4 MM, TIPO III, CLASSE B, ACABAMENTO PP (NBR 9952)</t>
        </is>
      </c>
      <c r="E2186" s="11">
        <f t="array" ref="E2186">_xlfn.XLOOKUP(D2186,Insumos!B:B,Insumos!C:$C)</f>
        <v/>
      </c>
      <c r="F2186" s="14" t="n">
        <v>1.125</v>
      </c>
      <c r="G2186" s="92">
        <f t="array" ref="G2186">IF(B2186="insumo",_xlfn.XLOOKUP($D2186,Insumos!$B$1:$B$996,Insumos!$D$1:$D$996),"")</f>
        <v/>
      </c>
      <c r="H2186" s="92" t="n">
        <v>78.77249999999999</v>
      </c>
      <c r="I2186" s="2162" t="n">
        <v>0</v>
      </c>
      <c r="J2186" s="2162" t="n">
        <v>0</v>
      </c>
      <c r="K2186" s="2162" t="n"/>
    </row>
    <row r="2187" outlineLevel="2" ht="15.75" customHeight="1">
      <c r="A2187" s="1067" t="n">
        <v>1</v>
      </c>
      <c r="B2187" s="1067" t="inlineStr">
        <is>
          <t>Serviço</t>
        </is>
      </c>
      <c r="C2187" s="1067" t="inlineStr">
        <is>
          <t>Impermeabilização De Superfície Com Manta Asfáltica, Duas Camada, Inclusive Aplicação De Primer Asfáltico</t>
        </is>
      </c>
      <c r="D2187" s="1067" t="inlineStr">
        <is>
          <t>Impermeabilização De Superfície Com Manta Asfáltica, Duas Camada, Inclusive Aplicação De Primer Asfáltico</t>
        </is>
      </c>
      <c r="E2187" s="1068" t="inlineStr">
        <is>
          <t>M2</t>
        </is>
      </c>
      <c r="F2187" s="1067" t="n"/>
      <c r="G2187" s="1069">
        <f t="array" ref="G2187">IF(B2187="insumo",_xlfn.XLOOKUP($D2187,Insumos!$B$1:$B$996,Insumos!$D$1:$D$996),"")</f>
        <v/>
      </c>
      <c r="H2187" s="1069" t="n">
        <v>157.3848</v>
      </c>
      <c r="I2187" s="2161" t="n">
        <v>0</v>
      </c>
      <c r="J2187" s="2161" t="n">
        <v>0</v>
      </c>
      <c r="K2187" s="2161" t="n"/>
    </row>
    <row r="2188" outlineLevel="3" ht="15.75" customHeight="1">
      <c r="A2188" s="10" t="n">
        <v>7</v>
      </c>
      <c r="B2188" s="10" t="inlineStr">
        <is>
          <t>Insumo</t>
        </is>
      </c>
      <c r="C2188" s="10" t="inlineStr">
        <is>
          <t>Impermeabilização De Superfície Com Manta Asfáltica, Duas Camada, Inclusive Aplicação De Primer Asfáltico</t>
        </is>
      </c>
      <c r="D2188" s="10" t="inlineStr">
        <is>
          <t>PRIMER PARA MANTA ASFALTICA A BASE DE ASFALTO MODIFICADO DILUIDO EM SOLVENTE, APLICACAO A FRIO</t>
        </is>
      </c>
      <c r="E2188" s="11">
        <f t="array" ref="E2188">_xlfn.XLOOKUP(D2188,Insumos!B:B,Insumos!C:$C)</f>
        <v/>
      </c>
      <c r="F2188" s="14" t="n">
        <v>0.615</v>
      </c>
      <c r="G2188" s="92">
        <f t="array" ref="G2188">IF(B2188="insumo",_xlfn.XLOOKUP($D2188,Insumos!$B$1:$B$996,Insumos!$D$1:$D$996),"")</f>
        <v/>
      </c>
      <c r="H2188" s="92" t="n">
        <v>14.4648</v>
      </c>
      <c r="I2188" s="2162" t="n">
        <v>0</v>
      </c>
      <c r="J2188" s="2162" t="n">
        <v>0</v>
      </c>
      <c r="K2188" s="2162" t="n"/>
    </row>
    <row r="2189" outlineLevel="3" ht="15.75" customHeight="1">
      <c r="A2189" s="10" t="n">
        <v>2</v>
      </c>
      <c r="B2189" s="10" t="inlineStr">
        <is>
          <t>Insumo</t>
        </is>
      </c>
      <c r="C2189" s="10" t="inlineStr">
        <is>
          <t>Impermeabilização De Superfície Com Manta Asfáltica, Duas Camada, Inclusive Aplicação De Primer Asfáltico</t>
        </is>
      </c>
      <c r="D2189" s="10" t="inlineStr">
        <is>
          <t>MANTA ASFALTICA ELASTOMERICA EM POLIESTER 3 MM, TIPO III, CLASSE B, ACABAMENTO PP (NBR 9952)</t>
        </is>
      </c>
      <c r="E2189" s="11">
        <f t="array" ref="E2189">_xlfn.XLOOKUP(D2189,Insumos!B:B,Insumos!C:$C)</f>
        <v/>
      </c>
      <c r="F2189" s="14" t="n">
        <v>1.125</v>
      </c>
      <c r="G2189" s="92">
        <f t="array" ref="G2189">IF(B2189="insumo",_xlfn.XLOOKUP($D2189,Insumos!$B$1:$B$996,Insumos!$D$1:$D$996),"")</f>
        <v/>
      </c>
      <c r="H2189" s="92" t="n">
        <v>64.14749999999999</v>
      </c>
      <c r="I2189" s="2162" t="n">
        <v>0</v>
      </c>
      <c r="J2189" s="2162" t="n">
        <v>0</v>
      </c>
      <c r="K2189" s="2162" t="n"/>
    </row>
    <row r="2190" outlineLevel="3" ht="15.75" customHeight="1">
      <c r="A2190" s="10" t="n">
        <v>5</v>
      </c>
      <c r="B2190" s="10" t="inlineStr">
        <is>
          <t>Insumo</t>
        </is>
      </c>
      <c r="C2190" s="10" t="inlineStr">
        <is>
          <t>Impermeabilização De Superfície Com Manta Asfáltica, Duas Camada, Inclusive Aplicação De Primer Asfáltico</t>
        </is>
      </c>
      <c r="D2190" s="10" t="inlineStr">
        <is>
          <t>MANTA ASFALTICA ELASTOMERICA EM POLIESTER 4 MM, TIPO III, CLASSE B, ACABAMENTO PP (NBR 9952)</t>
        </is>
      </c>
      <c r="E2190" s="11">
        <f t="array" ref="E2190">_xlfn.XLOOKUP(D2190,Insumos!B:B,Insumos!C:$C)</f>
        <v/>
      </c>
      <c r="F2190" s="14" t="n">
        <v>1.125</v>
      </c>
      <c r="G2190" s="92">
        <f t="array" ref="G2190">IF(B2190="insumo",_xlfn.XLOOKUP($D2190,Insumos!$B$1:$B$996,Insumos!$D$1:$D$996),"")</f>
        <v/>
      </c>
      <c r="H2190" s="92" t="n">
        <v>78.77249999999999</v>
      </c>
      <c r="I2190" s="2162" t="n">
        <v>0</v>
      </c>
      <c r="J2190" s="2162" t="n">
        <v>0</v>
      </c>
      <c r="K2190" s="2162" t="n"/>
    </row>
    <row r="2191" outlineLevel="2" ht="15.75" customHeight="1">
      <c r="A2191" s="1067" t="n">
        <v>1</v>
      </c>
      <c r="B2191" s="1067" t="inlineStr">
        <is>
          <t>Serviço</t>
        </is>
      </c>
      <c r="C2191" s="1067" t="inlineStr">
        <is>
          <t>Impermeabilização com manta aluminio em telhados</t>
        </is>
      </c>
      <c r="D2191" s="1067" t="inlineStr">
        <is>
          <t>Impermeabilização com manta aluminio em telhados</t>
        </is>
      </c>
      <c r="E2191" s="1068" t="inlineStr">
        <is>
          <t>M2</t>
        </is>
      </c>
      <c r="F2191" s="1067" t="n"/>
      <c r="G2191" s="1069">
        <f t="array" ref="G2191">IF(B2191="insumo",_xlfn.XLOOKUP($D2191,Insumos!$B$1:$B$996,Insumos!$D$1:$D$996),"")</f>
        <v/>
      </c>
      <c r="H2191" s="1069" t="n">
        <v>57.20355</v>
      </c>
      <c r="I2191" s="2161" t="n">
        <v>0</v>
      </c>
      <c r="J2191" s="2161" t="n">
        <v>0</v>
      </c>
      <c r="K2191" s="2161" t="n"/>
    </row>
    <row r="2192" outlineLevel="3" ht="15.75" customHeight="1">
      <c r="A2192" s="10" t="n">
        <v>7</v>
      </c>
      <c r="B2192" s="10" t="inlineStr">
        <is>
          <t>Insumo</t>
        </is>
      </c>
      <c r="C2192" s="10" t="inlineStr">
        <is>
          <t>Impermeabilização com manta aluminio em telhados</t>
        </is>
      </c>
      <c r="D2192" s="10" t="inlineStr">
        <is>
          <t>PRIMER PARA MANTA ASFALTICA A BASE DE ASFALTO MODIFICADO DILUIDO EM SOLVENTE, APLICACAO A FRIO</t>
        </is>
      </c>
      <c r="E2192" s="11">
        <f t="array" ref="E2192">_xlfn.XLOOKUP(D2192,Insumos!B:B,Insumos!C:$C)</f>
        <v/>
      </c>
      <c r="F2192" s="14" t="n">
        <v>0.615</v>
      </c>
      <c r="G2192" s="92">
        <f t="array" ref="G2192">IF(B2192="insumo",_xlfn.XLOOKUP($D2192,Insumos!$B$1:$B$996,Insumos!$D$1:$D$996),"")</f>
        <v/>
      </c>
      <c r="H2192" s="92" t="n">
        <v>14.4648</v>
      </c>
      <c r="I2192" s="2162" t="n">
        <v>0</v>
      </c>
      <c r="J2192" s="2162" t="n">
        <v>0</v>
      </c>
      <c r="K2192" s="2162" t="n"/>
    </row>
    <row r="2193" outlineLevel="3" ht="15.75" customHeight="1">
      <c r="A2193" s="10" t="n">
        <v>1</v>
      </c>
      <c r="B2193" s="10" t="inlineStr">
        <is>
          <t>Insumo</t>
        </is>
      </c>
      <c r="C2193" s="10" t="inlineStr">
        <is>
          <t>Impermeabilização com manta aluminio em telhados</t>
        </is>
      </c>
      <c r="D2193" s="10" t="inlineStr">
        <is>
          <t>Manta Asfáltica Drykomanta Polialum 4mm Tipo ll 10m Dryko</t>
        </is>
      </c>
      <c r="E2193" s="11">
        <f t="array" ref="E2193">_xlfn.XLOOKUP(D2193,Insumos!B:B,Insumos!C:$C)</f>
        <v/>
      </c>
      <c r="F2193" s="14" t="n">
        <v>1.125</v>
      </c>
      <c r="G2193" s="92">
        <f t="array" ref="G2193">IF(B2193="insumo",_xlfn.XLOOKUP($D2193,Insumos!$B$1:$B$996,Insumos!$D$1:$D$996),"")</f>
        <v/>
      </c>
      <c r="H2193" s="92" t="n">
        <v>42.73875</v>
      </c>
      <c r="I2193" s="2162" t="n">
        <v>0</v>
      </c>
      <c r="J2193" s="2162" t="n">
        <v>0</v>
      </c>
      <c r="K2193" s="2162" t="n"/>
    </row>
    <row r="2194" outlineLevel="2" ht="15.75" customHeight="1">
      <c r="A2194" s="1067" t="n">
        <v>1</v>
      </c>
      <c r="B2194" s="1067" t="inlineStr">
        <is>
          <t>Serviço</t>
        </is>
      </c>
      <c r="C2194" s="1067" t="inlineStr">
        <is>
          <t>Impermeabilização De Superfície Com Membrana de Polímero</t>
        </is>
      </c>
      <c r="D2194" s="1067" t="inlineStr">
        <is>
          <t>Impermeabilização De Superfície Com Membrana de Polímero</t>
        </is>
      </c>
      <c r="E2194" s="1068" t="inlineStr">
        <is>
          <t>M2</t>
        </is>
      </c>
      <c r="F2194" s="1067" t="n"/>
      <c r="G2194" s="1069">
        <f t="array" ref="G2194">IF(B2194="insumo",_xlfn.XLOOKUP($D2194,Insumos!$B$1:$B$996,Insumos!$D$1:$D$996),"")</f>
        <v/>
      </c>
      <c r="H2194" s="1069" t="n">
        <v>34.825</v>
      </c>
      <c r="I2194" s="2161" t="n">
        <v>0</v>
      </c>
      <c r="J2194" s="2161" t="n">
        <v>0</v>
      </c>
      <c r="K2194" s="2161" t="n"/>
    </row>
    <row r="2195" outlineLevel="3" ht="15.75" customHeight="1">
      <c r="A2195" s="10" t="n">
        <v>3</v>
      </c>
      <c r="B2195" s="10" t="inlineStr">
        <is>
          <t>Insumo</t>
        </is>
      </c>
      <c r="C2195" s="10" t="inlineStr">
        <is>
          <t>Impermeabilização De Superfície Com Membrana de Polímero</t>
        </is>
      </c>
      <c r="D2195" s="10" t="inlineStr">
        <is>
          <t>Membrana de polímeros acrílicos com cimento e com fibras</t>
        </is>
      </c>
      <c r="E2195" s="11">
        <f t="array" ref="E2195">_xlfn.XLOOKUP(D2195,Insumos!B:B,Insumos!C:$C)</f>
        <v/>
      </c>
      <c r="F2195" s="14">
        <f>3*1.05</f>
        <v/>
      </c>
      <c r="G2195" s="92">
        <f t="array" ref="G2195">IF(B2195="insumo",_xlfn.XLOOKUP($D2195,Insumos!$B$1:$B$996,Insumos!$D$1:$D$996),"")</f>
        <v/>
      </c>
      <c r="H2195" s="92" t="n">
        <v>34.825</v>
      </c>
      <c r="I2195" s="2162" t="n">
        <v>0</v>
      </c>
      <c r="J2195" s="2162" t="n">
        <v>0</v>
      </c>
      <c r="K2195" s="2162" t="n"/>
    </row>
    <row r="2196" outlineLevel="2" ht="15.75" customHeight="1">
      <c r="A2196" s="1067" t="n">
        <v>1</v>
      </c>
      <c r="B2196" s="1067" t="inlineStr">
        <is>
          <t>Serviço</t>
        </is>
      </c>
      <c r="C2196" s="1067" t="inlineStr">
        <is>
          <t>Impermeabilização De Superfície Com Argamassa Polimérica / Membrana Acrílica, 3 Demãos</t>
        </is>
      </c>
      <c r="D2196" s="1067" t="inlineStr">
        <is>
          <t>Impermeabilização De Superfície Com Argamassa Polimérica / Membrana Acrílica, 3 Demãos</t>
        </is>
      </c>
      <c r="E2196" s="1068" t="inlineStr">
        <is>
          <t>M2</t>
        </is>
      </c>
      <c r="F2196" s="1067" t="n"/>
      <c r="G2196" s="1069">
        <f t="array" ref="G2196">IF(B2196="insumo",_xlfn.XLOOKUP($D2196,Insumos!$B$1:$B$996,Insumos!$D$1:$D$996),"")</f>
        <v/>
      </c>
      <c r="H2196" s="1069" t="n">
        <v>36.256</v>
      </c>
      <c r="I2196" s="2161" t="n">
        <v>0</v>
      </c>
      <c r="J2196" s="2161" t="n">
        <v>0</v>
      </c>
      <c r="K2196" s="2161" t="n"/>
    </row>
    <row r="2197" outlineLevel="3" ht="15.75" customHeight="1">
      <c r="A2197" s="10" t="n">
        <v>6</v>
      </c>
      <c r="B2197" s="10" t="inlineStr">
        <is>
          <t>Insumo</t>
        </is>
      </c>
      <c r="C2197" s="10" t="inlineStr">
        <is>
          <t>Impermeabilização De Superfície Com Argamassa Polimérica / Membrana Acrílica, 3 Demãos</t>
        </is>
      </c>
      <c r="D2197" s="10" t="inlineStr">
        <is>
          <t>Argamassa polimerica impermeabilizante semiflexivel, bicomponente, a base de cimento e aditivos</t>
        </is>
      </c>
      <c r="E2197" s="11">
        <f t="array" ref="E2197">_xlfn.XLOOKUP(D2197,Insumos!B:B,Insumos!C:$C)</f>
        <v/>
      </c>
      <c r="F2197" s="14" t="n">
        <v>3.2</v>
      </c>
      <c r="G2197" s="92">
        <f t="array" ref="G2197">IF(B2197="insumo",_xlfn.XLOOKUP($D2197,Insumos!$B$1:$B$996,Insumos!$D$1:$D$996),"")</f>
        <v/>
      </c>
      <c r="H2197" s="92" t="n">
        <v>36.256</v>
      </c>
      <c r="I2197" s="2162" t="n">
        <v>0</v>
      </c>
      <c r="J2197" s="2162" t="n">
        <v>0</v>
      </c>
      <c r="K2197" s="2162" t="n"/>
    </row>
    <row r="2198" outlineLevel="2" ht="15.75" customHeight="1">
      <c r="A2198" s="1067" t="n">
        <v>1</v>
      </c>
      <c r="B2198" s="1067" t="inlineStr">
        <is>
          <t>Serviço</t>
        </is>
      </c>
      <c r="C2198" s="1067" t="inlineStr">
        <is>
          <t>Impermeabilização De Superfície Com Argamassa Polimérica / Membrana Acrílica, 3 Demãos Com Aditivos</t>
        </is>
      </c>
      <c r="D2198" s="1067" t="inlineStr">
        <is>
          <t>Impermeabilização De Superfície Com Argamassa Polimérica / Membrana Acrílica, 3 Demãos Com Aditivos</t>
        </is>
      </c>
      <c r="E2198" s="1068" t="inlineStr">
        <is>
          <t>M2</t>
        </is>
      </c>
      <c r="F2198" s="1067" t="n"/>
      <c r="G2198" s="1069">
        <f t="array" ref="G2198">IF(B2198="insumo",_xlfn.XLOOKUP($D2198,Insumos!$B$1:$B$996,Insumos!$D$1:$D$996),"")</f>
        <v/>
      </c>
      <c r="H2198" s="1069" t="n">
        <v>62.9226666666667</v>
      </c>
      <c r="I2198" s="2161" t="n">
        <v>0</v>
      </c>
      <c r="J2198" s="2161" t="n">
        <v>0</v>
      </c>
      <c r="K2198" s="2161" t="n"/>
    </row>
    <row r="2199" outlineLevel="3" ht="15.75" customHeight="1">
      <c r="A2199" s="10" t="n">
        <v>6</v>
      </c>
      <c r="B2199" s="10" t="inlineStr">
        <is>
          <t>Insumo</t>
        </is>
      </c>
      <c r="C2199" s="10" t="inlineStr">
        <is>
          <t>Impermeabilização De Superfície Com Argamassa Polimérica / Membrana Acrílica, 3 Demãos Com Aditivos</t>
        </is>
      </c>
      <c r="D2199" s="10" t="inlineStr">
        <is>
          <t>Argamassa polimerica impermeabilizante semiflexivel, bicomponente, a base de cimento e aditivos</t>
        </is>
      </c>
      <c r="E2199" s="11">
        <f t="array" ref="E2199">_xlfn.XLOOKUP(D2199,Insumos!B:B,Insumos!C:$C)</f>
        <v/>
      </c>
      <c r="F2199" s="14" t="n">
        <v>3.2</v>
      </c>
      <c r="G2199" s="92">
        <f t="array" ref="G2199">IF(B2199="insumo",_xlfn.XLOOKUP($D2199,Insumos!$B$1:$B$996,Insumos!$D$1:$D$996),"")</f>
        <v/>
      </c>
      <c r="H2199" s="92" t="n">
        <v>36.256</v>
      </c>
      <c r="I2199" s="2162" t="n">
        <v>0</v>
      </c>
      <c r="J2199" s="2162" t="n">
        <v>0</v>
      </c>
      <c r="K2199" s="2162" t="n"/>
    </row>
    <row r="2200" outlineLevel="3" ht="15.75" customHeight="1">
      <c r="A2200" s="10" t="n">
        <v>2</v>
      </c>
      <c r="B2200" s="10" t="inlineStr">
        <is>
          <t>Insumo</t>
        </is>
      </c>
      <c r="C2200" s="10" t="inlineStr">
        <is>
          <t>Impermeabilização De Superfície Com Argamassa Polimérica / Membrana Acrílica, 3 Demãos Com Aditivos</t>
        </is>
      </c>
      <c r="D2200" s="10" t="inlineStr">
        <is>
          <t>Aditivo Adesivo Liquido Para Impermeabilização</t>
        </is>
      </c>
      <c r="E2200" s="11">
        <f t="array" ref="E2200">_xlfn.XLOOKUP(D2200,Insumos!B:B,Insumos!C:$C)</f>
        <v/>
      </c>
      <c r="F2200" s="14" t="n">
        <v>0.4</v>
      </c>
      <c r="G2200" s="92">
        <f t="array" ref="G2200">IF(B2200="insumo",_xlfn.XLOOKUP($D2200,Insumos!$B$1:$B$996,Insumos!$D$1:$D$996),"")</f>
        <v/>
      </c>
      <c r="H2200" s="92" t="n">
        <v>26.6666666666667</v>
      </c>
      <c r="I2200" s="2162" t="n">
        <v>0</v>
      </c>
      <c r="J2200" s="2162" t="n">
        <v>0</v>
      </c>
      <c r="K2200" s="2162" t="n"/>
    </row>
    <row r="2201" outlineLevel="2" ht="15.75" customHeight="1">
      <c r="A2201" s="1067" t="n">
        <v>1</v>
      </c>
      <c r="B2201" s="1067" t="inlineStr">
        <is>
          <t>Serviço</t>
        </is>
      </c>
      <c r="C2201" s="1067" t="inlineStr">
        <is>
          <t>Impermeabilização com manta liquida poliuretano, 3 demãos sem tela estruturante.</t>
        </is>
      </c>
      <c r="D2201" s="1067" t="inlineStr">
        <is>
          <t>Impermeabilização com manta liquida poliuretano, 3 demãos sem tela estruturante.</t>
        </is>
      </c>
      <c r="E2201" s="1068" t="inlineStr">
        <is>
          <t>M2</t>
        </is>
      </c>
      <c r="F2201" s="1067" t="n"/>
      <c r="G2201" s="1069">
        <f t="array" ref="G2201">IF(B2201="insumo",_xlfn.XLOOKUP($D2201,Insumos!$B$1:$B$996,Insumos!$D$1:$D$996),"")</f>
        <v/>
      </c>
      <c r="H2201" s="1069" t="n">
        <v>35.1333333333333</v>
      </c>
      <c r="I2201" s="2161" t="n">
        <v>0</v>
      </c>
      <c r="J2201" s="2161" t="n">
        <v>0</v>
      </c>
      <c r="K2201" s="2161" t="n"/>
    </row>
    <row r="2202" outlineLevel="3" ht="15.75" customHeight="1">
      <c r="A2202" s="10" t="n">
        <v>1</v>
      </c>
      <c r="B2202" s="10" t="inlineStr">
        <is>
          <t>Insumo</t>
        </is>
      </c>
      <c r="C2202" s="10" t="inlineStr">
        <is>
          <t>Impermeabilização com manta liquida poliuretano, 3 demãos sem tela estruturante.</t>
        </is>
      </c>
      <c r="D2202" s="10" t="inlineStr">
        <is>
          <t>Manta Líquida - Igolflex Pu (consumo = 400g/m2)</t>
        </is>
      </c>
      <c r="E2202" s="11">
        <f t="array" ref="E2202">_xlfn.XLOOKUP(D2202,Insumos!B:B,Insumos!C:$C)</f>
        <v/>
      </c>
      <c r="F2202" s="14" t="n">
        <v>1.2</v>
      </c>
      <c r="G2202" s="92">
        <f t="array" ref="G2202">IF(B2202="insumo",_xlfn.XLOOKUP($D2202,Insumos!$B$1:$B$996,Insumos!$D$1:$D$996),"")</f>
        <v/>
      </c>
      <c r="H2202" s="92" t="n">
        <v>35.1333333333333</v>
      </c>
      <c r="I2202" s="2162" t="n">
        <v>0</v>
      </c>
      <c r="J2202" s="2162" t="n">
        <v>0</v>
      </c>
      <c r="K2202" s="2162" t="n"/>
    </row>
    <row r="2203" outlineLevel="2" ht="15.75" customHeight="1">
      <c r="A2203" s="1067" t="n">
        <v>1</v>
      </c>
      <c r="B2203" s="1067" t="inlineStr">
        <is>
          <t>Serviço</t>
        </is>
      </c>
      <c r="C2203" s="1067" t="inlineStr">
        <is>
          <t>Impermeabilização com manta liquida em peitoris</t>
        </is>
      </c>
      <c r="D2203" s="1067" t="inlineStr">
        <is>
          <t>Impermeabilização com manta liquida em peitoris</t>
        </is>
      </c>
      <c r="E2203" s="1068" t="inlineStr">
        <is>
          <t>M2</t>
        </is>
      </c>
      <c r="F2203" s="1067" t="n"/>
      <c r="G2203" s="1069">
        <f t="array" ref="G2203">IF(B2203="insumo",_xlfn.XLOOKUP($D2203,Insumos!$B$1:$B$996,Insumos!$D$1:$D$996),"")</f>
        <v/>
      </c>
      <c r="H2203" s="1069" t="n">
        <v>40.17</v>
      </c>
      <c r="I2203" s="2161" t="n">
        <v>0</v>
      </c>
      <c r="J2203" s="2161" t="n">
        <v>0</v>
      </c>
      <c r="K2203" s="2161" t="n"/>
    </row>
    <row r="2204" outlineLevel="3" ht="15.75" customHeight="1">
      <c r="A2204" s="10" t="n">
        <v>1</v>
      </c>
      <c r="B2204" s="10" t="inlineStr">
        <is>
          <t>Insumo</t>
        </is>
      </c>
      <c r="C2204" s="10" t="inlineStr">
        <is>
          <t>Impermeabilização com manta liquida em peitoris</t>
        </is>
      </c>
      <c r="D2204" s="10" t="inlineStr">
        <is>
          <t>Impermeabilizante manta liquida branca</t>
        </is>
      </c>
      <c r="E2204" s="11">
        <f t="array" ref="E2204">_xlfn.XLOOKUP(D2204,Insumos!B:B,Insumos!C:$C)</f>
        <v/>
      </c>
      <c r="F2204" s="14" t="n">
        <v>1.56</v>
      </c>
      <c r="G2204" s="92">
        <f t="array" ref="G2204">IF(B2204="insumo",_xlfn.XLOOKUP($D2204,Insumos!$B$1:$B$996,Insumos!$D$1:$D$996),"")</f>
        <v/>
      </c>
      <c r="H2204" s="92" t="n">
        <v>40.17</v>
      </c>
      <c r="I2204" s="2162" t="n">
        <v>0</v>
      </c>
      <c r="J2204" s="2162" t="n">
        <v>0</v>
      </c>
      <c r="K2204" s="2162" t="n"/>
    </row>
    <row r="2205" outlineLevel="2" ht="15.75" customHeight="1">
      <c r="A2205" s="1067" t="n">
        <v>1</v>
      </c>
      <c r="B2205" s="1067" t="inlineStr">
        <is>
          <t>Serviço</t>
        </is>
      </c>
      <c r="C2205" s="1067" t="inlineStr">
        <is>
          <t>Tratamento De Ralo Ou Ponto Emergente Com Argamassa Polimérica Reforçado Com Tela De Poliéster</t>
        </is>
      </c>
      <c r="D2205" s="1067" t="inlineStr">
        <is>
          <t>Tratamento De Ralo Ou Ponto Emergente Com Argamassa Polimérica Reforçado Com Tela De Poliéster</t>
        </is>
      </c>
      <c r="E2205" s="1068" t="inlineStr">
        <is>
          <t>UN</t>
        </is>
      </c>
      <c r="F2205" s="1067" t="n"/>
      <c r="G2205" s="1069">
        <f t="array" ref="G2205">IF(B2205="insumo",_xlfn.XLOOKUP($D2205,Insumos!$B$1:$B$996,Insumos!$D$1:$D$996),"")</f>
        <v/>
      </c>
      <c r="H2205" s="1069" t="n">
        <v>8.760014999999999</v>
      </c>
      <c r="I2205" s="2161" t="n">
        <v>675</v>
      </c>
      <c r="J2205" s="2161" t="n">
        <v>5913.010125</v>
      </c>
      <c r="K2205" s="2161" t="n"/>
    </row>
    <row r="2206" outlineLevel="3" ht="15.75" customHeight="1">
      <c r="A2206" s="10" t="n">
        <v>6</v>
      </c>
      <c r="B2206" s="10" t="inlineStr">
        <is>
          <t>Insumo</t>
        </is>
      </c>
      <c r="C2206" s="10" t="inlineStr">
        <is>
          <t>Tratamento De Ralo Ou Ponto Emergente Com Argamassa Polimérica Reforçado Com Tela De Poliéster</t>
        </is>
      </c>
      <c r="D2206" s="10" t="inlineStr">
        <is>
          <t>Argamassa polimerica impermeabilizante semiflexivel, bicomponente, a base de cimento e aditivos</t>
        </is>
      </c>
      <c r="E2206" s="11">
        <f t="array" ref="E2206">_xlfn.XLOOKUP(D2206,Insumos!B:B,Insumos!C:$C)</f>
        <v/>
      </c>
      <c r="F2206" s="14" t="n">
        <v>0.7385</v>
      </c>
      <c r="G2206" s="92">
        <f t="array" ref="G2206">IF(B2206="insumo",_xlfn.XLOOKUP($D2206,Insumos!$B$1:$B$996,Insumos!$D$1:$D$996),"")</f>
        <v/>
      </c>
      <c r="H2206" s="92" t="n">
        <v>8.367205</v>
      </c>
      <c r="I2206" s="2162" t="n">
        <v>675</v>
      </c>
      <c r="J2206" s="2162" t="n">
        <v>5647.863375</v>
      </c>
      <c r="K2206" s="2162" t="n"/>
    </row>
    <row r="2207" outlineLevel="3" ht="15.75" customHeight="1">
      <c r="A2207" s="10" t="n">
        <v>1</v>
      </c>
      <c r="B2207" s="10" t="inlineStr">
        <is>
          <t>Insumo</t>
        </is>
      </c>
      <c r="C2207" s="10" t="inlineStr">
        <is>
          <t>Tratamento De Ralo Ou Ponto Emergente Com Argamassa Polimérica Reforçado Com Tela De Poliéster</t>
        </is>
      </c>
      <c r="D2207" s="10" t="inlineStr">
        <is>
          <t>Veu de poliester para impermeabilizacao</t>
        </is>
      </c>
      <c r="E2207" s="11">
        <f t="array" ref="E2207">_xlfn.XLOOKUP(D2207,Insumos!B:B,Insumos!C:$C)</f>
        <v/>
      </c>
      <c r="F2207" s="14" t="n">
        <v>0.3571</v>
      </c>
      <c r="G2207" s="92">
        <f t="array" ref="G2207">IF(B2207="insumo",_xlfn.XLOOKUP($D2207,Insumos!$B$1:$B$996,Insumos!$D$1:$D$996),"")</f>
        <v/>
      </c>
      <c r="H2207" s="92" t="n">
        <v>0.39281</v>
      </c>
      <c r="I2207" s="2162" t="n">
        <v>675</v>
      </c>
      <c r="J2207" s="2162" t="n">
        <v>265.14675</v>
      </c>
      <c r="K2207" s="2162" t="n"/>
    </row>
    <row r="2208" outlineLevel="2" ht="16.5" customHeight="1">
      <c r="A2208" s="1067" t="n">
        <v>1</v>
      </c>
      <c r="B2208" s="1067" t="inlineStr">
        <is>
          <t>Serviço</t>
        </is>
      </c>
      <c r="C2208" s="1067" t="inlineStr">
        <is>
          <t>mpermeabilização de Fachadas (ULTRAVENT)</t>
        </is>
      </c>
      <c r="D2208" s="1067" t="inlineStr">
        <is>
          <t>mpermeabilização de Fachadas (ULTRAVENT)</t>
        </is>
      </c>
      <c r="E2208" s="1068" t="inlineStr">
        <is>
          <t>UN</t>
        </is>
      </c>
      <c r="F2208" s="1067" t="n"/>
      <c r="G2208" s="1069">
        <f t="array" ref="G2208">IF(B2208="insumo",_xlfn.XLOOKUP($D2208,Insumos!$B$1:$B$996,Insumos!$D$1:$D$996),"")</f>
        <v/>
      </c>
      <c r="H2208" s="1069" t="n">
        <v>27.5</v>
      </c>
      <c r="I2208" s="2161" t="n">
        <v>0</v>
      </c>
      <c r="J2208" s="2161" t="n">
        <v>0</v>
      </c>
      <c r="K2208" s="2161" t="n"/>
    </row>
    <row r="2209" outlineLevel="3" ht="16.5" customHeight="1">
      <c r="A2209" s="10" t="n">
        <v>1</v>
      </c>
      <c r="B2209" s="10" t="inlineStr">
        <is>
          <t>Insumo</t>
        </is>
      </c>
      <c r="C2209" s="10" t="inlineStr">
        <is>
          <t>mpermeabilização de Fachadas (ULTRAVENT)</t>
        </is>
      </c>
      <c r="D2209" s="10" t="inlineStr">
        <is>
          <t>impermeabilizante manta líquida Ultravent</t>
        </is>
      </c>
      <c r="E2209" s="11">
        <f t="array" ref="E2209">_xlfn.XLOOKUP(D2209,Insumos!B:B,Insumos!C:$C)</f>
        <v/>
      </c>
      <c r="F2209" s="14" t="n">
        <v>0.55</v>
      </c>
      <c r="G2209" s="92">
        <f t="array" ref="G2209">IF(B2209="insumo",_xlfn.XLOOKUP($D2209,Insumos!$B$1:$B$996,Insumos!$D$1:$D$996),"")</f>
        <v/>
      </c>
      <c r="H2209" s="92" t="n">
        <v>27.5</v>
      </c>
      <c r="I2209" s="2162" t="n">
        <v>0</v>
      </c>
      <c r="J2209" s="2162" t="n">
        <v>0</v>
      </c>
      <c r="K2209" s="2162" t="n"/>
    </row>
    <row r="2210" outlineLevel="2" ht="16.5" customHeight="1">
      <c r="A2210" s="1067" t="n">
        <v>1</v>
      </c>
      <c r="B2210" s="1067" t="inlineStr">
        <is>
          <t>Serviço</t>
        </is>
      </c>
      <c r="C2210" s="1067" t="inlineStr">
        <is>
          <t>Impermeabilização De Superfície Com Aspersão de CWS e CWS100</t>
        </is>
      </c>
      <c r="D2210" s="1067" t="inlineStr">
        <is>
          <t>Impermeabilização De Superfície Com Aspersão de CWS e CWS100</t>
        </is>
      </c>
      <c r="E2210" s="1068" t="inlineStr">
        <is>
          <t>UN</t>
        </is>
      </c>
      <c r="F2210" s="1067" t="n"/>
      <c r="G2210" s="1069">
        <f t="array" ref="G2210">IF(B2210="insumo",_xlfn.XLOOKUP($D2210,Insumos!$B$1:$B$996,Insumos!$D$1:$D$996),"")</f>
        <v/>
      </c>
      <c r="H2210" s="1069" t="n">
        <v>65</v>
      </c>
      <c r="I2210" s="2161" t="n">
        <v>0</v>
      </c>
      <c r="J2210" s="2161" t="n">
        <v>0</v>
      </c>
      <c r="K2210" s="2161" t="n"/>
    </row>
    <row r="2211" outlineLevel="3" ht="16.5" customHeight="1">
      <c r="A2211" s="10" t="n">
        <v>1</v>
      </c>
      <c r="B2211" s="10" t="inlineStr">
        <is>
          <t>Insumo</t>
        </is>
      </c>
      <c r="C2211" s="10" t="inlineStr">
        <is>
          <t>Impermeabilização De Superfície Com Aspersão de CWS e CWS100</t>
        </is>
      </c>
      <c r="D2211" s="10" t="inlineStr">
        <is>
          <t>SOLUÇÃO DE SILICADOS CWS100</t>
        </is>
      </c>
      <c r="E2211" s="11">
        <f t="array" ref="E2211">_xlfn.XLOOKUP(D2211,Insumos!B:B,Insumos!C:$C)</f>
        <v/>
      </c>
      <c r="F2211" s="14" t="n">
        <v>0.2</v>
      </c>
      <c r="G2211" s="92">
        <f t="array" ref="G2211">IF(B2211="insumo",_xlfn.XLOOKUP($D2211,Insumos!$B$1:$B$996,Insumos!$D$1:$D$996),"")</f>
        <v/>
      </c>
      <c r="H2211" s="92" t="n">
        <v>65</v>
      </c>
      <c r="I2211" s="2162" t="n">
        <v>0</v>
      </c>
      <c r="J2211" s="2162" t="n">
        <v>0</v>
      </c>
      <c r="K2211" s="2162" t="n"/>
    </row>
    <row r="2212" outlineLevel="2" ht="12.75" customHeight="1">
      <c r="A2212" s="1071" t="n">
        <v>1</v>
      </c>
      <c r="B2212" s="1071" t="inlineStr">
        <is>
          <t>Serviço</t>
        </is>
      </c>
      <c r="C2212" s="1071" t="inlineStr">
        <is>
          <t>E3 - Membrana de polímero acrílico com cimento e fibras, estruturada com tela de poliéster nos pontos críticos (3,0 kg/m²)</t>
        </is>
      </c>
      <c r="D2212" s="1071" t="inlineStr">
        <is>
          <t>E3 - Membrana de polímero acrílico com cimento e fibras, estruturada com tela de poliéster nos pontos críticos (3,0 kg/m²)</t>
        </is>
      </c>
      <c r="E2212" s="1072" t="inlineStr">
        <is>
          <t>M2</t>
        </is>
      </c>
      <c r="F2212" s="1071" t="n"/>
      <c r="G2212" s="1073">
        <f t="array" ref="G2212">IF(B2212="insumo",_xlfn.XLOOKUP($D2212,Insumos!$B$1:$B$996,Insumos!$D$1:$D$996),"")</f>
        <v/>
      </c>
      <c r="H2212" s="1073" t="n">
        <v>66</v>
      </c>
      <c r="I2212" s="2163" t="n">
        <v>0</v>
      </c>
      <c r="J2212" s="2163" t="n">
        <v>0</v>
      </c>
      <c r="K2212" s="2163" t="n"/>
    </row>
    <row r="2213" outlineLevel="3" ht="12.75" customHeight="1">
      <c r="A2213" s="82" t="n">
        <v>2</v>
      </c>
      <c r="B2213" s="82" t="inlineStr">
        <is>
          <t>Insumo</t>
        </is>
      </c>
      <c r="C2213" s="82" t="inlineStr">
        <is>
          <t>E3 - Membrana de polímero acrílico com cimento e fibras, estruturada com tela de poliéster nos pontos críticos (3,0 kg/m²)</t>
        </is>
      </c>
      <c r="D2213" s="82" t="inlineStr">
        <is>
          <t>Membrana de polímero acrílico com cimento e fibras, estruturada com tela de poliéster nos pontos críticos</t>
        </is>
      </c>
      <c r="E2213" s="11">
        <f t="array" ref="E2213">_xlfn.XLOOKUP(D2213,Insumos!B:B,Insumos!C:$C)</f>
        <v/>
      </c>
      <c r="F2213" s="2164" t="n">
        <v>3</v>
      </c>
      <c r="G2213" s="92">
        <f t="array" ref="G2213">IF(B2213="insumo",_xlfn.XLOOKUP($D2213,Insumos!$B$1:$B$996,Insumos!$D$1:$D$996),"")</f>
        <v/>
      </c>
      <c r="H2213" s="92" t="n">
        <v>66</v>
      </c>
      <c r="I2213" s="2165" t="n">
        <v>0</v>
      </c>
      <c r="J2213" s="2165" t="n">
        <v>0</v>
      </c>
      <c r="K2213" s="2165" t="n"/>
    </row>
    <row r="2214" outlineLevel="2" ht="12.75" customHeight="1">
      <c r="A2214" s="1071" t="n">
        <v>1</v>
      </c>
      <c r="B2214" s="1071" t="inlineStr">
        <is>
          <t>Serviço</t>
        </is>
      </c>
      <c r="C2214" s="1071" t="inlineStr">
        <is>
          <t>I30EL - Membrana de polímero acrílico, sem cimento (3,0 kg/m²), com resistência à alcalinidade, estruturada com tela de poliéster nos pontos críticos – Ref.: Sika Baucryl, MC DF9, Icopor HP, Procryl Imper</t>
        </is>
      </c>
      <c r="D2214" s="1071" t="inlineStr">
        <is>
          <t>I30EL - Membrana de polímero acrílico, sem cimento (3,0 kg/m²), com resistência à alcalinidade, estruturada com tela de poliéster nos pontos críticos – Ref.: Sika Baucryl, MC DF9, Icopor HP, Procryl Imper</t>
        </is>
      </c>
      <c r="E2214" s="1072" t="inlineStr">
        <is>
          <t>M2</t>
        </is>
      </c>
      <c r="F2214" s="1071" t="n"/>
      <c r="G2214" s="1073">
        <f t="array" ref="G2214">IF(B2214="insumo",_xlfn.XLOOKUP($D2214,Insumos!$B$1:$B$996,Insumos!$D$1:$D$996),"")</f>
        <v/>
      </c>
      <c r="H2214" s="1073" t="n">
        <v>75</v>
      </c>
      <c r="I2214" s="2163" t="n">
        <v>0</v>
      </c>
      <c r="J2214" s="2163" t="n">
        <v>0</v>
      </c>
      <c r="K2214" s="2163" t="n"/>
    </row>
    <row r="2215" outlineLevel="3" ht="12.75" customHeight="1">
      <c r="A2215" s="82" t="n">
        <v>1</v>
      </c>
      <c r="B2215" s="82" t="inlineStr">
        <is>
          <t>Insumo</t>
        </is>
      </c>
      <c r="C2215" s="82" t="inlineStr">
        <is>
          <t>I30EL - Membrana de polímero acrílico, sem cimento (3,0 kg/m²), com resistência à alcalinidade, estruturada com tela de poliéster nos pontos críticos – Ref.: Sika Baucryl, MC DF9, Icopor HP, Procryl Imper</t>
        </is>
      </c>
      <c r="D2215" s="82" t="inlineStr">
        <is>
          <t>Membrana de polímero acrílico, sem cimento com resistência à alcalinidade, estruturada com tela de poliéster nos pontos críticos</t>
        </is>
      </c>
      <c r="E2215" s="11">
        <f t="array" ref="E2215">_xlfn.XLOOKUP(D2215,Insumos!B:B,Insumos!C:$C)</f>
        <v/>
      </c>
      <c r="F2215" s="2164" t="n">
        <v>3</v>
      </c>
      <c r="G2215" s="92">
        <f t="array" ref="G2215">IF(B2215="insumo",_xlfn.XLOOKUP($D2215,Insumos!$B$1:$B$996,Insumos!$D$1:$D$996),"")</f>
        <v/>
      </c>
      <c r="H2215" s="92" t="n">
        <v>75</v>
      </c>
      <c r="I2215" s="2165" t="n">
        <v>0</v>
      </c>
      <c r="J2215" s="2165" t="n">
        <v>0</v>
      </c>
      <c r="K2215" s="2165" t="n"/>
    </row>
    <row r="2216" outlineLevel="2" ht="12.75" customHeight="1">
      <c r="A2216" s="1071" t="n">
        <v>1</v>
      </c>
      <c r="B2216" s="1071" t="inlineStr">
        <is>
          <t>Serviço</t>
        </is>
      </c>
      <c r="C2216" s="1071" t="inlineStr">
        <is>
          <t>M44A - Manta asfáltica tipo IV, 4 mm A, com acabamento areia/areia aderida com asfalto oxidado (3,0 kg/m²) + banho de asfalto oxidado (2,0 kg/m²)</t>
        </is>
      </c>
      <c r="D2216" s="1071" t="inlineStr">
        <is>
          <t>M44A - Manta asfáltica tipo IV, 4 mm A, com acabamento areia/areia aderida com asfalto oxidado (3,0 kg/m²) + banho de asfalto oxidado (2,0 kg/m²)</t>
        </is>
      </c>
      <c r="E2216" s="1072" t="inlineStr">
        <is>
          <t>M2</t>
        </is>
      </c>
      <c r="F2216" s="1071" t="n"/>
      <c r="G2216" s="1073">
        <f t="array" ref="G2216">IF(B2216="insumo",_xlfn.XLOOKUP($D2216,Insumos!$B$1:$B$996,Insumos!$D$1:$D$996),"")</f>
        <v/>
      </c>
      <c r="H2216" s="1073" t="n">
        <v>108</v>
      </c>
      <c r="I2216" s="2163" t="n">
        <v>0</v>
      </c>
      <c r="J2216" s="2163" t="n">
        <v>0</v>
      </c>
      <c r="K2216" s="2163" t="n"/>
    </row>
    <row r="2217" outlineLevel="3" ht="12.75" customHeight="1">
      <c r="A2217" s="82" t="n">
        <v>3</v>
      </c>
      <c r="B2217" s="82" t="inlineStr">
        <is>
          <t>Insumo</t>
        </is>
      </c>
      <c r="C2217" s="82" t="inlineStr">
        <is>
          <t>M44A - Manta asfáltica tipo IV, 4 mm A, com acabamento areia/areia aderida com asfalto oxidado (3,0 kg/m²) + banho de asfalto oxidado (2,0 kg/m²)</t>
        </is>
      </c>
      <c r="D2217" s="82" t="inlineStr">
        <is>
          <t>Manta asfáltica tipo IV, 4 mm A, com acabamento areia/areia aderida com asfalto oxidado</t>
        </is>
      </c>
      <c r="E2217" s="11">
        <f t="array" ref="E2217">_xlfn.XLOOKUP(D2217,Insumos!B:B,Insumos!C:$C)</f>
        <v/>
      </c>
      <c r="F2217" s="2164" t="n">
        <v>3</v>
      </c>
      <c r="G2217" s="92">
        <f t="array" ref="G2217">IF(B2217="insumo",_xlfn.XLOOKUP($D2217,Insumos!$B$1:$B$996,Insumos!$D$1:$D$996),"")</f>
        <v/>
      </c>
      <c r="H2217" s="92" t="n">
        <v>90</v>
      </c>
      <c r="I2217" s="2165" t="n">
        <v>0</v>
      </c>
      <c r="J2217" s="2165" t="n">
        <v>0</v>
      </c>
      <c r="K2217" s="2165" t="n"/>
    </row>
    <row r="2218" outlineLevel="3" ht="12.75" customHeight="1">
      <c r="A2218" s="82" t="n">
        <v>7</v>
      </c>
      <c r="B2218" s="82" t="inlineStr">
        <is>
          <t>Insumo</t>
        </is>
      </c>
      <c r="C2218" s="82" t="inlineStr">
        <is>
          <t>M44A - Manta asfáltica tipo IV, 4 mm A, com acabamento areia/areia aderida com asfalto oxidado (3,0 kg/m²) + banho de asfalto oxidado (2,0 kg/m²)</t>
        </is>
      </c>
      <c r="D2218" s="82" t="inlineStr">
        <is>
          <t>banho de asfalto oxidado</t>
        </is>
      </c>
      <c r="E2218" s="11">
        <f t="array" ref="E2218">_xlfn.XLOOKUP(D2218,Insumos!B:B,Insumos!C:$C)</f>
        <v/>
      </c>
      <c r="F2218" s="2164" t="n">
        <v>2</v>
      </c>
      <c r="G2218" s="92">
        <f t="array" ref="G2218">IF(B2218="insumo",_xlfn.XLOOKUP($D2218,Insumos!$B$1:$B$996,Insumos!$D$1:$D$996),"")</f>
        <v/>
      </c>
      <c r="H2218" s="92" t="n">
        <v>18</v>
      </c>
      <c r="I2218" s="2165" t="n">
        <v>0</v>
      </c>
      <c r="J2218" s="2165" t="n">
        <v>0</v>
      </c>
      <c r="K2218" s="2165" t="n"/>
    </row>
    <row r="2219" outlineLevel="2" ht="12.75" customHeight="1">
      <c r="A2219" s="1071" t="n">
        <v>1</v>
      </c>
      <c r="B2219" s="1071" t="inlineStr">
        <is>
          <t>Serviço</t>
        </is>
      </c>
      <c r="C2219" s="1071" t="inlineStr">
        <is>
          <t>C3 - Argamassa polimérica rígida, estruturada com tela de poliéster nos pontos críticos (3,0 kg/m²)</t>
        </is>
      </c>
      <c r="D2219" s="1071" t="inlineStr">
        <is>
          <t>C3 - Argamassa polimérica rígida, estruturada com tela de poliéster nos pontos críticos (3,0 kg/m²)</t>
        </is>
      </c>
      <c r="E2219" s="1072" t="inlineStr">
        <is>
          <t>M2</t>
        </is>
      </c>
      <c r="F2219" s="1071" t="n"/>
      <c r="G2219" s="1073">
        <f t="array" ref="G2219">IF(B2219="insumo",_xlfn.XLOOKUP($D2219,Insumos!$B$1:$B$996,Insumos!$D$1:$D$996),"")</f>
        <v/>
      </c>
      <c r="H2219" s="1073" t="n">
        <v>29.6666666666667</v>
      </c>
      <c r="I2219" s="2163" t="n">
        <v>0</v>
      </c>
      <c r="J2219" s="2163" t="n">
        <v>0</v>
      </c>
      <c r="K2219" s="2163" t="n"/>
    </row>
    <row r="2220" outlineLevel="3" ht="12.75" customHeight="1">
      <c r="A2220" s="82" t="n">
        <v>2</v>
      </c>
      <c r="B2220" s="82" t="inlineStr">
        <is>
          <t>Insumo</t>
        </is>
      </c>
      <c r="C2220" s="82" t="inlineStr">
        <is>
          <t>C3 - Argamassa polimérica rígida, estruturada com tela de poliéster nos pontos críticos (3,0 kg/m²)</t>
        </is>
      </c>
      <c r="D2220" s="82" t="inlineStr">
        <is>
          <t>Argamassa polimérica rígida, estruturada com tela de poliéster nos pontos críticos</t>
        </is>
      </c>
      <c r="E2220" s="11">
        <f t="array" ref="E2220">_xlfn.XLOOKUP(D2220,Insumos!B:B,Insumos!C:$C)</f>
        <v/>
      </c>
      <c r="F2220" s="2164" t="n">
        <v>3</v>
      </c>
      <c r="G2220" s="92">
        <f t="array" ref="G2220">IF(B2220="insumo",_xlfn.XLOOKUP($D2220,Insumos!$B$1:$B$996,Insumos!$D$1:$D$996),"")</f>
        <v/>
      </c>
      <c r="H2220" s="92" t="n">
        <v>29.6666666666667</v>
      </c>
      <c r="I2220" s="2165" t="n">
        <v>0</v>
      </c>
      <c r="J2220" s="2165" t="n">
        <v>0</v>
      </c>
      <c r="K2220" s="2165" t="n"/>
    </row>
    <row r="2221" outlineLevel="2" ht="12.75" customHeight="1">
      <c r="A2221" s="1071" t="n">
        <v>1</v>
      </c>
      <c r="B2221" s="1071" t="inlineStr">
        <is>
          <t>Serviço</t>
        </is>
      </c>
      <c r="C2221" s="1071" t="inlineStr">
        <is>
          <t>C3E3 - Argamassa polimérica rígida (3,0 kg/m²) + membrana de polímero acrílico com cimento e fibras, estruturada com tela de poliéster nos pontos críticos (3,0 kg/m²)</t>
        </is>
      </c>
      <c r="D2221" s="1071" t="inlineStr">
        <is>
          <t>C3E3 - Argamassa polimérica rígida (3,0 kg/m²) + membrana de polímero acrílico com cimento e fibras, estruturada com tela de poliéster nos pontos críticos (3,0 kg/m²)</t>
        </is>
      </c>
      <c r="E2221" s="1072" t="inlineStr">
        <is>
          <t>M2</t>
        </is>
      </c>
      <c r="F2221" s="1071" t="n"/>
      <c r="G2221" s="1073">
        <f t="array" ref="G2221">IF(B2221="insumo",_xlfn.XLOOKUP($D2221,Insumos!$B$1:$B$996,Insumos!$D$1:$D$996),"")</f>
        <v/>
      </c>
      <c r="H2221" s="1073" t="n">
        <v>95.6666666666667</v>
      </c>
      <c r="I2221" s="2163" t="n">
        <v>0</v>
      </c>
      <c r="J2221" s="2163" t="n">
        <v>0</v>
      </c>
      <c r="K2221" s="2163" t="n"/>
    </row>
    <row r="2222" outlineLevel="3" ht="12.75" customHeight="1">
      <c r="A2222" s="82" t="n">
        <v>1</v>
      </c>
      <c r="B2222" s="82" t="inlineStr">
        <is>
          <t>Insumo</t>
        </is>
      </c>
      <c r="C2222" s="82" t="inlineStr">
        <is>
          <t>C3E3 - Argamassa polimérica rígida (3,0 kg/m²) + membrana de polímero acrílico com cimento e fibras, estruturada com tela de poliéster nos pontos críticos (3,0 kg/m²)</t>
        </is>
      </c>
      <c r="D2222" s="82" t="inlineStr">
        <is>
          <t>Argamassa polimérica rígida</t>
        </is>
      </c>
      <c r="E2222" s="11">
        <f t="array" ref="E2222">_xlfn.XLOOKUP(D2222,Insumos!B:B,Insumos!C:$C)</f>
        <v/>
      </c>
      <c r="F2222" s="2164" t="n">
        <v>3</v>
      </c>
      <c r="G2222" s="92">
        <f t="array" ref="G2222">IF(B2222="insumo",_xlfn.XLOOKUP($D2222,Insumos!$B$1:$B$996,Insumos!$D$1:$D$996),"")</f>
        <v/>
      </c>
      <c r="H2222" s="92" t="n">
        <v>29.6666666666667</v>
      </c>
      <c r="I2222" s="2165" t="n">
        <v>0</v>
      </c>
      <c r="J2222" s="2165" t="n">
        <v>0</v>
      </c>
      <c r="K2222" s="2165" t="n"/>
    </row>
    <row r="2223" outlineLevel="3" ht="12.75" customHeight="1">
      <c r="A2223" s="82" t="n">
        <v>2</v>
      </c>
      <c r="B2223" s="82" t="inlineStr">
        <is>
          <t>Insumo</t>
        </is>
      </c>
      <c r="C2223" s="82" t="inlineStr">
        <is>
          <t>C3E3 - Argamassa polimérica rígida (3,0 kg/m²) + membrana de polímero acrílico com cimento e fibras, estruturada com tela de poliéster nos pontos críticos (3,0 kg/m²)</t>
        </is>
      </c>
      <c r="D2223" s="82" t="inlineStr">
        <is>
          <t>membrana de polímero acrílico com cimento e fibras, estruturada com tela de poliéster nos pontos críticos</t>
        </is>
      </c>
      <c r="E2223" s="11">
        <f t="array" ref="E2223">_xlfn.XLOOKUP(D2223,Insumos!B:B,Insumos!C:$C)</f>
        <v/>
      </c>
      <c r="F2223" s="2164" t="n">
        <v>3</v>
      </c>
      <c r="G2223" s="92">
        <f t="array" ref="G2223">IF(B2223="insumo",_xlfn.XLOOKUP($D2223,Insumos!$B$1:$B$996,Insumos!$D$1:$D$996),"")</f>
        <v/>
      </c>
      <c r="H2223" s="92" t="n">
        <v>66</v>
      </c>
      <c r="I2223" s="2165" t="n">
        <v>0</v>
      </c>
      <c r="J2223" s="2165" t="n">
        <v>0</v>
      </c>
      <c r="K2223" s="2165" t="n"/>
    </row>
    <row r="2224" outlineLevel="2" ht="12.75" customHeight="1">
      <c r="A2224" s="1071" t="n">
        <v>1</v>
      </c>
      <c r="B2224" s="1071" t="inlineStr">
        <is>
          <t>Serviço</t>
        </is>
      </c>
      <c r="C2224" s="1071" t="inlineStr">
        <is>
          <t>C4 - Argamassa polimérica rígida, estruturada com tela de poliéster nos pontos críticos (4,0 kg/m²)</t>
        </is>
      </c>
      <c r="D2224" s="1071" t="inlineStr">
        <is>
          <t>C4 - Argamassa polimérica rígida, estruturada com tela de poliéster nos pontos críticos (4,0 kg/m²)</t>
        </is>
      </c>
      <c r="E2224" s="1072" t="inlineStr">
        <is>
          <t>M2</t>
        </is>
      </c>
      <c r="F2224" s="1071" t="n"/>
      <c r="G2224" s="1073">
        <f t="array" ref="G2224">IF(B2224="insumo",_xlfn.XLOOKUP($D2224,Insumos!$B$1:$B$996,Insumos!$D$1:$D$996),"")</f>
        <v/>
      </c>
      <c r="H2224" s="1073" t="n">
        <v>39.5555555555556</v>
      </c>
      <c r="I2224" s="2163" t="n">
        <v>0</v>
      </c>
      <c r="J2224" s="2163" t="n">
        <v>0</v>
      </c>
      <c r="K2224" s="2163" t="n"/>
    </row>
    <row r="2225" outlineLevel="3" ht="12.75" customHeight="1">
      <c r="A2225" s="82" t="n">
        <v>2</v>
      </c>
      <c r="B2225" s="82" t="inlineStr">
        <is>
          <t>Insumo</t>
        </is>
      </c>
      <c r="C2225" s="82" t="inlineStr">
        <is>
          <t>C4 - Argamassa polimérica rígida, estruturada com tela de poliéster nos pontos críticos (4,0 kg/m²)</t>
        </is>
      </c>
      <c r="D2225" s="82" t="inlineStr">
        <is>
          <t>Argamassa polimérica rígida, estruturada com tela de poliéster nos pontos críticos</t>
        </is>
      </c>
      <c r="E2225" s="11">
        <f t="array" ref="E2225">_xlfn.XLOOKUP(D2225,Insumos!B:B,Insumos!C:$C)</f>
        <v/>
      </c>
      <c r="F2225" s="2164" t="n">
        <v>4</v>
      </c>
      <c r="G2225" s="92">
        <f t="array" ref="G2225">IF(B2225="insumo",_xlfn.XLOOKUP($D2225,Insumos!$B$1:$B$996,Insumos!$D$1:$D$996),"")</f>
        <v/>
      </c>
      <c r="H2225" s="92" t="n">
        <v>39.5555555555556</v>
      </c>
      <c r="I2225" s="2165" t="n">
        <v>0</v>
      </c>
      <c r="J2225" s="2165" t="n">
        <v>0</v>
      </c>
      <c r="K2225" s="2165" t="n"/>
    </row>
    <row r="2226" outlineLevel="2" ht="12.75" customHeight="1">
      <c r="A2226" s="1071" t="n">
        <v>1</v>
      </c>
      <c r="B2226" s="1071" t="inlineStr">
        <is>
          <t>Serviço</t>
        </is>
      </c>
      <c r="C2226" s="1071" t="inlineStr">
        <is>
          <t>C4RQ - Argamassa polimérica rígida, com alta resistência química, estruturada com tela de poliéster nos pontos críticos (4,0 kg/m²)</t>
        </is>
      </c>
      <c r="D2226" s="1071" t="inlineStr">
        <is>
          <t>C4RQ - Argamassa polimérica rígida, com alta resistência química, estruturada com tela de poliéster nos pontos críticos (4,0 kg/m²)</t>
        </is>
      </c>
      <c r="E2226" s="1072" t="inlineStr">
        <is>
          <t>M2</t>
        </is>
      </c>
      <c r="F2226" s="1071" t="n"/>
      <c r="G2226" s="1073">
        <f t="array" ref="G2226">IF(B2226="insumo",_xlfn.XLOOKUP($D2226,Insumos!$B$1:$B$996,Insumos!$D$1:$D$996),"")</f>
        <v/>
      </c>
      <c r="H2226" s="1073" t="n">
        <v>39.5555555555556</v>
      </c>
      <c r="I2226" s="2163" t="n">
        <v>0</v>
      </c>
      <c r="J2226" s="2163" t="n">
        <v>0</v>
      </c>
      <c r="K2226" s="2163" t="n"/>
    </row>
    <row r="2227" outlineLevel="3" ht="12.75" customHeight="1">
      <c r="A2227" s="82" t="n">
        <v>1</v>
      </c>
      <c r="B2227" s="82" t="inlineStr">
        <is>
          <t>Insumo</t>
        </is>
      </c>
      <c r="C2227" s="82" t="inlineStr">
        <is>
          <t>C4RQ - Argamassa polimérica rígida, com alta resistência química, estruturada com tela de poliéster nos pontos críticos (4,0 kg/m²)</t>
        </is>
      </c>
      <c r="D2227" s="82" t="inlineStr">
        <is>
          <t>Argamassa polimérica rígida, com alta resistência química, estruturada com tela de poliéster nos pontos críticos</t>
        </is>
      </c>
      <c r="E2227" s="11">
        <f t="array" ref="E2227">_xlfn.XLOOKUP(D2227,Insumos!B:B,Insumos!C:$C)</f>
        <v/>
      </c>
      <c r="F2227" s="2164" t="n">
        <v>4</v>
      </c>
      <c r="G2227" s="92">
        <f t="array" ref="G2227">IF(B2227="insumo",_xlfn.XLOOKUP($D2227,Insumos!$B$1:$B$996,Insumos!$D$1:$D$996),"")</f>
        <v/>
      </c>
      <c r="H2227" s="92" t="n">
        <v>39.5555555555556</v>
      </c>
      <c r="I2227" s="2165" t="n">
        <v>0</v>
      </c>
      <c r="J2227" s="2165" t="n">
        <v>0</v>
      </c>
      <c r="K2227" s="2165" t="n"/>
    </row>
    <row r="2228" outlineLevel="2" ht="12.75" customHeight="1">
      <c r="A2228" s="1071" t="n">
        <v>1</v>
      </c>
      <c r="B2228" s="1071" t="inlineStr">
        <is>
          <t>Serviço</t>
        </is>
      </c>
      <c r="C2228" s="1071" t="inlineStr">
        <is>
          <t>I30 - Membrana acrílica, estruturada com tela de poliéster, nos pontos críticos (3,0 kg/m²)</t>
        </is>
      </c>
      <c r="D2228" s="1071" t="inlineStr">
        <is>
          <t>I30 - Membrana acrílica, estruturada com tela de poliéster, nos pontos críticos (3,0 kg/m²)</t>
        </is>
      </c>
      <c r="E2228" s="1072" t="inlineStr">
        <is>
          <t>M2</t>
        </is>
      </c>
      <c r="F2228" s="1071" t="n"/>
      <c r="G2228" s="1073">
        <f t="array" ref="G2228">IF(B2228="insumo",_xlfn.XLOOKUP($D2228,Insumos!$B$1:$B$996,Insumos!$D$1:$D$996),"")</f>
        <v/>
      </c>
      <c r="H2228" s="1073" t="n">
        <v>72</v>
      </c>
      <c r="I2228" s="2163" t="n">
        <v>0</v>
      </c>
      <c r="J2228" s="2163" t="n">
        <v>0</v>
      </c>
      <c r="K2228" s="2163" t="n"/>
    </row>
    <row r="2229" outlineLevel="3" ht="12.75" customHeight="1">
      <c r="A2229" s="82" t="n">
        <v>1</v>
      </c>
      <c r="B2229" s="82" t="inlineStr">
        <is>
          <t>Insumo</t>
        </is>
      </c>
      <c r="C2229" s="82" t="inlineStr">
        <is>
          <t>I30 - Membrana acrílica, estruturada com tela de poliéster, nos pontos críticos (3,0 kg/m²)</t>
        </is>
      </c>
      <c r="D2229" s="82" t="inlineStr">
        <is>
          <t>Membrana acrílica, estruturada com tela de poliéster, nos pontos críticos</t>
        </is>
      </c>
      <c r="E2229" s="11">
        <f t="array" ref="E2229">_xlfn.XLOOKUP(D2229,Insumos!B:B,Insumos!C:$C)</f>
        <v/>
      </c>
      <c r="F2229" s="2164" t="n">
        <v>3</v>
      </c>
      <c r="G2229" s="92">
        <f t="array" ref="G2229">IF(B2229="insumo",_xlfn.XLOOKUP($D2229,Insumos!$B$1:$B$996,Insumos!$D$1:$D$996),"")</f>
        <v/>
      </c>
      <c r="H2229" s="92" t="n">
        <v>72</v>
      </c>
      <c r="I2229" s="2165" t="n">
        <v>0</v>
      </c>
      <c r="J2229" s="2165" t="n">
        <v>0</v>
      </c>
      <c r="K2229" s="2165" t="n"/>
    </row>
    <row r="2230" outlineLevel="2" ht="12.75" customHeight="1">
      <c r="A2230" s="1071" t="n">
        <v>1</v>
      </c>
      <c r="B2230" s="1071" t="inlineStr">
        <is>
          <t>Serviço</t>
        </is>
      </c>
      <c r="C2230" s="1071" t="inlineStr">
        <is>
          <t>M44AE2 - Manta asfáltica tipo IV, 4 mm A, com acabamento areia/areia aderida com asfalto oxidado (3,0 kg/m²) + banho de asfalto oxidado (2,0 kg/m²) + membrana de polímero acrílico com cimento e fibras para combater eflorescência (2,0 kg/m²)</t>
        </is>
      </c>
      <c r="D2230" s="1071" t="inlineStr">
        <is>
          <t>M44AE2 - Manta asfáltica tipo IV, 4 mm A, com acabamento areia/areia aderida com asfalto oxidado (3,0 kg/m²) + banho de asfalto oxidado (2,0 kg/m²) + membrana de polímero acrílico com cimento e fibras para combater eflorescência (2,0 kg/m²)</t>
        </is>
      </c>
      <c r="E2230" s="1072" t="inlineStr">
        <is>
          <t>M2</t>
        </is>
      </c>
      <c r="F2230" s="1071" t="n"/>
      <c r="G2230" s="1073">
        <f t="array" ref="G2230">IF(B2230="insumo",_xlfn.XLOOKUP($D2230,Insumos!$B$1:$B$996,Insumos!$D$1:$D$996),"")</f>
        <v/>
      </c>
      <c r="H2230" s="1073" t="n">
        <v>156</v>
      </c>
      <c r="I2230" s="2163" t="n">
        <v>0</v>
      </c>
      <c r="J2230" s="2163" t="n">
        <v>0</v>
      </c>
      <c r="K2230" s="2163" t="n"/>
    </row>
    <row r="2231" outlineLevel="3" ht="12.75" customHeight="1">
      <c r="A2231" s="82" t="n">
        <v>3</v>
      </c>
      <c r="B2231" s="82" t="inlineStr">
        <is>
          <t>Insumo</t>
        </is>
      </c>
      <c r="C2231" s="82" t="inlineStr">
        <is>
          <t>M44AE2 - Manta asfáltica tipo IV, 4 mm A, com acabamento areia/areia aderida com asfalto oxidado (3,0 kg/m²) + banho de asfalto oxidado (2,0 kg/m²) + membrana de polímero acrílico com cimento e fibras para combater eflorescência (2,0 kg/m²)</t>
        </is>
      </c>
      <c r="D2231" s="82" t="inlineStr">
        <is>
          <t>Manta asfáltica tipo IV, 4 mm A, com acabamento areia/areia aderida com asfalto oxidado</t>
        </is>
      </c>
      <c r="E2231" s="11">
        <f t="array" ref="E2231">_xlfn.XLOOKUP(D2231,Insumos!B:B,Insumos!C:$C)</f>
        <v/>
      </c>
      <c r="F2231" s="2164" t="n">
        <v>3</v>
      </c>
      <c r="G2231" s="92">
        <f t="array" ref="G2231">IF(B2231="insumo",_xlfn.XLOOKUP($D2231,Insumos!$B$1:$B$996,Insumos!$D$1:$D$996),"")</f>
        <v/>
      </c>
      <c r="H2231" s="92" t="n">
        <v>90</v>
      </c>
      <c r="I2231" s="2165" t="n">
        <v>0</v>
      </c>
      <c r="J2231" s="2165" t="n">
        <v>0</v>
      </c>
      <c r="K2231" s="2165" t="n"/>
    </row>
    <row r="2232" outlineLevel="3" ht="12.75" customHeight="1">
      <c r="A2232" s="82" t="n">
        <v>7</v>
      </c>
      <c r="B2232" s="82" t="inlineStr">
        <is>
          <t>Insumo</t>
        </is>
      </c>
      <c r="C2232" s="82" t="inlineStr">
        <is>
          <t>M44AE2 - Manta asfáltica tipo IV, 4 mm A, com acabamento areia/areia aderida com asfalto oxidado (3,0 kg/m²) + banho de asfalto oxidado (2,0 kg/m²) + membrana de polímero acrílico com cimento e fibras para combater eflorescência (2,0 kg/m²)</t>
        </is>
      </c>
      <c r="D2232" s="82" t="inlineStr">
        <is>
          <t>banho de asfalto oxidado</t>
        </is>
      </c>
      <c r="E2232" s="11">
        <f t="array" ref="E2232">_xlfn.XLOOKUP(D2232,Insumos!B:B,Insumos!C:$C)</f>
        <v/>
      </c>
      <c r="F2232" s="2164" t="n">
        <v>2</v>
      </c>
      <c r="G2232" s="92">
        <f t="array" ref="G2232">IF(B2232="insumo",_xlfn.XLOOKUP($D2232,Insumos!$B$1:$B$996,Insumos!$D$1:$D$996),"")</f>
        <v/>
      </c>
      <c r="H2232" s="92" t="n">
        <v>18</v>
      </c>
      <c r="I2232" s="2165" t="n">
        <v>0</v>
      </c>
      <c r="J2232" s="2165" t="n">
        <v>0</v>
      </c>
      <c r="K2232" s="2165" t="n"/>
    </row>
    <row r="2233" outlineLevel="3" ht="12.75" customHeight="1">
      <c r="A2233" s="82" t="n">
        <v>2</v>
      </c>
      <c r="B2233" s="82" t="inlineStr">
        <is>
          <t>Insumo</t>
        </is>
      </c>
      <c r="C2233" s="82" t="inlineStr">
        <is>
          <t>M44AE2 - Manta asfáltica tipo IV, 4 mm A, com acabamento areia/areia aderida com asfalto oxidado (3,0 kg/m²) + banho de asfalto oxidado (2,0 kg/m²) + membrana de polímero acrílico com cimento e fibras para combater eflorescência (2,0 kg/m²)</t>
        </is>
      </c>
      <c r="D2233" s="82" t="inlineStr">
        <is>
          <t>membrana de polímero acrílico com cimento e fibras para combater eflorescência</t>
        </is>
      </c>
      <c r="E2233" s="11">
        <f t="array" ref="E2233">_xlfn.XLOOKUP(D2233,Insumos!B:B,Insumos!C:$C)</f>
        <v/>
      </c>
      <c r="F2233" s="2164" t="n">
        <v>2</v>
      </c>
      <c r="G2233" s="92">
        <f t="array" ref="G2233">IF(B2233="insumo",_xlfn.XLOOKUP($D2233,Insumos!$B$1:$B$996,Insumos!$D$1:$D$996),"")</f>
        <v/>
      </c>
      <c r="H2233" s="92" t="n">
        <v>48</v>
      </c>
      <c r="I2233" s="2165" t="n">
        <v>0</v>
      </c>
      <c r="J2233" s="2165" t="n">
        <v>0</v>
      </c>
      <c r="K2233" s="2165" t="n"/>
    </row>
    <row r="2234" outlineLevel="2" ht="12.75" customHeight="1">
      <c r="A2234" s="1071" t="n">
        <v>1</v>
      </c>
      <c r="B2234" s="1071" t="inlineStr">
        <is>
          <t>Serviço</t>
        </is>
      </c>
      <c r="C2234" s="1071" t="inlineStr">
        <is>
          <t>E2 - Membrana de polímero acrílico, com cimento e com fibras, estruturada com tela de poliéster nos pontos críticos (2,0 kg/m²)</t>
        </is>
      </c>
      <c r="D2234" s="1071" t="inlineStr">
        <is>
          <t>E2 - Membrana de polímero acrílico, com cimento e com fibras, estruturada com tela de poliéster nos pontos críticos (2,0 kg/m²)</t>
        </is>
      </c>
      <c r="E2234" s="1072" t="inlineStr">
        <is>
          <t>M2</t>
        </is>
      </c>
      <c r="F2234" s="1071" t="n"/>
      <c r="G2234" s="1073">
        <f t="array" ref="G2234">IF(B2234="insumo",_xlfn.XLOOKUP($D2234,Insumos!$B$1:$B$996,Insumos!$D$1:$D$996),"")</f>
        <v/>
      </c>
      <c r="H2234" s="1073" t="n">
        <v>48</v>
      </c>
      <c r="I2234" s="2163" t="n">
        <v>0</v>
      </c>
      <c r="J2234" s="2163" t="n">
        <v>0</v>
      </c>
      <c r="K2234" s="2163" t="n"/>
    </row>
    <row r="2235" outlineLevel="3" ht="12.75" customHeight="1">
      <c r="A2235" s="82" t="n">
        <v>1</v>
      </c>
      <c r="B2235" s="82" t="inlineStr">
        <is>
          <t>Insumo</t>
        </is>
      </c>
      <c r="C2235" s="82" t="inlineStr">
        <is>
          <t>E2 - Membrana de polímero acrílico, com cimento e com fibras, estruturada com tela de poliéster nos pontos críticos (2,0 kg/m²)</t>
        </is>
      </c>
      <c r="D2235" s="82" t="inlineStr">
        <is>
          <t>Membrana de polímero acrílico, com cimento e com fibras, estruturada com tela de poliéster nos pontos críticos</t>
        </is>
      </c>
      <c r="E2235" s="11">
        <f t="array" ref="E2235">_xlfn.XLOOKUP(D2235,Insumos!B:B,Insumos!C:$C)</f>
        <v/>
      </c>
      <c r="F2235" s="2164" t="n">
        <v>2</v>
      </c>
      <c r="G2235" s="92">
        <f t="array" ref="G2235">IF(B2235="insumo",_xlfn.XLOOKUP($D2235,Insumos!$B$1:$B$996,Insumos!$D$1:$D$996),"")</f>
        <v/>
      </c>
      <c r="H2235" s="92" t="n">
        <v>48</v>
      </c>
      <c r="I2235" s="2165" t="n">
        <v>0</v>
      </c>
      <c r="J2235" s="2165" t="n">
        <v>0</v>
      </c>
      <c r="K2235" s="2165" t="n"/>
    </row>
    <row r="2236" outlineLevel="2" ht="12.75" customHeight="1">
      <c r="A2236" s="1071" t="n">
        <v>1</v>
      </c>
      <c r="B2236" s="1071" t="inlineStr">
        <is>
          <t>Serviço</t>
        </is>
      </c>
      <c r="C2236" s="1071" t="inlineStr">
        <is>
          <t>M44AR05 - Manta asfáltica tipo IV, 4 mm A, com acabamento areia/areia aderida com asfalto oxidado (3,0 kg/m²) + banho de asfalto oxidado (2,0 kg/m²) + pintura de proteção antirraiz sobre a proteção mecânica (0,5 L/m²)</t>
        </is>
      </c>
      <c r="D2236" s="1071" t="inlineStr">
        <is>
          <t>M44AR05 - Manta asfáltica tipo IV, 4 mm A, com acabamento areia/areia aderida com asfalto oxidado (3,0 kg/m²) + banho de asfalto oxidado (2,0 kg/m²) + pintura de proteção antirraiz sobre a proteção mecânica (0,5 L/m²)</t>
        </is>
      </c>
      <c r="E2236" s="1072" t="inlineStr">
        <is>
          <t>M2</t>
        </is>
      </c>
      <c r="F2236" s="1071" t="n"/>
      <c r="G2236" s="1073">
        <f t="array" ref="G2236">IF(B2236="insumo",_xlfn.XLOOKUP($D2236,Insumos!$B$1:$B$996,Insumos!$D$1:$D$996),"")</f>
        <v/>
      </c>
      <c r="H2236" s="1073" t="n">
        <v>138</v>
      </c>
      <c r="I2236" s="2163" t="n">
        <v>0</v>
      </c>
      <c r="J2236" s="2163" t="n">
        <v>0</v>
      </c>
      <c r="K2236" s="2163" t="n"/>
    </row>
    <row r="2237" outlineLevel="3" ht="12.75" customHeight="1">
      <c r="A2237" s="82" t="n">
        <v>3</v>
      </c>
      <c r="B2237" s="82" t="inlineStr">
        <is>
          <t>Insumo</t>
        </is>
      </c>
      <c r="C2237" s="82" t="inlineStr">
        <is>
          <t>M44AR05 - Manta asfáltica tipo IV, 4 mm A, com acabamento areia/areia aderida com asfalto oxidado (3,0 kg/m²) + banho de asfalto oxidado (2,0 kg/m²) + pintura de proteção antirraiz sobre a proteção mecânica (0,5 L/m²)</t>
        </is>
      </c>
      <c r="D2237" s="82" t="inlineStr">
        <is>
          <t>Manta asfáltica tipo IV, 4 mm A, com acabamento areia/areia aderida com asfalto oxidado</t>
        </is>
      </c>
      <c r="E2237" s="11">
        <f t="array" ref="E2237">_xlfn.XLOOKUP(D2237,Insumos!B:B,Insumos!C:$C)</f>
        <v/>
      </c>
      <c r="F2237" s="2164" t="n">
        <v>3</v>
      </c>
      <c r="G2237" s="92">
        <f t="array" ref="G2237">IF(B2237="insumo",_xlfn.XLOOKUP($D2237,Insumos!$B$1:$B$996,Insumos!$D$1:$D$996),"")</f>
        <v/>
      </c>
      <c r="H2237" s="93" t="n">
        <v>90</v>
      </c>
      <c r="I2237" s="2165" t="n">
        <v>0</v>
      </c>
      <c r="J2237" s="2165" t="n">
        <v>0</v>
      </c>
      <c r="K2237" s="2165" t="n"/>
    </row>
    <row r="2238" outlineLevel="3" ht="12.75" customHeight="1">
      <c r="A2238" s="82" t="n">
        <v>7</v>
      </c>
      <c r="B2238" s="82" t="inlineStr">
        <is>
          <t>Insumo</t>
        </is>
      </c>
      <c r="C2238" s="82" t="inlineStr">
        <is>
          <t>M44AR05 - Manta asfáltica tipo IV, 4 mm A, com acabamento areia/areia aderida com asfalto oxidado (3,0 kg/m²) + banho de asfalto oxidado (2,0 kg/m²) + pintura de proteção antirraiz sobre a proteção mecânica (0,5 L/m²)</t>
        </is>
      </c>
      <c r="D2238" s="82" t="inlineStr">
        <is>
          <t>banho de asfalto oxidado</t>
        </is>
      </c>
      <c r="E2238" s="11">
        <f t="array" ref="E2238">_xlfn.XLOOKUP(D2238,Insumos!B:B,Insumos!C:$C)</f>
        <v/>
      </c>
      <c r="F2238" s="2164" t="n">
        <v>2</v>
      </c>
      <c r="G2238" s="92">
        <f t="array" ref="G2238">IF(B2238="insumo",_xlfn.XLOOKUP($D2238,Insumos!$B$1:$B$996,Insumos!$D$1:$D$996),"")</f>
        <v/>
      </c>
      <c r="H2238" s="93" t="n">
        <v>18</v>
      </c>
      <c r="I2238" s="2165" t="n">
        <v>0</v>
      </c>
      <c r="J2238" s="2165" t="n">
        <v>0</v>
      </c>
      <c r="K2238" s="2165" t="n"/>
    </row>
    <row r="2239" outlineLevel="3" ht="12.75" customHeight="1">
      <c r="A2239" s="82" t="n">
        <v>3</v>
      </c>
      <c r="B2239" s="82" t="inlineStr">
        <is>
          <t>Insumo</t>
        </is>
      </c>
      <c r="C2239" s="82" t="inlineStr">
        <is>
          <t>M44AR05 - Manta asfáltica tipo IV, 4 mm A, com acabamento areia/areia aderida com asfalto oxidado (3,0 kg/m²) + banho de asfalto oxidado (2,0 kg/m²) + pintura de proteção antirraiz sobre a proteção mecânica (0,5 L/m²)</t>
        </is>
      </c>
      <c r="D2239" s="82" t="inlineStr">
        <is>
          <t>pintura de proteção antirraiz sobre a proteção mecânica</t>
        </is>
      </c>
      <c r="E2239" s="11">
        <f t="array" ref="E2239">_xlfn.XLOOKUP(D2239,Insumos!B:B,Insumos!C:$C)</f>
        <v/>
      </c>
      <c r="F2239" s="2164" t="n">
        <v>0.5</v>
      </c>
      <c r="G2239" s="92">
        <f t="array" ref="G2239">IF(B2239="insumo",_xlfn.XLOOKUP($D2239,Insumos!$B$1:$B$996,Insumos!$D$1:$D$996),"")</f>
        <v/>
      </c>
      <c r="H2239" s="93" t="n">
        <v>30</v>
      </c>
      <c r="I2239" s="2165" t="n">
        <v>0</v>
      </c>
      <c r="J2239" s="2165" t="n">
        <v>0</v>
      </c>
      <c r="K2239" s="2165" t="n"/>
    </row>
    <row r="2240" outlineLevel="2" ht="12.75" customHeight="1">
      <c r="A2240" s="1071" t="n">
        <v>1</v>
      </c>
      <c r="B2240" s="1071" t="inlineStr">
        <is>
          <t>Serviço</t>
        </is>
      </c>
      <c r="C2240" s="1071" t="inlineStr">
        <is>
          <t>M44A + M44AE2 - Manta asfáltica tipo IV, 4 mm + manta asfáltica tipo IV, 4 mm + banho de asfalto oxidado + membrana de polímero acrílico com cimento e fibras para combater eflorescência</t>
        </is>
      </c>
      <c r="D2240" s="1071" t="inlineStr">
        <is>
          <t>M44A + M44AE2 - Manta asfáltica tipo IV, 4 mm + manta asfáltica tipo IV, 4 mm + banho de asfalto oxidado + membrana de polímero acrílico com cimento e fibras para combater eflorescência</t>
        </is>
      </c>
      <c r="E2240" s="1072" t="inlineStr">
        <is>
          <t>M2</t>
        </is>
      </c>
      <c r="F2240" s="1071" t="n"/>
      <c r="G2240" s="1073">
        <f t="array" ref="G2240">IF(B2240="insumo",_xlfn.XLOOKUP($D2240,Insumos!$B$1:$B$996,Insumos!$D$1:$D$996),"")</f>
        <v/>
      </c>
      <c r="H2240" s="1073" t="n">
        <v>246</v>
      </c>
      <c r="I2240" s="2163" t="n">
        <v>0</v>
      </c>
      <c r="J2240" s="2163" t="n">
        <v>0</v>
      </c>
      <c r="K2240" s="2163" t="n"/>
    </row>
    <row r="2241" outlineLevel="3" ht="12.75" customHeight="1">
      <c r="A2241" s="82" t="n">
        <v>1</v>
      </c>
      <c r="B2241" s="82" t="inlineStr">
        <is>
          <t>Insumo</t>
        </is>
      </c>
      <c r="C2241" s="82" t="inlineStr">
        <is>
          <t>M44A + M44AE2 - Manta asfáltica tipo IV, 4 mm + manta asfáltica tipo IV, 4 mm + banho de asfalto oxidado + membrana de polímero acrílico com cimento e fibras para combater eflorescência</t>
        </is>
      </c>
      <c r="D2241" s="82" t="inlineStr">
        <is>
          <t>Manta asfáltica tipo IV, 4 mm A, com acabamento areia/areia + manta asfáltica tipo IV, 4 mm A, com acabamento areia/areia aderida com asfalto oxidado</t>
        </is>
      </c>
      <c r="E2241" s="11">
        <f t="array" ref="E2241">_xlfn.XLOOKUP(D2241,Insumos!B:B,Insumos!C:$C)</f>
        <v/>
      </c>
      <c r="F2241" s="2164" t="n">
        <v>6</v>
      </c>
      <c r="G2241" s="92">
        <f t="array" ref="G2241">IF(B2241="insumo",_xlfn.XLOOKUP($D2241,Insumos!$B$1:$B$996,Insumos!$D$1:$D$996),"")</f>
        <v/>
      </c>
      <c r="H2241" s="93" t="n">
        <v>180</v>
      </c>
      <c r="I2241" s="2165" t="n">
        <v>0</v>
      </c>
      <c r="J2241" s="2165" t="n">
        <v>0</v>
      </c>
      <c r="K2241" s="2165" t="n"/>
    </row>
    <row r="2242" outlineLevel="3" ht="12.75" customHeight="1">
      <c r="A2242" s="82" t="n">
        <v>7</v>
      </c>
      <c r="B2242" s="82" t="inlineStr">
        <is>
          <t>Insumo</t>
        </is>
      </c>
      <c r="C2242" s="82" t="inlineStr">
        <is>
          <t>M44A + M44AE2 - Manta asfáltica tipo IV, 4 mm + manta asfáltica tipo IV, 4 mm + banho de asfalto oxidado + membrana de polímero acrílico com cimento e fibras para combater eflorescência</t>
        </is>
      </c>
      <c r="D2242" s="82" t="inlineStr">
        <is>
          <t>banho de asfalto oxidado</t>
        </is>
      </c>
      <c r="E2242" s="11">
        <f t="array" ref="E2242">_xlfn.XLOOKUP(D2242,Insumos!B:B,Insumos!C:$C)</f>
        <v/>
      </c>
      <c r="F2242" s="2164" t="n">
        <v>2</v>
      </c>
      <c r="G2242" s="92">
        <f t="array" ref="G2242">IF(B2242="insumo",_xlfn.XLOOKUP($D2242,Insumos!$B$1:$B$996,Insumos!$D$1:$D$996),"")</f>
        <v/>
      </c>
      <c r="H2242" s="93" t="n">
        <v>18</v>
      </c>
      <c r="I2242" s="2165" t="n">
        <v>0</v>
      </c>
      <c r="J2242" s="2165" t="n">
        <v>0</v>
      </c>
      <c r="K2242" s="2165" t="n"/>
    </row>
    <row r="2243" outlineLevel="3" ht="12.75" customHeight="1">
      <c r="A2243" s="82" t="n">
        <v>2</v>
      </c>
      <c r="B2243" s="82" t="inlineStr">
        <is>
          <t>Insumo</t>
        </is>
      </c>
      <c r="C2243" s="82" t="inlineStr">
        <is>
          <t>M44A + M44AE2 - Manta asfáltica tipo IV, 4 mm + manta asfáltica tipo IV, 4 mm + banho de asfalto oxidado + membrana de polímero acrílico com cimento e fibras para combater eflorescência</t>
        </is>
      </c>
      <c r="D2243" s="82" t="inlineStr">
        <is>
          <t>membrana de polímero acrílico com cimento e fibras para combater eflorescência</t>
        </is>
      </c>
      <c r="E2243" s="11">
        <f t="array" ref="E2243">_xlfn.XLOOKUP(D2243,Insumos!B:B,Insumos!C:$C)</f>
        <v/>
      </c>
      <c r="F2243" s="2164" t="n">
        <v>2</v>
      </c>
      <c r="G2243" s="92">
        <f t="array" ref="G2243">IF(B2243="insumo",_xlfn.XLOOKUP($D2243,Insumos!$B$1:$B$996,Insumos!$D$1:$D$996),"")</f>
        <v/>
      </c>
      <c r="H2243" s="93" t="n">
        <v>48</v>
      </c>
      <c r="I2243" s="2165" t="n">
        <v>0</v>
      </c>
      <c r="J2243" s="2165" t="n">
        <v>0</v>
      </c>
      <c r="K2243" s="2165" t="n"/>
    </row>
    <row r="2244" outlineLevel="2" ht="12.75" customHeight="1">
      <c r="A2244" s="1071" t="n">
        <v>1</v>
      </c>
      <c r="B2244" s="1071" t="inlineStr">
        <is>
          <t>Serviço</t>
        </is>
      </c>
      <c r="C2244" s="1071" t="inlineStr">
        <is>
          <t>Sistema 2.5.3: Membrana de polímero acrílico com cimento e fibras sintéticas | Revestimento bicomponente à base de polímeros acrílicos com adição de cimento e fibras sintéticas (3,0 kg/m²) + Tela de poliéster nos pontos críticos</t>
        </is>
      </c>
      <c r="D2244" s="1071" t="inlineStr">
        <is>
          <t>Sistema 2.5.3: Membrana de polímero acrílico com cimento e fibras sintéticas | Revestimento bicomponente à base de polímeros acrílicos com adição de cimento e fibras sintéticas (3,0 kg/m²) + Tela de poliéster nos pontos críticos</t>
        </is>
      </c>
      <c r="E2244" s="1072" t="inlineStr">
        <is>
          <t>M2</t>
        </is>
      </c>
      <c r="F2244" s="1071" t="n"/>
      <c r="G2244" s="1073">
        <f t="array" ref="G2244">IF(B2244="insumo",_xlfn.XLOOKUP($D2244,Insumos!$B$1:$B$996,Insumos!$D$1:$D$996),"")</f>
        <v/>
      </c>
      <c r="H2244" s="1073" t="n">
        <v>34.0584666666667</v>
      </c>
      <c r="I2244" s="2163" t="n">
        <v>4925.75</v>
      </c>
      <c r="J2244" s="2163" t="n">
        <v>167763.492183334</v>
      </c>
      <c r="K2244" s="2163" t="n"/>
    </row>
    <row r="2245" outlineLevel="3" ht="12.75" customHeight="1">
      <c r="A2245" s="82" t="n">
        <v>3</v>
      </c>
      <c r="B2245" s="82" t="inlineStr">
        <is>
          <t>Insumo</t>
        </is>
      </c>
      <c r="C2245" s="82" t="inlineStr">
        <is>
          <t>Sistema 2.5.3: Membrana de polímero acrílico com cimento e fibras sintéticas | Revestimento bicomponente à base de polímeros acrílicos com adição de cimento e fibras sintéticas (3,0 kg/m²) + Tela de poliéster nos pontos críticos</t>
        </is>
      </c>
      <c r="D2245" s="82" t="inlineStr">
        <is>
          <t>Membrana de polímeros acrílicos com cimento e com fibras</t>
        </is>
      </c>
      <c r="E2245" s="11">
        <f t="array" ref="E2245">_xlfn.XLOOKUP(D2245,Insumos!B:B,Insumos!C:$C)</f>
        <v/>
      </c>
      <c r="F2245" s="2164" t="n">
        <v>3</v>
      </c>
      <c r="G2245" s="92">
        <f t="array" ref="G2245">IF(B2245="insumo",_xlfn.XLOOKUP($D2245,Insumos!$B$1:$B$996,Insumos!$D$1:$D$996),"")</f>
        <v/>
      </c>
      <c r="H2245" s="93" t="n">
        <v>33.1666666666667</v>
      </c>
      <c r="I2245" s="2165" t="n">
        <v>4925.75</v>
      </c>
      <c r="J2245" s="2165" t="n">
        <v>163370.708333333</v>
      </c>
      <c r="K2245" s="2165" t="n"/>
    </row>
    <row r="2246" outlineLevel="3" ht="12.75" customHeight="1">
      <c r="A2246" s="82" t="n">
        <v>5</v>
      </c>
      <c r="B2246" s="82" t="inlineStr">
        <is>
          <t>Insumo</t>
        </is>
      </c>
      <c r="C2246" s="82" t="inlineStr">
        <is>
          <t>Sistema 2.5.3: Membrana de polímero acrílico com cimento e fibras sintéticas | Revestimento bicomponente à base de polímeros acrílicos com adição de cimento e fibras sintéticas (3,0 kg/m²) + Tela de poliéster nos pontos críticos</t>
        </is>
      </c>
      <c r="D2246" s="82" t="inlineStr">
        <is>
          <t>Tela Poliéster De Reforço Para Impermeabilização - 50m X 1m</t>
        </is>
      </c>
      <c r="E2246" s="11">
        <f t="array" ref="E2246">_xlfn.XLOOKUP(D2246,Insumos!B:B,Insumos!C:$C)</f>
        <v/>
      </c>
      <c r="F2246" s="2164" t="n">
        <v>0.1</v>
      </c>
      <c r="G2246" s="92">
        <f t="array" ref="G2246">IF(B2246="insumo",_xlfn.XLOOKUP($D2246,Insumos!$B$1:$B$996,Insumos!$D$1:$D$996),"")</f>
        <v/>
      </c>
      <c r="H2246" s="93" t="n">
        <v>0.8918</v>
      </c>
      <c r="I2246" s="2165" t="n">
        <v>4925.75</v>
      </c>
      <c r="J2246" s="2165" t="n">
        <v>4392.78385</v>
      </c>
      <c r="K2246" s="2165" t="n"/>
    </row>
    <row r="2247" outlineLevel="2" ht="12.75" customHeight="1">
      <c r="A2247" s="1071" t="n">
        <v>1</v>
      </c>
      <c r="B2247" s="1071" t="inlineStr">
        <is>
          <t>Serviço</t>
        </is>
      </c>
      <c r="C2247" s="1071" t="inlineStr">
        <is>
          <t>Sistema 2.1.4:Argamassa polimérica para impermeabilização | Argamassa impermeabilizante bicomponente à base de aditivos minerais e polímeros (4,0 kg/m²) + Tela de poliéster nos pontos críticos</t>
        </is>
      </c>
      <c r="D2247" s="1071" t="inlineStr">
        <is>
          <t>Sistema 2.1.4:Argamassa polimérica para impermeabilização | Argamassa impermeabilizante bicomponente à base de aditivos minerais e polímeros (4,0 kg/m²) + Tela de poliéster nos pontos críticos</t>
        </is>
      </c>
      <c r="E2247" s="1072" t="inlineStr">
        <is>
          <t>M2</t>
        </is>
      </c>
      <c r="F2247" s="1071" t="n"/>
      <c r="G2247" s="1073">
        <f t="array" ref="G2247">IF(B2247="insumo",_xlfn.XLOOKUP($D2247,Insumos!$B$1:$B$996,Insumos!$D$1:$D$996),"")</f>
        <v/>
      </c>
      <c r="H2247" s="1073" t="n">
        <v>46.2118</v>
      </c>
      <c r="I2247" s="2163" t="n">
        <v>97.67</v>
      </c>
      <c r="J2247" s="2163" t="n">
        <v>4513.506506</v>
      </c>
      <c r="K2247" s="2163" t="n"/>
    </row>
    <row r="2248" outlineLevel="3" ht="12.75" customHeight="1">
      <c r="A2248" s="82" t="n">
        <v>6</v>
      </c>
      <c r="B2248" s="82" t="inlineStr">
        <is>
          <t>Insumo</t>
        </is>
      </c>
      <c r="C2248" s="82" t="inlineStr">
        <is>
          <t>Sistema 2.1.4:Argamassa polimérica para impermeabilização | Argamassa impermeabilizante bicomponente à base de aditivos minerais e polímeros (4,0 kg/m²) + Tela de poliéster nos pontos críticos</t>
        </is>
      </c>
      <c r="D2248" s="82" t="inlineStr">
        <is>
          <t>Argamassa polimerica impermeabilizante semiflexivel, bicomponente, a base de cimento e aditivos</t>
        </is>
      </c>
      <c r="E2248" s="11">
        <f t="array" ref="E2248">_xlfn.XLOOKUP(D2248,Insumos!B:B,Insumos!C:$C)</f>
        <v/>
      </c>
      <c r="F2248" s="2164" t="n">
        <v>4</v>
      </c>
      <c r="G2248" s="92">
        <f t="array" ref="G2248">IF(B2248="insumo",_xlfn.XLOOKUP($D2248,Insumos!$B$1:$B$996,Insumos!$D$1:$D$996),"")</f>
        <v/>
      </c>
      <c r="H2248" s="93" t="n">
        <v>45.32</v>
      </c>
      <c r="I2248" s="2165" t="n">
        <v>97.67</v>
      </c>
      <c r="J2248" s="2165" t="n">
        <v>4426.4044</v>
      </c>
      <c r="K2248" s="2165" t="n"/>
    </row>
    <row r="2249" outlineLevel="3" ht="12.75" customHeight="1">
      <c r="A2249" s="82" t="n">
        <v>5</v>
      </c>
      <c r="B2249" s="82" t="inlineStr">
        <is>
          <t>Insumo</t>
        </is>
      </c>
      <c r="C2249" s="82" t="inlineStr">
        <is>
          <t>Sistema 2.1.4:Argamassa polimérica para impermeabilização | Argamassa impermeabilizante bicomponente à base de aditivos minerais e polímeros (4,0 kg/m²) + Tela de poliéster nos pontos críticos</t>
        </is>
      </c>
      <c r="D2249" s="82" t="inlineStr">
        <is>
          <t>Tela Poliéster De Reforço Para Impermeabilização - 50m X 1m</t>
        </is>
      </c>
      <c r="E2249" s="11">
        <f t="array" ref="E2249">_xlfn.XLOOKUP(D2249,Insumos!B:B,Insumos!C:$C)</f>
        <v/>
      </c>
      <c r="F2249" s="2164" t="n">
        <v>0.1</v>
      </c>
      <c r="G2249" s="92">
        <f t="array" ref="G2249">IF(B2249="insumo",_xlfn.XLOOKUP($D2249,Insumos!$B$1:$B$996,Insumos!$D$1:$D$996),"")</f>
        <v/>
      </c>
      <c r="H2249" s="93" t="n">
        <v>0.8918</v>
      </c>
      <c r="I2249" s="2165" t="n">
        <v>97.67</v>
      </c>
      <c r="J2249" s="2165" t="n">
        <v>87.10210600000001</v>
      </c>
      <c r="K2249" s="2165" t="n"/>
    </row>
    <row r="2250" outlineLevel="2" ht="12.75" customHeight="1">
      <c r="A2250" s="1071" t="n">
        <v>1</v>
      </c>
      <c r="B2250" s="1071" t="inlineStr">
        <is>
          <t>Serviço</t>
        </is>
      </c>
      <c r="C2250" s="1071" t="inlineStr">
        <is>
          <t>Sistema 7.1.2:Argamassa impermeabilizante sem cimento - MK-FEN 30 (F) | Argamassa não cimentícia com agentes incorporadores de ar (4,0 kg/m²) + Tela de poliéster nos pontos críticos</t>
        </is>
      </c>
      <c r="D2250" s="1071" t="inlineStr">
        <is>
          <t>Sistema 7.1.2:Argamassa impermeabilizante sem cimento - MK-FEN 30 (F) | Argamassa não cimentícia com agentes incorporadores de ar (4,0 kg/m²) + Tela de poliéster nos pontos críticos</t>
        </is>
      </c>
      <c r="E2250" s="1072" t="inlineStr">
        <is>
          <t>M2</t>
        </is>
      </c>
      <c r="F2250" s="1071" t="n"/>
      <c r="G2250" s="1073">
        <f t="array" ref="G2250">IF(B2250="insumo",_xlfn.XLOOKUP($D2250,Insumos!$B$1:$B$996,Insumos!$D$1:$D$996),"")</f>
        <v/>
      </c>
      <c r="H2250" s="1073" t="n">
        <v>74.8918</v>
      </c>
      <c r="I2250" s="2163" t="n">
        <v>68.2</v>
      </c>
      <c r="J2250" s="2163" t="n">
        <v>5107.62076</v>
      </c>
      <c r="K2250" s="2163" t="n"/>
    </row>
    <row r="2251" outlineLevel="3" ht="12.75" customHeight="1">
      <c r="A2251" s="82" t="n">
        <v>2</v>
      </c>
      <c r="B2251" s="82" t="inlineStr">
        <is>
          <t>Insumo</t>
        </is>
      </c>
      <c r="C2251" s="82" t="inlineStr">
        <is>
          <t>Sistema 7.1.2:Argamassa impermeabilizante sem cimento - MK-FEN 30 (F) | Argamassa não cimentícia com agentes incorporadores de ar (4,0 kg/m²) + Tela de poliéster nos pontos críticos</t>
        </is>
      </c>
      <c r="D2251" s="82" t="inlineStr">
        <is>
          <t xml:space="preserve">Argamassa não cimentícia com agentes incorporadores de ar - MK-FEN 30 (F) </t>
        </is>
      </c>
      <c r="E2251" s="11">
        <f t="array" ref="E2251">_xlfn.XLOOKUP(D2251,Insumos!B:B,Insumos!C:$C)</f>
        <v/>
      </c>
      <c r="F2251" s="2164" t="n">
        <v>4</v>
      </c>
      <c r="G2251" s="92">
        <f t="array" ref="G2251">IF(B2251="insumo",_xlfn.XLOOKUP($D2251,Insumos!$B$1:$B$996,Insumos!$D$1:$D$996),"")</f>
        <v/>
      </c>
      <c r="H2251" s="93" t="n">
        <v>74</v>
      </c>
      <c r="I2251" s="2165" t="n">
        <v>68.2</v>
      </c>
      <c r="J2251" s="2165" t="n">
        <v>5046.8</v>
      </c>
      <c r="K2251" s="2165" t="n"/>
    </row>
    <row r="2252" outlineLevel="3" ht="12.75" customHeight="1">
      <c r="A2252" s="82" t="n">
        <v>5</v>
      </c>
      <c r="B2252" s="82" t="inlineStr">
        <is>
          <t>Insumo</t>
        </is>
      </c>
      <c r="C2252" s="82" t="inlineStr">
        <is>
          <t>Sistema 7.1.2:Argamassa impermeabilizante sem cimento - MK-FEN 30 (F) | Argamassa não cimentícia com agentes incorporadores de ar (4,0 kg/m²) + Tela de poliéster nos pontos críticos</t>
        </is>
      </c>
      <c r="D2252" s="82" t="inlineStr">
        <is>
          <t>Tela Poliéster De Reforço Para Impermeabilização - 50m X 1m</t>
        </is>
      </c>
      <c r="E2252" s="11">
        <f t="array" ref="E2252">_xlfn.XLOOKUP(D2252,Insumos!B:B,Insumos!C:$C)</f>
        <v/>
      </c>
      <c r="F2252" s="2164" t="n">
        <v>0.1</v>
      </c>
      <c r="G2252" s="92">
        <f t="array" ref="G2252">IF(B2252="insumo",_xlfn.XLOOKUP($D2252,Insumos!$B$1:$B$996,Insumos!$D$1:$D$996),"")</f>
        <v/>
      </c>
      <c r="H2252" s="93" t="n">
        <v>0.8918</v>
      </c>
      <c r="I2252" s="2165" t="n">
        <v>68.2</v>
      </c>
      <c r="J2252" s="2165" t="n">
        <v>60.82076</v>
      </c>
      <c r="K2252" s="2165" t="n"/>
    </row>
    <row r="2253" outlineLevel="2" ht="12.75" customHeight="1">
      <c r="A2253" s="1071" t="n">
        <v>1</v>
      </c>
      <c r="B2253" s="1071" t="inlineStr">
        <is>
          <t>Serviço</t>
        </is>
      </c>
      <c r="C2253" s="1071" t="inlineStr">
        <is>
          <t>Sistema 7.1.6:Argamassa impermeabilizante sem cimento - MK-FEN 30 (F) | Argamassa não cimentícia com agentes incorporadores de ar (8,0 kg/m²) + Tela de poliéster nos pontos críticos</t>
        </is>
      </c>
      <c r="D2253" s="1071" t="inlineStr">
        <is>
          <t>Sistema 7.1.6:Argamassa impermeabilizante sem cimento - MK-FEN 30 (F) | Argamassa não cimentícia com agentes incorporadores de ar (8,0 kg/m²) + Tela de poliéster nos pontos críticos</t>
        </is>
      </c>
      <c r="E2253" s="1072" t="inlineStr">
        <is>
          <t>M2</t>
        </is>
      </c>
      <c r="F2253" s="1071" t="n"/>
      <c r="G2253" s="1073">
        <f t="array" ref="G2253">IF(B2253="insumo",_xlfn.XLOOKUP($D2253,Insumos!$B$1:$B$996,Insumos!$D$1:$D$996),"")</f>
        <v/>
      </c>
      <c r="H2253" s="1073" t="n">
        <v>148.8918</v>
      </c>
      <c r="I2253" s="2163" t="n">
        <v>900.28</v>
      </c>
      <c r="J2253" s="2163" t="n">
        <v>134044.309704</v>
      </c>
      <c r="K2253" s="2163" t="n"/>
    </row>
    <row r="2254" outlineLevel="3" ht="12.75" customHeight="1">
      <c r="A2254" s="82" t="n">
        <v>2</v>
      </c>
      <c r="B2254" s="82" t="inlineStr">
        <is>
          <t>Insumo</t>
        </is>
      </c>
      <c r="C2254" s="82" t="inlineStr">
        <is>
          <t>Sistema 7.1.6:Argamassa impermeabilizante sem cimento - MK-FEN 30 (F) | Argamassa não cimentícia com agentes incorporadores de ar (8,0 kg/m²) + Tela de poliéster nos pontos críticos</t>
        </is>
      </c>
      <c r="D2254" s="82" t="inlineStr">
        <is>
          <t xml:space="preserve">Argamassa não cimentícia com agentes incorporadores de ar - MK-FEN 30 (F) </t>
        </is>
      </c>
      <c r="E2254" s="11">
        <f t="array" ref="E2254">_xlfn.XLOOKUP(D2254,Insumos!B:B,Insumos!C:$C)</f>
        <v/>
      </c>
      <c r="F2254" s="2164" t="n">
        <v>8</v>
      </c>
      <c r="G2254" s="92">
        <f t="array" ref="G2254">IF(B2254="insumo",_xlfn.XLOOKUP($D2254,Insumos!$B$1:$B$996,Insumos!$D$1:$D$996),"")</f>
        <v/>
      </c>
      <c r="H2254" s="93" t="n">
        <v>148</v>
      </c>
      <c r="I2254" s="2165" t="n">
        <v>900.28</v>
      </c>
      <c r="J2254" s="2165" t="n">
        <v>133241.44</v>
      </c>
      <c r="K2254" s="2165" t="n"/>
    </row>
    <row r="2255" outlineLevel="3" ht="12.75" customHeight="1">
      <c r="A2255" s="82" t="n">
        <v>5</v>
      </c>
      <c r="B2255" s="82" t="inlineStr">
        <is>
          <t>Insumo</t>
        </is>
      </c>
      <c r="C2255" s="82" t="inlineStr">
        <is>
          <t>Sistema 7.1.6:Argamassa impermeabilizante sem cimento - MK-FEN 30 (F) | Argamassa não cimentícia com agentes incorporadores de ar (8,0 kg/m²) + Tela de poliéster nos pontos críticos</t>
        </is>
      </c>
      <c r="D2255" s="82" t="inlineStr">
        <is>
          <t>Tela Poliéster De Reforço Para Impermeabilização - 50m X 1m</t>
        </is>
      </c>
      <c r="E2255" s="11">
        <f t="array" ref="E2255">_xlfn.XLOOKUP(D2255,Insumos!B:B,Insumos!C:$C)</f>
        <v/>
      </c>
      <c r="F2255" s="2164" t="n">
        <v>0.1</v>
      </c>
      <c r="G2255" s="92">
        <f t="array" ref="G2255">IF(B2255="insumo",_xlfn.XLOOKUP($D2255,Insumos!$B$1:$B$996,Insumos!$D$1:$D$996),"")</f>
        <v/>
      </c>
      <c r="H2255" s="93" t="n">
        <v>0.8918</v>
      </c>
      <c r="I2255" s="2165" t="n">
        <v>900.28</v>
      </c>
      <c r="J2255" s="2165" t="n">
        <v>802.869704</v>
      </c>
      <c r="K2255" s="2165" t="n"/>
    </row>
    <row r="2256" outlineLevel="2" ht="12.75" customHeight="1">
      <c r="A2256" s="1071" t="n">
        <v>1</v>
      </c>
      <c r="B2256" s="1071" t="inlineStr">
        <is>
          <t>Serviço</t>
        </is>
      </c>
      <c r="C2256" s="1071" t="inlineStr">
        <is>
          <t>Sistema 2.8.6: Argamassa impermeabilizante bicomponente à base de aditivos minerais (2,0 kg/m²) + Revestimento bicomponente à base de polímeros acrílicos com adição de cimento e fibras sintéticas (4,5 kg/m²) + Tela de poliéster nos pontos críticos</t>
        </is>
      </c>
      <c r="D2256" s="1071" t="inlineStr">
        <is>
          <t>Sistema 2.8.6: Argamassa impermeabilizante bicomponente à base de aditivos minerais (2,0 kg/m²) + Revestimento bicomponente à base de polímeros acrílicos com adição de cimento e fibras sintéticas (4,5 kg/m²) + Tela de poliéster nos pontos críticos</t>
        </is>
      </c>
      <c r="E2256" s="1072" t="inlineStr">
        <is>
          <t>M2</t>
        </is>
      </c>
      <c r="F2256" s="1071" t="n"/>
      <c r="G2256" s="1073">
        <f t="array" ref="G2256">IF(B2256="insumo",_xlfn.XLOOKUP($D2256,Insumos!$B$1:$B$996,Insumos!$D$1:$D$996),"")</f>
        <v/>
      </c>
      <c r="H2256" s="1073" t="n">
        <v>73.3018</v>
      </c>
      <c r="I2256" s="2163" t="n">
        <v>234</v>
      </c>
      <c r="J2256" s="2163" t="n">
        <v>17152.6212</v>
      </c>
      <c r="K2256" s="2163" t="n"/>
    </row>
    <row r="2257" outlineLevel="3" ht="12.75" customHeight="1">
      <c r="A2257" s="82" t="n">
        <v>6</v>
      </c>
      <c r="B2257" s="82" t="inlineStr">
        <is>
          <t>Insumo</t>
        </is>
      </c>
      <c r="C2257" s="82" t="inlineStr">
        <is>
          <t>Sistema 2.8.6: Argamassa impermeabilizante bicomponente à base de aditivos minerais (2,0 kg/m²) + Revestimento bicomponente à base de polímeros acrílicos com adição de cimento e fibras sintéticas (4,5 kg/m²) + Tela de poliéster nos pontos críticos</t>
        </is>
      </c>
      <c r="D2257" s="82" t="inlineStr">
        <is>
          <t>Argamassa polimerica impermeabilizante semiflexivel, bicomponente, a base de cimento e aditivos</t>
        </is>
      </c>
      <c r="E2257" s="11">
        <f t="array" ref="E2257">_xlfn.XLOOKUP(D2257,Insumos!B:B,Insumos!C:$C)</f>
        <v/>
      </c>
      <c r="F2257" s="2164" t="n">
        <v>2</v>
      </c>
      <c r="G2257" s="92">
        <f t="array" ref="G2257">IF(B2257="insumo",_xlfn.XLOOKUP($D2257,Insumos!$B$1:$B$996,Insumos!$D$1:$D$996),"")</f>
        <v/>
      </c>
      <c r="H2257" s="93" t="n">
        <v>22.66</v>
      </c>
      <c r="I2257" s="2165" t="n">
        <v>234</v>
      </c>
      <c r="J2257" s="2165" t="n">
        <v>5302.44</v>
      </c>
      <c r="K2257" s="2165" t="n"/>
    </row>
    <row r="2258" outlineLevel="3" ht="12.75" customHeight="1">
      <c r="A2258" s="82" t="n">
        <v>3</v>
      </c>
      <c r="B2258" s="82" t="inlineStr">
        <is>
          <t>Insumo</t>
        </is>
      </c>
      <c r="C2258" s="82" t="inlineStr">
        <is>
          <t>Sistema 2.8.6: Argamassa impermeabilizante bicomponente à base de aditivos minerais (2,0 kg/m²) + Revestimento bicomponente à base de polímeros acrílicos com adição de cimento e fibras sintéticas (4,5 kg/m²) + Tela de poliéster nos pontos críticos</t>
        </is>
      </c>
      <c r="D2258" s="82" t="inlineStr">
        <is>
          <t>Membrana de polímeros acrílicos com cimento e com fibras</t>
        </is>
      </c>
      <c r="E2258" s="11">
        <f t="array" ref="E2258">_xlfn.XLOOKUP(D2258,Insumos!B:B,Insumos!C:$C)</f>
        <v/>
      </c>
      <c r="F2258" s="2164" t="n">
        <v>4.5</v>
      </c>
      <c r="G2258" s="92">
        <f t="array" ref="G2258">IF(B2258="insumo",_xlfn.XLOOKUP($D2258,Insumos!$B$1:$B$996,Insumos!$D$1:$D$996),"")</f>
        <v/>
      </c>
      <c r="H2258" s="93" t="n">
        <v>49.75</v>
      </c>
      <c r="I2258" s="2165" t="n">
        <v>234</v>
      </c>
      <c r="J2258" s="2165" t="n">
        <v>11641.5</v>
      </c>
      <c r="K2258" s="2165" t="n"/>
    </row>
    <row r="2259" outlineLevel="3" ht="12.75" customHeight="1">
      <c r="A2259" s="82" t="n">
        <v>5</v>
      </c>
      <c r="B2259" s="82" t="inlineStr">
        <is>
          <t>Insumo</t>
        </is>
      </c>
      <c r="C2259" s="82" t="inlineStr">
        <is>
          <t>Sistema 2.8.6: Argamassa impermeabilizante bicomponente à base de aditivos minerais (2,0 kg/m²) + Revestimento bicomponente à base de polímeros acrílicos com adição de cimento e fibras sintéticas (4,5 kg/m²) + Tela de poliéster nos pontos críticos</t>
        </is>
      </c>
      <c r="D2259" s="82" t="inlineStr">
        <is>
          <t>Tela Poliéster De Reforço Para Impermeabilização - 50m X 1m</t>
        </is>
      </c>
      <c r="E2259" s="11">
        <f t="array" ref="E2259">_xlfn.XLOOKUP(D2259,Insumos!B:B,Insumos!C:$C)</f>
        <v/>
      </c>
      <c r="F2259" s="2164" t="n">
        <v>0.1</v>
      </c>
      <c r="G2259" s="92">
        <f t="array" ref="G2259">IF(B2259="insumo",_xlfn.XLOOKUP($D2259,Insumos!$B$1:$B$996,Insumos!$D$1:$D$996),"")</f>
        <v/>
      </c>
      <c r="H2259" s="93" t="n">
        <v>0.8918</v>
      </c>
      <c r="I2259" s="2165" t="n">
        <v>234</v>
      </c>
      <c r="J2259" s="2165" t="n">
        <v>208.6812</v>
      </c>
      <c r="K2259" s="2165" t="n"/>
    </row>
    <row r="2260" outlineLevel="2" ht="12.75" customHeight="1">
      <c r="A2260" s="1071" t="n">
        <v>1</v>
      </c>
      <c r="B2260" s="1071" t="inlineStr">
        <is>
          <t>Serviço</t>
        </is>
      </c>
      <c r="C2260" s="1071" t="inlineStr">
        <is>
          <t>Sistema 4.2.4:Primer asfáltico à base d'água (0,4 L/m²) + Asfalto oxidado modificado (2,5 kg/m²) + Manta asfáltica AA 4mm Tipo III Classe B + Banho de asfalto oxidado modificado (2,5 kg/m²)</t>
        </is>
      </c>
      <c r="D2260" s="1071" t="inlineStr">
        <is>
          <t>Sistema 4.2.4:Primer asfáltico à base d'água (0,4 L/m²) + Asfalto oxidado modificado (2,5 kg/m²) + Manta asfáltica AA 4mm Tipo III Classe B + Banho de asfalto oxidado modificado (2,5 kg/m²)</t>
        </is>
      </c>
      <c r="E2260" s="1072" t="inlineStr">
        <is>
          <t>M2</t>
        </is>
      </c>
      <c r="F2260" s="1071" t="n"/>
      <c r="G2260" s="1073">
        <f t="array" ref="G2260">IF(B2260="insumo",_xlfn.XLOOKUP($D2260,Insumos!$B$1:$B$996,Insumos!$D$1:$D$996),"")</f>
        <v/>
      </c>
      <c r="H2260" s="1073" t="n">
        <v>133.1805</v>
      </c>
      <c r="I2260" s="2163" t="n">
        <v>757.0599999999999</v>
      </c>
      <c r="J2260" s="2163" t="n">
        <v>100825.62933</v>
      </c>
      <c r="K2260" s="2163" t="n"/>
    </row>
    <row r="2261" outlineLevel="3" ht="12.75" customHeight="1">
      <c r="A2261" s="82" t="n">
        <v>5</v>
      </c>
      <c r="B2261" s="82" t="inlineStr">
        <is>
          <t>Insumo</t>
        </is>
      </c>
      <c r="C2261" s="82" t="inlineStr">
        <is>
          <t>Sistema 4.2.4:Primer asfáltico à base d'água (0,4 L/m²) + Asfalto oxidado modificado (2,5 kg/m²) + Manta asfáltica AA 4mm Tipo III Classe B + Banho de asfalto oxidado modificado (2,5 kg/m²)</t>
        </is>
      </c>
      <c r="D2261" s="82" t="inlineStr">
        <is>
          <t>MANTA ASFALTICA ELASTOMERICA EM POLIESTER 4 MM, TIPO III, CLASSE B, ACABAMENTO PP (NBR 9952)</t>
        </is>
      </c>
      <c r="E2261" s="11">
        <f t="array" ref="E2261">_xlfn.XLOOKUP(D2261,Insumos!B:B,Insumos!C:$C)</f>
        <v/>
      </c>
      <c r="F2261" s="2164" t="n">
        <v>1.125</v>
      </c>
      <c r="G2261" s="92">
        <f t="array" ref="G2261">IF(B2261="insumo",_xlfn.XLOOKUP($D2261,Insumos!$B$1:$B$996,Insumos!$D$1:$D$996),"")</f>
        <v/>
      </c>
      <c r="H2261" s="93" t="n">
        <v>78.77249999999999</v>
      </c>
      <c r="I2261" s="2165" t="n">
        <v>757.0599999999999</v>
      </c>
      <c r="J2261" s="2165" t="n">
        <v>59635.50885</v>
      </c>
      <c r="K2261" s="2165" t="n"/>
    </row>
    <row r="2262" outlineLevel="3" ht="15.75" customHeight="1">
      <c r="A2262" s="10" t="n">
        <v>7</v>
      </c>
      <c r="B2262" s="10" t="inlineStr">
        <is>
          <t>Insumo</t>
        </is>
      </c>
      <c r="C2262" s="82" t="inlineStr">
        <is>
          <t>Sistema 4.2.4:Primer asfáltico à base d'água (0,4 L/m²) + Asfalto oxidado modificado (2,5 kg/m²) + Manta asfáltica AA 4mm Tipo III Classe B + Banho de asfalto oxidado modificado (2,5 kg/m²)</t>
        </is>
      </c>
      <c r="D2262" s="10" t="inlineStr">
        <is>
          <t>PRIMER PARA MANTA ASFALTICA A BASE DE ASFALTO MODIFICADO DILUIDO EM SOLVENTE, APLICACAO A FRIO</t>
        </is>
      </c>
      <c r="E2262" s="11">
        <f t="array" ref="E2262">_xlfn.XLOOKUP(D2262,Insumos!B:B,Insumos!C:$C)</f>
        <v/>
      </c>
      <c r="F2262" s="14" t="n">
        <v>0.4</v>
      </c>
      <c r="G2262" s="92">
        <f t="array" ref="G2262">IF(B2262="insumo",_xlfn.XLOOKUP($D2262,Insumos!$B$1:$B$996,Insumos!$D$1:$D$996),"")</f>
        <v/>
      </c>
      <c r="H2262" s="93" t="n">
        <v>9.407999999999999</v>
      </c>
      <c r="I2262" s="2162" t="n">
        <v>757.0599999999999</v>
      </c>
      <c r="J2262" s="2162" t="n">
        <v>7122.42048</v>
      </c>
      <c r="K2262" s="2162" t="n"/>
    </row>
    <row r="2263" outlineLevel="3" ht="12.75" customHeight="1">
      <c r="A2263" s="82" t="n">
        <v>7</v>
      </c>
      <c r="B2263" s="82" t="inlineStr">
        <is>
          <t>Insumo</t>
        </is>
      </c>
      <c r="C2263" s="82" t="inlineStr">
        <is>
          <t>Sistema 4.2.4:Primer asfáltico à base d'água (0,4 L/m²) + Asfalto oxidado modificado (2,5 kg/m²) + Manta asfáltica AA 4mm Tipo III Classe B + Banho de asfalto oxidado modificado (2,5 kg/m²)</t>
        </is>
      </c>
      <c r="D2263" s="82" t="inlineStr">
        <is>
          <t>banho de asfalto oxidado</t>
        </is>
      </c>
      <c r="E2263" s="11">
        <f t="array" ref="E2263">_xlfn.XLOOKUP(D2263,Insumos!B:B,Insumos!C:$C)</f>
        <v/>
      </c>
      <c r="F2263" s="2164" t="n">
        <v>5</v>
      </c>
      <c r="G2263" s="92">
        <f t="array" ref="G2263">IF(B2263="insumo",_xlfn.XLOOKUP($D2263,Insumos!$B$1:$B$996,Insumos!$D$1:$D$996),"")</f>
        <v/>
      </c>
      <c r="H2263" s="93" t="n">
        <v>45</v>
      </c>
      <c r="I2263" s="2165" t="n">
        <v>757.0599999999999</v>
      </c>
      <c r="J2263" s="2165" t="n">
        <v>34067.7</v>
      </c>
      <c r="K2263" s="2165" t="n"/>
    </row>
    <row r="2264" outlineLevel="2" ht="12.75" customHeight="1">
      <c r="A2264" s="1071" t="n">
        <v>1</v>
      </c>
      <c r="B2264" s="1071" t="inlineStr">
        <is>
          <t>Serviço</t>
        </is>
      </c>
      <c r="C2264" s="1071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64" s="1071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E2264" s="1072" t="inlineStr">
        <is>
          <t>M2</t>
        </is>
      </c>
      <c r="F2264" s="1071" t="n"/>
      <c r="G2264" s="1073">
        <f t="array" ref="G2264">IF(B2264="insumo",_xlfn.XLOOKUP($D2264,Insumos!$B$1:$B$996,Insumos!$D$1:$D$996),"")</f>
        <v/>
      </c>
      <c r="H2264" s="1073" t="n">
        <v>181.1805</v>
      </c>
      <c r="I2264" s="2163" t="n">
        <v>342.12</v>
      </c>
      <c r="J2264" s="2163" t="n">
        <v>61985.47266</v>
      </c>
      <c r="K2264" s="2163" t="n"/>
    </row>
    <row r="2265" outlineLevel="3" ht="12.75" customHeight="1">
      <c r="A2265" s="82" t="n">
        <v>5</v>
      </c>
      <c r="B2265" s="82" t="inlineStr">
        <is>
          <t>Insumo</t>
        </is>
      </c>
      <c r="C2265" s="82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65" s="82" t="inlineStr">
        <is>
          <t>MANTA ASFALTICA ELASTOMERICA EM POLIESTER 4 MM, TIPO III, CLASSE B, ACABAMENTO PP (NBR 9952)</t>
        </is>
      </c>
      <c r="E2265" s="11">
        <f t="array" ref="E2265">_xlfn.XLOOKUP(D2265,Insumos!B:B,Insumos!C:$C)</f>
        <v/>
      </c>
      <c r="F2265" s="2164" t="n">
        <v>1.125</v>
      </c>
      <c r="G2265" s="92">
        <f t="array" ref="G2265">IF(B2265="insumo",_xlfn.XLOOKUP($D2265,Insumos!$B$1:$B$996,Insumos!$D$1:$D$996),"")</f>
        <v/>
      </c>
      <c r="H2265" s="93" t="n">
        <v>78.77249999999999</v>
      </c>
      <c r="I2265" s="2165" t="n">
        <v>342.12</v>
      </c>
      <c r="J2265" s="2165" t="n">
        <v>26949.6477</v>
      </c>
      <c r="K2265" s="2165" t="n"/>
    </row>
    <row r="2266" outlineLevel="3" ht="15.75" customHeight="1">
      <c r="A2266" s="10" t="n">
        <v>7</v>
      </c>
      <c r="B2266" s="10" t="inlineStr">
        <is>
          <t>Insumo</t>
        </is>
      </c>
      <c r="C2266" s="82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66" s="10" t="inlineStr">
        <is>
          <t>PRIMER PARA MANTA ASFALTICA A BASE DE ASFALTO MODIFICADO DILUIDO EM SOLVENTE, APLICACAO A FRIO</t>
        </is>
      </c>
      <c r="E2266" s="11">
        <f t="array" ref="E2266">_xlfn.XLOOKUP(D2266,Insumos!B:B,Insumos!C:$C)</f>
        <v/>
      </c>
      <c r="F2266" s="14" t="n">
        <v>0.4</v>
      </c>
      <c r="G2266" s="92">
        <f t="array" ref="G2266">IF(B2266="insumo",_xlfn.XLOOKUP($D2266,Insumos!$B$1:$B$996,Insumos!$D$1:$D$996),"")</f>
        <v/>
      </c>
      <c r="H2266" s="93" t="n">
        <v>9.407999999999999</v>
      </c>
      <c r="I2266" s="2162" t="n">
        <v>342.12</v>
      </c>
      <c r="J2266" s="2162" t="n">
        <v>3218.66496</v>
      </c>
      <c r="K2266" s="2162" t="n"/>
    </row>
    <row r="2267" outlineLevel="3" ht="12.75" customHeight="1">
      <c r="A2267" s="82" t="n">
        <v>7</v>
      </c>
      <c r="B2267" s="82" t="inlineStr">
        <is>
          <t>Insumo</t>
        </is>
      </c>
      <c r="C2267" s="82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67" s="82" t="inlineStr">
        <is>
          <t>banho de asfalto oxidado</t>
        </is>
      </c>
      <c r="E2267" s="11">
        <f t="array" ref="E2267">_xlfn.XLOOKUP(D2267,Insumos!B:B,Insumos!C:$C)</f>
        <v/>
      </c>
      <c r="F2267" s="2164" t="n">
        <v>5</v>
      </c>
      <c r="G2267" s="92">
        <f t="array" ref="G2267">IF(B2267="insumo",_xlfn.XLOOKUP($D2267,Insumos!$B$1:$B$996,Insumos!$D$1:$D$996),"")</f>
        <v/>
      </c>
      <c r="H2267" s="93" t="n">
        <v>45</v>
      </c>
      <c r="I2267" s="2165" t="n">
        <v>342.12</v>
      </c>
      <c r="J2267" s="2165" t="n">
        <v>15395.4</v>
      </c>
      <c r="K2267" s="2165" t="n"/>
    </row>
    <row r="2268" outlineLevel="3" ht="12.75" customHeight="1">
      <c r="A2268" s="82" t="n">
        <v>3</v>
      </c>
      <c r="B2268" s="82" t="inlineStr">
        <is>
          <t>Insumo</t>
        </is>
      </c>
      <c r="C2268" s="82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68" s="82" t="inlineStr">
        <is>
          <t>pintura de proteção antirraiz sobre a proteção mecânica</t>
        </is>
      </c>
      <c r="E2268" s="11">
        <f t="array" ref="E2268">_xlfn.XLOOKUP(D2268,Insumos!B:B,Insumos!C:$C)</f>
        <v/>
      </c>
      <c r="F2268" s="2164" t="n">
        <v>0.8</v>
      </c>
      <c r="G2268" s="92">
        <f t="array" ref="G2268">IF(B2268="insumo",_xlfn.XLOOKUP($D2268,Insumos!$B$1:$B$996,Insumos!$D$1:$D$996),"")</f>
        <v/>
      </c>
      <c r="H2268" s="93" t="n">
        <v>48</v>
      </c>
      <c r="I2268" s="2165" t="n">
        <v>342.12</v>
      </c>
      <c r="J2268" s="2165" t="n">
        <v>16421.76</v>
      </c>
      <c r="K2268" s="2165" t="n"/>
    </row>
    <row r="2269" outlineLevel="2" ht="12.75" customHeight="1">
      <c r="A2269" s="1071" t="n">
        <v>1</v>
      </c>
      <c r="B2269" s="1071" t="inlineStr">
        <is>
          <t>Serviço</t>
        </is>
      </c>
      <c r="C2269" s="1071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69" s="1071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E2269" s="1072" t="inlineStr">
        <is>
          <t>M2</t>
        </is>
      </c>
      <c r="F2269" s="1071" t="n"/>
      <c r="G2269" s="1073">
        <f t="array" ref="G2269">IF(B2269="insumo",_xlfn.XLOOKUP($D2269,Insumos!$B$1:$B$996,Insumos!$D$1:$D$996),"")</f>
        <v/>
      </c>
      <c r="H2269" s="1073" t="n">
        <v>267.988</v>
      </c>
      <c r="I2269" s="2163" t="n">
        <v>241.13</v>
      </c>
      <c r="J2269" s="2163" t="n">
        <v>64619.94644</v>
      </c>
      <c r="K2269" s="2163" t="n"/>
    </row>
    <row r="2270" outlineLevel="3" ht="12.75" customHeight="1">
      <c r="A2270" s="82" t="n">
        <v>5</v>
      </c>
      <c r="B2270" s="82" t="inlineStr">
        <is>
          <t>Insumo</t>
        </is>
      </c>
      <c r="C2270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0" s="82" t="inlineStr">
        <is>
          <t>MANTA ASFALTICA ELASTOMERICA EM POLIESTER 4 MM, TIPO III, CLASSE B, ACABAMENTO PP (NBR 9952)</t>
        </is>
      </c>
      <c r="E2270" s="11">
        <f t="array" ref="E2270">_xlfn.XLOOKUP(D2270,Insumos!B:B,Insumos!C:$C)</f>
        <v/>
      </c>
      <c r="F2270" s="2164" t="n">
        <v>1.125</v>
      </c>
      <c r="G2270" s="92">
        <f t="array" ref="G2270">IF(B2270="insumo",_xlfn.XLOOKUP($D2270,Insumos!$B$1:$B$996,Insumos!$D$1:$D$996),"")</f>
        <v/>
      </c>
      <c r="H2270" s="93" t="n">
        <v>78.77249999999999</v>
      </c>
      <c r="I2270" s="2165" t="n">
        <v>241.13</v>
      </c>
      <c r="J2270" s="2165" t="n">
        <v>18994.412925</v>
      </c>
      <c r="K2270" s="2165" t="n"/>
    </row>
    <row r="2271" outlineLevel="3" ht="15.75" customHeight="1">
      <c r="A2271" s="10" t="n">
        <v>2</v>
      </c>
      <c r="B2271" s="10" t="inlineStr">
        <is>
          <t>Insumo</t>
        </is>
      </c>
      <c r="C2271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1" s="10" t="inlineStr">
        <is>
          <t>MANTA ASFALTICA ELASTOMERICA EM POLIESTER 3 MM, TIPO III, CLASSE B, ACABAMENTO PP (NBR 9952)</t>
        </is>
      </c>
      <c r="E2271" s="11">
        <f t="array" ref="E2271">_xlfn.XLOOKUP(D2271,Insumos!B:B,Insumos!C:$C)</f>
        <v/>
      </c>
      <c r="F2271" s="14" t="n">
        <v>1.125</v>
      </c>
      <c r="G2271" s="92">
        <f t="array" ref="G2271">IF(B2271="insumo",_xlfn.XLOOKUP($D2271,Insumos!$B$1:$B$996,Insumos!$D$1:$D$996),"")</f>
        <v/>
      </c>
      <c r="H2271" s="93" t="n">
        <v>64.14749999999999</v>
      </c>
      <c r="I2271" s="2162" t="n">
        <v>241.13</v>
      </c>
      <c r="J2271" s="2162" t="n">
        <v>15467.886675</v>
      </c>
      <c r="K2271" s="2162" t="n"/>
    </row>
    <row r="2272" outlineLevel="3" ht="12.75" customHeight="1">
      <c r="A2272" s="82" t="n">
        <v>6</v>
      </c>
      <c r="B2272" s="82" t="inlineStr">
        <is>
          <t>Insumo</t>
        </is>
      </c>
      <c r="C2272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2" s="82" t="inlineStr">
        <is>
          <t>Argamassa polimerica impermeabilizante semiflexivel, bicomponente, a base de cimento e aditivos</t>
        </is>
      </c>
      <c r="E2272" s="11">
        <f t="array" ref="E2272">_xlfn.XLOOKUP(D2272,Insumos!B:B,Insumos!C:$C)</f>
        <v/>
      </c>
      <c r="F2272" s="2164" t="n">
        <v>2</v>
      </c>
      <c r="G2272" s="92">
        <f t="array" ref="G2272">IF(B2272="insumo",_xlfn.XLOOKUP($D2272,Insumos!$B$1:$B$996,Insumos!$D$1:$D$996),"")</f>
        <v/>
      </c>
      <c r="H2272" s="93" t="n">
        <v>22.66</v>
      </c>
      <c r="I2272" s="2165" t="n">
        <v>241.13</v>
      </c>
      <c r="J2272" s="2165" t="n">
        <v>5464.0058</v>
      </c>
      <c r="K2272" s="2165" t="n"/>
    </row>
    <row r="2273" outlineLevel="3" ht="15.75" customHeight="1">
      <c r="A2273" s="10" t="n">
        <v>7</v>
      </c>
      <c r="B2273" s="10" t="inlineStr">
        <is>
          <t>Insumo</t>
        </is>
      </c>
      <c r="C2273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3" s="10" t="inlineStr">
        <is>
          <t>PRIMER PARA MANTA ASFALTICA A BASE DE ASFALTO MODIFICADO DILUIDO EM SOLVENTE, APLICACAO A FRIO</t>
        </is>
      </c>
      <c r="E2273" s="11">
        <f t="array" ref="E2273">_xlfn.XLOOKUP(D2273,Insumos!B:B,Insumos!C:$C)</f>
        <v/>
      </c>
      <c r="F2273" s="14" t="n">
        <v>0.4</v>
      </c>
      <c r="G2273" s="92">
        <f t="array" ref="G2273">IF(B2273="insumo",_xlfn.XLOOKUP($D2273,Insumos!$B$1:$B$996,Insumos!$D$1:$D$996),"")</f>
        <v/>
      </c>
      <c r="H2273" s="93" t="n">
        <v>9.407999999999999</v>
      </c>
      <c r="I2273" s="2162" t="n">
        <v>241.13</v>
      </c>
      <c r="J2273" s="2162" t="n">
        <v>2268.55104</v>
      </c>
      <c r="K2273" s="2162" t="n"/>
    </row>
    <row r="2274" outlineLevel="3" ht="12.75" customHeight="1">
      <c r="A2274" s="82" t="n">
        <v>7</v>
      </c>
      <c r="B2274" s="82" t="inlineStr">
        <is>
          <t>Insumo</t>
        </is>
      </c>
      <c r="C2274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4" s="82" t="inlineStr">
        <is>
          <t>banho de asfalto oxidado</t>
        </is>
      </c>
      <c r="E2274" s="11">
        <f t="array" ref="E2274">_xlfn.XLOOKUP(D2274,Insumos!B:B,Insumos!C:$C)</f>
        <v/>
      </c>
      <c r="F2274" s="2164" t="n">
        <v>5</v>
      </c>
      <c r="G2274" s="92">
        <f t="array" ref="G2274">IF(B2274="insumo",_xlfn.XLOOKUP($D2274,Insumos!$B$1:$B$996,Insumos!$D$1:$D$996),"")</f>
        <v/>
      </c>
      <c r="H2274" s="93" t="n">
        <v>45</v>
      </c>
      <c r="I2274" s="2165" t="n">
        <v>241.13</v>
      </c>
      <c r="J2274" s="2165" t="n">
        <v>10850.85</v>
      </c>
      <c r="K2274" s="2165" t="n"/>
    </row>
    <row r="2275" outlineLevel="3" ht="12.75" customHeight="1">
      <c r="A2275" s="82" t="n">
        <v>3</v>
      </c>
      <c r="B2275" s="82" t="inlineStr">
        <is>
          <t>Insumo</t>
        </is>
      </c>
      <c r="C2275" s="82" t="inlineStr">
        <is>
          <t>Sistema 4.9.2:Primer asfáltico à base d'água (0,4 L/m²)+Asfalto oxidado modificado (5kg/m²)+Manta asfáltica AA 3mm Tipo III Classe B+Manta asfáltica AA 4mm Tipo III Classe B+Argamassa polimérica para impermeabilização sobre a proteção mecânica (2,0 kg/m²)</t>
        </is>
      </c>
      <c r="D2275" s="82" t="inlineStr">
        <is>
          <t>pintura de proteção antirraiz sobre a proteção mecânica</t>
        </is>
      </c>
      <c r="E2275" s="11">
        <f t="array" ref="E2275">_xlfn.XLOOKUP(D2275,Insumos!B:B,Insumos!C:$C)</f>
        <v/>
      </c>
      <c r="F2275" s="2164" t="n">
        <v>0.8</v>
      </c>
      <c r="G2275" s="92">
        <f t="array" ref="G2275">IF(B2275="insumo",_xlfn.XLOOKUP($D2275,Insumos!$B$1:$B$996,Insumos!$D$1:$D$996),"")</f>
        <v/>
      </c>
      <c r="H2275" s="93" t="n">
        <v>48</v>
      </c>
      <c r="I2275" s="2165" t="n">
        <v>241.13</v>
      </c>
      <c r="J2275" s="2165" t="n">
        <v>11574.24</v>
      </c>
      <c r="K2275" s="2165" t="n"/>
    </row>
    <row r="2276" outlineLevel="1" ht="15.75" customHeight="1">
      <c r="A2276" s="1090" t="n">
        <v>2</v>
      </c>
      <c r="B2276" s="1090" t="inlineStr">
        <is>
          <t>Subetapa</t>
        </is>
      </c>
      <c r="C2276" s="1090" t="inlineStr">
        <is>
          <t>Sistema 4.5.3:Primer asfáltico à base d'água (0,4 L/m²) + Asfalto oxidado modificado (2,5 kg/m²) + Manta asfáltica AA 4mm Tipo III Classe B + Banho de asfalto oxidado modificado (2,5 kg/m²) + Emulsão asfáltica antiraiz sobre a proteção mecânica (0,8 L/m²)</t>
        </is>
      </c>
      <c r="D2276" s="1090" t="inlineStr">
        <is>
          <t>MÃO DE OBRA ACABAMENTOS PAREDE</t>
        </is>
      </c>
      <c r="E2276" s="1091" t="n"/>
      <c r="F2276" s="2160" t="n"/>
      <c r="G2276" s="1091" t="n"/>
      <c r="H2276" s="1065" t="n">
        <v>0</v>
      </c>
      <c r="I2276" s="2160" t="n">
        <v>0</v>
      </c>
      <c r="J2276" s="2160" t="n">
        <v>0</v>
      </c>
      <c r="K2276" s="2160" t="n"/>
    </row>
    <row r="2277" outlineLevel="2" ht="16.5" customHeight="1">
      <c r="A2277" s="1067" t="n">
        <v>1</v>
      </c>
      <c r="B2277" s="1067" t="inlineStr">
        <is>
          <t>Serviço</t>
        </is>
      </c>
      <c r="C2277" s="1067" t="inlineStr">
        <is>
          <t>Mão de obra impermeabilização de aspersão de CWS</t>
        </is>
      </c>
      <c r="D2277" s="1067" t="inlineStr">
        <is>
          <t>Mão de obra impermeabilização de aspersão de CWS</t>
        </is>
      </c>
      <c r="E2277" s="1068" t="inlineStr">
        <is>
          <t>UN</t>
        </is>
      </c>
      <c r="F2277" s="1067" t="n"/>
      <c r="G2277" s="1069">
        <f t="array" ref="G2277">IF(B2277="insumo",_xlfn.XLOOKUP($D2277,Insumos!$B$1:$B$996,Insumos!$D$1:$D$996),"")</f>
        <v/>
      </c>
      <c r="H2277" s="1069" t="n">
        <v>27.4</v>
      </c>
      <c r="I2277" s="2161" t="n">
        <v>0</v>
      </c>
      <c r="J2277" s="2161" t="n">
        <v>0</v>
      </c>
      <c r="K2277" s="2161" t="n"/>
    </row>
    <row r="2278" outlineLevel="3" ht="16.5" customHeight="1">
      <c r="A2278" s="10" t="n">
        <v>1</v>
      </c>
      <c r="B2278" s="10" t="inlineStr">
        <is>
          <t>Insumo</t>
        </is>
      </c>
      <c r="C2278" s="10" t="inlineStr">
        <is>
          <t>Mão de obra impermeabilização de aspersão de CWS</t>
        </is>
      </c>
      <c r="D2278" s="10" t="inlineStr">
        <is>
          <t>MAO DE OBRA - IMPRMEABILIZAÇÃO CWS100</t>
        </is>
      </c>
      <c r="E2278" s="11">
        <f t="array" ref="E2278">_xlfn.XLOOKUP(D2278,Insumos!B:B,Insumos!C:$C)</f>
        <v/>
      </c>
      <c r="F2278" s="14" t="n">
        <v>1</v>
      </c>
      <c r="G2278" s="92">
        <f t="array" ref="G2278">IF(B2278="insumo",_xlfn.XLOOKUP($D2278,Insumos!$B$1:$B$996,Insumos!$D$1:$D$996),"")</f>
        <v/>
      </c>
      <c r="H2278" s="92" t="n">
        <v>27.4</v>
      </c>
      <c r="I2278" s="2162" t="n">
        <v>0</v>
      </c>
      <c r="J2278" s="2162" t="n">
        <v>0</v>
      </c>
      <c r="K2278" s="2162" t="n"/>
    </row>
    <row r="2279" outlineLevel="2" ht="15.75" customHeight="1">
      <c r="A2279" s="1067" t="n">
        <v>1</v>
      </c>
      <c r="B2279" s="1067" t="inlineStr">
        <is>
          <t>Serviço</t>
        </is>
      </c>
      <c r="C2279" s="1067" t="inlineStr">
        <is>
          <t xml:space="preserve">Mão de obra para regularização de superfície </t>
        </is>
      </c>
      <c r="D2279" s="1067" t="inlineStr">
        <is>
          <t xml:space="preserve">Mão de obra para regularização de superfície </t>
        </is>
      </c>
      <c r="E2279" s="1068" t="inlineStr">
        <is>
          <t>M2</t>
        </is>
      </c>
      <c r="F2279" s="1067" t="n"/>
      <c r="G2279" s="1069">
        <f t="array" ref="G2279">IF(B2279="insumo",_xlfn.XLOOKUP($D2279,Insumos!$B$1:$B$996,Insumos!$D$1:$D$996),"")</f>
        <v/>
      </c>
      <c r="H2279" s="1069" t="n">
        <v>20</v>
      </c>
      <c r="I2279" s="2161" t="n">
        <v>3018.39</v>
      </c>
      <c r="J2279" s="2161" t="n">
        <v>60367.8</v>
      </c>
      <c r="K2279" s="2161" t="n"/>
    </row>
    <row r="2280" outlineLevel="3" ht="15.75" customHeight="1">
      <c r="A2280" s="10" t="n">
        <v>1</v>
      </c>
      <c r="B2280" s="10" t="inlineStr">
        <is>
          <t>Insumo</t>
        </is>
      </c>
      <c r="C2280" s="10" t="inlineStr">
        <is>
          <t xml:space="preserve">Mão de obra para regularização de superfície </t>
        </is>
      </c>
      <c r="D2280" s="10" t="inlineStr">
        <is>
          <t xml:space="preserve">Mão de obra para regularização de superfície </t>
        </is>
      </c>
      <c r="E2280" s="11">
        <f t="array" ref="E2280">_xlfn.XLOOKUP(D2280,Insumos!B:B,Insumos!C:$C)</f>
        <v/>
      </c>
      <c r="F2280" s="14" t="n">
        <v>1</v>
      </c>
      <c r="G2280" s="92">
        <f t="array" ref="G2280">IF(B2280="insumo",_xlfn.XLOOKUP($D2280,Insumos!$B$1:$B$996,Insumos!$D$1:$D$996),"")</f>
        <v/>
      </c>
      <c r="H2280" s="92" t="n">
        <v>20</v>
      </c>
      <c r="I2280" s="2162" t="n">
        <v>3018.39</v>
      </c>
      <c r="J2280" s="2162" t="n">
        <v>60367.8</v>
      </c>
      <c r="K2280" s="2162" t="n"/>
    </row>
    <row r="2281" outlineLevel="2" ht="15.75" customHeight="1">
      <c r="A2281" s="1067" t="n">
        <v>1</v>
      </c>
      <c r="B2281" s="1067" t="inlineStr">
        <is>
          <t>Serviço</t>
        </is>
      </c>
      <c r="C2281" s="1067" t="inlineStr">
        <is>
          <t>Mão de obra para proteção mecânica</t>
        </is>
      </c>
      <c r="D2281" s="1067" t="inlineStr">
        <is>
          <t>Mão de obra para proteção mecânica</t>
        </is>
      </c>
      <c r="E2281" s="1068" t="inlineStr">
        <is>
          <t>M2</t>
        </is>
      </c>
      <c r="F2281" s="1075" t="n"/>
      <c r="G2281" s="1069">
        <f t="array" ref="G2281">IF(B2281="insumo",_xlfn.XLOOKUP($D2281,Insumos!$B$1:$B$996,Insumos!$D$1:$D$996),"")</f>
        <v/>
      </c>
      <c r="H2281" s="1069" t="n">
        <v>35</v>
      </c>
      <c r="I2281" s="2161" t="n">
        <v>1014.45</v>
      </c>
      <c r="J2281" s="2161" t="n">
        <v>35505.75</v>
      </c>
      <c r="K2281" s="2161" t="n"/>
    </row>
    <row r="2282" outlineLevel="3" ht="15.75" customHeight="1">
      <c r="A2282" s="10" t="n">
        <v>1</v>
      </c>
      <c r="B2282" s="10" t="inlineStr">
        <is>
          <t>Insumo</t>
        </is>
      </c>
      <c r="C2282" s="10" t="inlineStr">
        <is>
          <t>Mão de obra para proteção mecânica</t>
        </is>
      </c>
      <c r="D2282" s="10" t="inlineStr">
        <is>
          <t>Mão de obra para proteção mecânica</t>
        </is>
      </c>
      <c r="E2282" s="11">
        <f t="array" ref="E2282">_xlfn.XLOOKUP(D2282,Insumos!B:B,Insumos!C:$C)</f>
        <v/>
      </c>
      <c r="F2282" s="14" t="n">
        <v>1</v>
      </c>
      <c r="G2282" s="92">
        <f t="array" ref="G2282">IF(B2282="insumo",_xlfn.XLOOKUP($D2282,Insumos!$B$1:$B$996,Insumos!$D$1:$D$996),"")</f>
        <v/>
      </c>
      <c r="H2282" s="92" t="n">
        <v>35</v>
      </c>
      <c r="I2282" s="2162" t="n">
        <v>1014.45</v>
      </c>
      <c r="J2282" s="2162" t="n">
        <v>35505.75</v>
      </c>
      <c r="K2282" s="2162" t="n"/>
    </row>
    <row r="2283" outlineLevel="2" ht="15.75" customHeight="1">
      <c r="A2283" s="1067" t="n">
        <v>1</v>
      </c>
      <c r="B2283" s="1067" t="inlineStr">
        <is>
          <t>Serviço</t>
        </is>
      </c>
      <c r="C2283" s="1067" t="inlineStr">
        <is>
          <t>Mão de obra impermeabilização de superfície com manta líquida</t>
        </is>
      </c>
      <c r="D2283" s="1067" t="inlineStr">
        <is>
          <t>Mão de obra impermeabilização de superfície com manta líquida</t>
        </is>
      </c>
      <c r="E2283" s="1068" t="inlineStr">
        <is>
          <t>M2</t>
        </is>
      </c>
      <c r="F2283" s="1075" t="n"/>
      <c r="G2283" s="1069">
        <f t="array" ref="G2283">IF(B2283="insumo",_xlfn.XLOOKUP($D2283,Insumos!$B$1:$B$996,Insumos!$D$1:$D$996),"")</f>
        <v/>
      </c>
      <c r="H2283" s="1069" t="n">
        <v>30</v>
      </c>
      <c r="I2283" s="2161" t="n">
        <v>0</v>
      </c>
      <c r="J2283" s="2161" t="n">
        <v>0</v>
      </c>
      <c r="K2283" s="2161" t="n"/>
    </row>
    <row r="2284" outlineLevel="3" ht="15.75" customHeight="1">
      <c r="A2284" s="10" t="n">
        <v>1</v>
      </c>
      <c r="B2284" s="10" t="inlineStr">
        <is>
          <t>Insumo</t>
        </is>
      </c>
      <c r="C2284" s="10" t="inlineStr">
        <is>
          <t>Mão de obra impermeabilização de superfície com manta líquida</t>
        </is>
      </c>
      <c r="D2284" s="10" t="inlineStr">
        <is>
          <t>Mão de obra impermeabilização de superfície com manta líquida</t>
        </is>
      </c>
      <c r="E2284" s="11">
        <f t="array" ref="E2284">_xlfn.XLOOKUP(D2284,Insumos!B:B,Insumos!C:$C)</f>
        <v/>
      </c>
      <c r="F2284" s="14" t="n">
        <v>1</v>
      </c>
      <c r="G2284" s="92">
        <f t="array" ref="G2284">IF(B2284="insumo",_xlfn.XLOOKUP($D2284,Insumos!$B$1:$B$996,Insumos!$D$1:$D$996),"")</f>
        <v/>
      </c>
      <c r="H2284" s="92" t="n">
        <v>30</v>
      </c>
      <c r="I2284" s="2162" t="n">
        <v>0</v>
      </c>
      <c r="J2284" s="2162" t="n">
        <v>0</v>
      </c>
      <c r="K2284" s="2162" t="n"/>
    </row>
    <row r="2285" outlineLevel="2" ht="15.75" customHeight="1">
      <c r="A2285" s="1067" t="n">
        <v>1</v>
      </c>
      <c r="B2285" s="1067" t="inlineStr">
        <is>
          <t>Serviço</t>
        </is>
      </c>
      <c r="C2285" s="1067" t="inlineStr">
        <is>
          <t>Mão de obra impermeabilização de superfície com manta asfáltica</t>
        </is>
      </c>
      <c r="D2285" s="1067" t="inlineStr">
        <is>
          <t>Mão de obra impermeabilização de superfície com manta asfáltica</t>
        </is>
      </c>
      <c r="E2285" s="1068" t="inlineStr">
        <is>
          <t>M2</t>
        </is>
      </c>
      <c r="F2285" s="1075" t="n"/>
      <c r="G2285" s="1069">
        <f t="array" ref="G2285">IF(B2285="insumo",_xlfn.XLOOKUP($D2285,Insumos!$B$1:$B$996,Insumos!$D$1:$D$996),"")</f>
        <v/>
      </c>
      <c r="H2285" s="1069" t="n">
        <v>45</v>
      </c>
      <c r="I2285" s="2161" t="n">
        <v>0</v>
      </c>
      <c r="J2285" s="2161" t="n">
        <v>0</v>
      </c>
      <c r="K2285" s="2161" t="n"/>
    </row>
    <row r="2286" outlineLevel="3" ht="15.75" customHeight="1">
      <c r="A2286" s="10" t="n">
        <v>1</v>
      </c>
      <c r="B2286" s="10" t="inlineStr">
        <is>
          <t>Insumo</t>
        </is>
      </c>
      <c r="C2286" s="10" t="inlineStr">
        <is>
          <t>Mão de obra impermeabilização de superfície com manta asfáltica</t>
        </is>
      </c>
      <c r="D2286" s="10" t="inlineStr">
        <is>
          <t>Mão de obra impermeabilização de superfície com manta asfáltica</t>
        </is>
      </c>
      <c r="E2286" s="11">
        <f t="array" ref="E2286">_xlfn.XLOOKUP(D2286,Insumos!B:B,Insumos!C:$C)</f>
        <v/>
      </c>
      <c r="F2286" s="14" t="n">
        <v>1</v>
      </c>
      <c r="G2286" s="92">
        <f t="array" ref="G2286">IF(B2286="insumo",_xlfn.XLOOKUP($D2286,Insumos!$B$1:$B$996,Insumos!$D$1:$D$996),"")</f>
        <v/>
      </c>
      <c r="H2286" s="92" t="n">
        <v>45</v>
      </c>
      <c r="I2286" s="2162" t="n">
        <v>0</v>
      </c>
      <c r="J2286" s="2162" t="n">
        <v>0</v>
      </c>
      <c r="K2286" s="2162" t="n"/>
    </row>
    <row r="2287" outlineLevel="2" ht="15.75" customHeight="1">
      <c r="A2287" s="1067" t="n">
        <v>1</v>
      </c>
      <c r="B2287" s="1067" t="inlineStr">
        <is>
          <t>Serviço</t>
        </is>
      </c>
      <c r="C2287" s="1067" t="inlineStr">
        <is>
          <t>Mão de obra impermeabilização de argamassa polimérica</t>
        </is>
      </c>
      <c r="D2287" s="1067" t="inlineStr">
        <is>
          <t>Mão de obra impermeabilização de argamassa polimérica</t>
        </is>
      </c>
      <c r="E2287" s="1068" t="inlineStr">
        <is>
          <t>M2</t>
        </is>
      </c>
      <c r="F2287" s="1075" t="n"/>
      <c r="G2287" s="1069">
        <f t="array" ref="G2287">IF(B2287="insumo",_xlfn.XLOOKUP($D2287,Insumos!$B$1:$B$996,Insumos!$D$1:$D$996),"")</f>
        <v/>
      </c>
      <c r="H2287" s="1069" t="n">
        <v>30</v>
      </c>
      <c r="I2287" s="2161" t="n">
        <v>0</v>
      </c>
      <c r="J2287" s="2161" t="n">
        <v>0</v>
      </c>
      <c r="K2287" s="2161" t="n"/>
    </row>
    <row r="2288" outlineLevel="3" ht="15.75" customHeight="1">
      <c r="A2288" s="10" t="n">
        <v>2</v>
      </c>
      <c r="B2288" s="10" t="inlineStr">
        <is>
          <t>Insumo</t>
        </is>
      </c>
      <c r="C2288" s="10" t="inlineStr">
        <is>
          <t>Mão de obra impermeabilização de argamassa polimérica</t>
        </is>
      </c>
      <c r="D2288" s="10" t="inlineStr">
        <is>
          <t>Mão de obra impermeabilização de argamassa polimérica</t>
        </is>
      </c>
      <c r="E2288" s="11">
        <f t="array" ref="E2288">_xlfn.XLOOKUP(D2288,Insumos!B:B,Insumos!C:$C)</f>
        <v/>
      </c>
      <c r="F2288" s="14" t="n">
        <v>1</v>
      </c>
      <c r="G2288" s="92">
        <f t="array" ref="G2288">IF(B2288="insumo",_xlfn.XLOOKUP($D2288,Insumos!$B$1:$B$996,Insumos!$D$1:$D$996),"")</f>
        <v/>
      </c>
      <c r="H2288" s="92" t="n">
        <v>30</v>
      </c>
      <c r="I2288" s="2162" t="n">
        <v>0</v>
      </c>
      <c r="J2288" s="2162" t="n">
        <v>0</v>
      </c>
      <c r="K2288" s="2162" t="n"/>
    </row>
    <row r="2289" outlineLevel="2" ht="15.75" customHeight="1">
      <c r="A2289" s="1067" t="n">
        <v>1</v>
      </c>
      <c r="B2289" s="1067" t="inlineStr">
        <is>
          <t>Serviço</t>
        </is>
      </c>
      <c r="C2289" s="1067" t="inlineStr">
        <is>
          <t>Mão de obra impermeabilização com membrana de polimero</t>
        </is>
      </c>
      <c r="D2289" s="1067" t="inlineStr">
        <is>
          <t>Mão de obra impermeabilização com membrana de polimero</t>
        </is>
      </c>
      <c r="E2289" s="1068" t="inlineStr">
        <is>
          <t>M2</t>
        </is>
      </c>
      <c r="F2289" s="1075" t="n"/>
      <c r="G2289" s="1069">
        <f t="array" ref="G2289">IF(B2289="insumo",_xlfn.XLOOKUP($D2289,Insumos!$B$1:$B$996,Insumos!$D$1:$D$996),"")</f>
        <v/>
      </c>
      <c r="H2289" s="1069" t="n">
        <v>30</v>
      </c>
      <c r="I2289" s="2161" t="n">
        <v>0</v>
      </c>
      <c r="J2289" s="2161" t="n">
        <v>0</v>
      </c>
      <c r="K2289" s="2161" t="n"/>
    </row>
    <row r="2290" outlineLevel="3" ht="15.75" customHeight="1">
      <c r="A2290" s="10" t="n">
        <v>2</v>
      </c>
      <c r="B2290" s="10" t="inlineStr">
        <is>
          <t>Insumo</t>
        </is>
      </c>
      <c r="C2290" s="10" t="inlineStr">
        <is>
          <t>Mão de obra impermeabilização com membrana de polimero</t>
        </is>
      </c>
      <c r="D2290" s="10" t="inlineStr">
        <is>
          <t>Mão de obra impermeabilização de argamassa polimérica</t>
        </is>
      </c>
      <c r="E2290" s="11">
        <f t="array" ref="E2290">_xlfn.XLOOKUP(D2290,Insumos!B:B,Insumos!C:$C)</f>
        <v/>
      </c>
      <c r="F2290" s="14" t="n">
        <v>1</v>
      </c>
      <c r="G2290" s="92">
        <f t="array" ref="G2290">IF(B2290="insumo",_xlfn.XLOOKUP($D2290,Insumos!$B$1:$B$996,Insumos!$D$1:$D$996),"")</f>
        <v/>
      </c>
      <c r="H2290" s="92" t="n">
        <v>30</v>
      </c>
      <c r="I2290" s="2162" t="n">
        <v>0</v>
      </c>
      <c r="J2290" s="2162" t="n">
        <v>0</v>
      </c>
      <c r="K2290" s="2162" t="n"/>
    </row>
    <row r="2291" outlineLevel="2" ht="15.75" customHeight="1">
      <c r="A2291" s="1067" t="n">
        <v>1</v>
      </c>
      <c r="B2291" s="1067" t="inlineStr">
        <is>
          <t>Serviço</t>
        </is>
      </c>
      <c r="C2291" s="1067" t="inlineStr">
        <is>
          <t>Mão de obra impermeabilização com emulsão Asfaltica</t>
        </is>
      </c>
      <c r="D2291" s="1067" t="inlineStr">
        <is>
          <t>Mão de obra impermeabilização com emulsão Asfaltica</t>
        </is>
      </c>
      <c r="E2291" s="1068" t="inlineStr">
        <is>
          <t>M2</t>
        </is>
      </c>
      <c r="F2291" s="1067" t="n"/>
      <c r="G2291" s="1069">
        <f t="array" ref="G2291">IF(B2291="insumo",_xlfn.XLOOKUP($D2291,Insumos!$B$1:$B$996,Insumos!$D$1:$D$996),"")</f>
        <v/>
      </c>
      <c r="H2291" s="1069" t="n">
        <v>28</v>
      </c>
      <c r="I2291" s="2161" t="n">
        <v>698.85</v>
      </c>
      <c r="J2291" s="2161" t="n">
        <v>19567.8</v>
      </c>
      <c r="K2291" s="2161" t="n"/>
    </row>
    <row r="2292" outlineLevel="3" ht="15.75" customHeight="1">
      <c r="A2292" s="10" t="n">
        <v>1</v>
      </c>
      <c r="B2292" s="10" t="inlineStr">
        <is>
          <t>Insumo</t>
        </is>
      </c>
      <c r="C2292" s="10" t="inlineStr">
        <is>
          <t>Mão de obra impermeabilização com emulsão Asfaltica</t>
        </is>
      </c>
      <c r="D2292" s="10" t="inlineStr">
        <is>
          <t>Mão de obra impermeabilização com emulsão Asfaltica</t>
        </is>
      </c>
      <c r="E2292" s="11">
        <f t="array" ref="E2292">_xlfn.XLOOKUP(D2292,Insumos!B:B,Insumos!C:$C)</f>
        <v/>
      </c>
      <c r="F2292" s="14" t="n">
        <v>1</v>
      </c>
      <c r="G2292" s="92">
        <f t="array" ref="G2292">IF(B2292="insumo",_xlfn.XLOOKUP($D2292,Insumos!$B$1:$B$996,Insumos!$D$1:$D$996),"")</f>
        <v/>
      </c>
      <c r="H2292" s="92" t="n">
        <v>28</v>
      </c>
      <c r="I2292" s="2162" t="n">
        <v>698.85</v>
      </c>
      <c r="J2292" s="2162" t="n">
        <v>19567.8</v>
      </c>
      <c r="K2292" s="2162" t="n"/>
    </row>
    <row r="2293" outlineLevel="2" ht="15.75" customHeight="1">
      <c r="A2293" s="1067" t="n">
        <v>1</v>
      </c>
      <c r="B2293" s="1067" t="inlineStr">
        <is>
          <t>Serviço</t>
        </is>
      </c>
      <c r="C2293" s="1067" t="inlineStr">
        <is>
          <t>Mão de obra impermeabilização com manta liquida em Fachadas</t>
        </is>
      </c>
      <c r="D2293" s="1067" t="inlineStr">
        <is>
          <t>Mão de obra impermeabilização com manta liquida em Fachadas</t>
        </is>
      </c>
      <c r="E2293" s="1068" t="inlineStr">
        <is>
          <t>M2</t>
        </is>
      </c>
      <c r="F2293" s="1075" t="n"/>
      <c r="G2293" s="1069">
        <f t="array" ref="G2293">IF(B2293="insumo",_xlfn.XLOOKUP($D2293,Insumos!$B$1:$B$996,Insumos!$D$1:$D$996),"")</f>
        <v/>
      </c>
      <c r="H2293" s="1069" t="n">
        <v>30</v>
      </c>
      <c r="I2293" s="2161" t="n">
        <v>0</v>
      </c>
      <c r="J2293" s="2161" t="n">
        <v>0</v>
      </c>
      <c r="K2293" s="2161" t="n"/>
    </row>
    <row r="2294" outlineLevel="3" ht="15.75" customHeight="1">
      <c r="A2294" s="10" t="n">
        <v>1</v>
      </c>
      <c r="B2294" s="10" t="inlineStr">
        <is>
          <t>Insumo</t>
        </is>
      </c>
      <c r="C2294" s="10" t="inlineStr">
        <is>
          <t>Mão de obra impermeabilização com manta liquida em Fachadas</t>
        </is>
      </c>
      <c r="D2294" s="10" t="inlineStr">
        <is>
          <t>Mão de obra impermeabilização com manta liquida em Fachadas</t>
        </is>
      </c>
      <c r="E2294" s="11">
        <f t="array" ref="E2294">_xlfn.XLOOKUP(D2294,Insumos!B:B,Insumos!C:$C)</f>
        <v/>
      </c>
      <c r="F2294" s="14" t="n">
        <v>1</v>
      </c>
      <c r="G2294" s="92">
        <f t="array" ref="G2294">IF(B2294="insumo",_xlfn.XLOOKUP($D2294,Insumos!$B$1:$B$996,Insumos!$D$1:$D$996),"")</f>
        <v/>
      </c>
      <c r="H2294" s="92" t="n">
        <v>30</v>
      </c>
      <c r="I2294" s="2162" t="n">
        <v>0</v>
      </c>
      <c r="J2294" s="2162" t="n">
        <v>0</v>
      </c>
      <c r="K2294" s="2162" t="n"/>
    </row>
    <row r="2295" outlineLevel="2" ht="15.75" customHeight="1">
      <c r="A2295" s="1067" t="n">
        <v>1</v>
      </c>
      <c r="B2295" s="1067" t="inlineStr">
        <is>
          <t>Serviço</t>
        </is>
      </c>
      <c r="C2295" s="1067" t="inlineStr">
        <is>
          <t>Mão de obra impermeabilização com manta liquida em peitoris</t>
        </is>
      </c>
      <c r="D2295" s="1067" t="inlineStr">
        <is>
          <t>Mão de obra impermeabilização com manta liquida em peitoris</t>
        </is>
      </c>
      <c r="E2295" s="1068" t="inlineStr">
        <is>
          <t>M2</t>
        </is>
      </c>
      <c r="F2295" s="1075" t="n"/>
      <c r="G2295" s="1069">
        <f t="array" ref="G2295">IF(B2295="insumo",_xlfn.XLOOKUP($D2295,Insumos!$B$1:$B$996,Insumos!$D$1:$D$996),"")</f>
        <v/>
      </c>
      <c r="H2295" s="1069" t="n">
        <v>30</v>
      </c>
      <c r="I2295" s="2161" t="n">
        <v>0</v>
      </c>
      <c r="J2295" s="2161" t="n">
        <v>0</v>
      </c>
      <c r="K2295" s="2161" t="n"/>
    </row>
    <row r="2296" outlineLevel="3" ht="15.75" customHeight="1">
      <c r="A2296" s="10" t="n">
        <v>1</v>
      </c>
      <c r="B2296" s="10" t="inlineStr">
        <is>
          <t>Insumo</t>
        </is>
      </c>
      <c r="C2296" s="10" t="inlineStr">
        <is>
          <t>Mão de obra impermeabilização com manta liquida em peitoris</t>
        </is>
      </c>
      <c r="D2296" s="10" t="inlineStr">
        <is>
          <t>Mão de obra impermeabilização com manta liquida em peitoris</t>
        </is>
      </c>
      <c r="E2296" s="11">
        <f t="array" ref="E2296">_xlfn.XLOOKUP(D2296,Insumos!B:B,Insumos!C:$C)</f>
        <v/>
      </c>
      <c r="F2296" s="14" t="n">
        <v>1</v>
      </c>
      <c r="G2296" s="92">
        <f t="array" ref="G2296">IF(B2296="insumo",_xlfn.XLOOKUP($D2296,Insumos!$B$1:$B$996,Insumos!$D$1:$D$996),"")</f>
        <v/>
      </c>
      <c r="H2296" s="92" t="n">
        <v>30</v>
      </c>
      <c r="I2296" s="2162" t="n">
        <v>0</v>
      </c>
      <c r="J2296" s="2162" t="n">
        <v>0</v>
      </c>
      <c r="K2296" s="2162" t="n"/>
    </row>
    <row r="2297" outlineLevel="2" ht="15.75" customHeight="1">
      <c r="A2297" s="1067" t="n">
        <v>1</v>
      </c>
      <c r="B2297" s="1067" t="inlineStr">
        <is>
          <t>Serviço</t>
        </is>
      </c>
      <c r="C2297" s="1067" t="inlineStr">
        <is>
          <t>Mão de obra tratamento de ralo com manta de poliéster</t>
        </is>
      </c>
      <c r="D2297" s="1067" t="inlineStr">
        <is>
          <t>Mão de obra tratamento de ralo com manta de poliéster</t>
        </is>
      </c>
      <c r="E2297" s="1068" t="inlineStr">
        <is>
          <t>M2</t>
        </is>
      </c>
      <c r="F2297" s="1075" t="n"/>
      <c r="G2297" s="1069">
        <f t="array" ref="G2297">IF(B2297="insumo",_xlfn.XLOOKUP($D2297,Insumos!$B$1:$B$996,Insumos!$D$1:$D$996),"")</f>
        <v/>
      </c>
      <c r="H2297" s="1069" t="n">
        <v>50</v>
      </c>
      <c r="I2297" s="2161" t="n">
        <v>669</v>
      </c>
      <c r="J2297" s="2161" t="n">
        <v>33450</v>
      </c>
      <c r="K2297" s="2161" t="n"/>
    </row>
    <row r="2298" outlineLevel="3" ht="15.75" customHeight="1">
      <c r="A2298" s="10" t="n">
        <v>1</v>
      </c>
      <c r="B2298" s="10" t="inlineStr">
        <is>
          <t>Insumo</t>
        </is>
      </c>
      <c r="C2298" s="10" t="inlineStr">
        <is>
          <t>Mão de obra tratamento de ralo com manta de poliéster</t>
        </is>
      </c>
      <c r="D2298" s="10" t="inlineStr">
        <is>
          <t>Mão de obra tratamento de ralo com manta de poliéster</t>
        </is>
      </c>
      <c r="E2298" s="11">
        <f t="array" ref="E2298">_xlfn.XLOOKUP(D2298,Insumos!B:B,Insumos!C:$C)</f>
        <v/>
      </c>
      <c r="F2298" s="14" t="n">
        <v>1</v>
      </c>
      <c r="G2298" s="92">
        <f t="array" ref="G2298">IF(B2298="insumo",_xlfn.XLOOKUP($D2298,Insumos!$B$1:$B$996,Insumos!$D$1:$D$996),"")</f>
        <v/>
      </c>
      <c r="H2298" s="92" t="n">
        <v>50</v>
      </c>
      <c r="I2298" s="2162" t="n">
        <v>669</v>
      </c>
      <c r="J2298" s="2162" t="n">
        <v>33450</v>
      </c>
      <c r="K2298" s="2162" t="n"/>
    </row>
    <row r="2299" outlineLevel="2" ht="15.75" customHeight="1">
      <c r="A2299" s="1067" t="n">
        <v>1</v>
      </c>
      <c r="B2299" s="1067" t="inlineStr">
        <is>
          <t>Serviço</t>
        </is>
      </c>
      <c r="C2299" s="1067" t="inlineStr">
        <is>
          <t>Mão de obra impermeabilização sistema 2.1.4</t>
        </is>
      </c>
      <c r="D2299" s="1067" t="inlineStr">
        <is>
          <t>Mão de obra impermeabilização sistema 2.1.4</t>
        </is>
      </c>
      <c r="E2299" s="1068" t="inlineStr">
        <is>
          <t>M2</t>
        </is>
      </c>
      <c r="F2299" s="1075" t="n"/>
      <c r="G2299" s="1069">
        <f t="array" ref="G2299">IF(B2299="insumo",_xlfn.XLOOKUP($D2299,Insumos!$B$1:$B$996,Insumos!$D$1:$D$996),"")</f>
        <v/>
      </c>
      <c r="H2299" s="1069" t="n">
        <v>30</v>
      </c>
      <c r="I2299" s="2168" t="n">
        <v>97.67</v>
      </c>
      <c r="J2299" s="2161" t="n">
        <v>2930.1</v>
      </c>
      <c r="K2299" s="2161" t="n"/>
    </row>
    <row r="2300" outlineLevel="3" ht="15.75" customHeight="1">
      <c r="A2300" s="10" t="n">
        <v>1</v>
      </c>
      <c r="B2300" s="10" t="inlineStr">
        <is>
          <t>Insumo</t>
        </is>
      </c>
      <c r="C2300" s="10" t="inlineStr">
        <is>
          <t>Mão de obra impermeabilização sistema 2.1.4</t>
        </is>
      </c>
      <c r="D2300" s="10" t="inlineStr">
        <is>
          <t>Mão de obra impermeabilização sistema 2.1.4</t>
        </is>
      </c>
      <c r="E2300" s="11">
        <f t="array" ref="E2300">_xlfn.XLOOKUP(D2300,Insumos!B:B,Insumos!C:$C)</f>
        <v/>
      </c>
      <c r="F2300" s="14" t="n">
        <v>1</v>
      </c>
      <c r="G2300" s="92">
        <f t="array" ref="G2300">IF(B2300="insumo",_xlfn.XLOOKUP($D2300,Insumos!$B$1:$B$996,Insumos!$D$1:$D$996),"")</f>
        <v/>
      </c>
      <c r="H2300" s="92" t="n">
        <v>30</v>
      </c>
      <c r="I2300" s="2162" t="n">
        <v>97.67</v>
      </c>
      <c r="J2300" s="2162" t="n">
        <v>2930.1</v>
      </c>
      <c r="K2300" s="2162" t="n"/>
    </row>
    <row r="2301" outlineLevel="2" ht="15.75" customHeight="1">
      <c r="A2301" s="1067" t="n">
        <v>1</v>
      </c>
      <c r="B2301" s="1067" t="inlineStr">
        <is>
          <t>Serviço</t>
        </is>
      </c>
      <c r="C2301" s="1067" t="inlineStr">
        <is>
          <t>Mão de obra impermeabilização sistema 2.5.3</t>
        </is>
      </c>
      <c r="D2301" s="1067" t="inlineStr">
        <is>
          <t>Mão de obra impermeabilização sistema 2.5.3</t>
        </is>
      </c>
      <c r="E2301" s="1068" t="inlineStr">
        <is>
          <t>M2</t>
        </is>
      </c>
      <c r="F2301" s="1075" t="n"/>
      <c r="G2301" s="1069">
        <f t="array" ref="G2301">IF(B2301="insumo",_xlfn.XLOOKUP($D2301,Insumos!$B$1:$B$996,Insumos!$D$1:$D$996),"")</f>
        <v/>
      </c>
      <c r="H2301" s="1069" t="n">
        <v>32</v>
      </c>
      <c r="I2301" s="2168" t="n">
        <v>4925.75</v>
      </c>
      <c r="J2301" s="2161" t="n">
        <v>157624</v>
      </c>
      <c r="K2301" s="2161" t="n"/>
    </row>
    <row r="2302" outlineLevel="3" ht="15.75" customHeight="1">
      <c r="A2302" s="10" t="n">
        <v>1</v>
      </c>
      <c r="B2302" s="10" t="inlineStr">
        <is>
          <t>Insumo</t>
        </is>
      </c>
      <c r="C2302" s="10" t="inlineStr">
        <is>
          <t>Mão de obra impermeabilização sistema 2.5.3</t>
        </is>
      </c>
      <c r="D2302" s="10" t="inlineStr">
        <is>
          <t>Mão de obra impermeabilização sistema 2.5.3</t>
        </is>
      </c>
      <c r="E2302" s="11">
        <f t="array" ref="E2302">_xlfn.XLOOKUP(D2302,Insumos!B:B,Insumos!C:$C)</f>
        <v/>
      </c>
      <c r="F2302" s="14" t="n">
        <v>1</v>
      </c>
      <c r="G2302" s="92">
        <f t="array" ref="G2302">IF(B2302="insumo",_xlfn.XLOOKUP($D2302,Insumos!$B$1:$B$996,Insumos!$D$1:$D$996),"")</f>
        <v/>
      </c>
      <c r="H2302" s="92" t="n">
        <v>32</v>
      </c>
      <c r="I2302" s="2162" t="n">
        <v>4925.75</v>
      </c>
      <c r="J2302" s="2162" t="n">
        <v>157624</v>
      </c>
      <c r="K2302" s="2162" t="n"/>
    </row>
    <row r="2303" outlineLevel="2" ht="15.75" customHeight="1">
      <c r="A2303" s="1067" t="n">
        <v>1</v>
      </c>
      <c r="B2303" s="1067" t="inlineStr">
        <is>
          <t>Serviço</t>
        </is>
      </c>
      <c r="C2303" s="1067" t="inlineStr">
        <is>
          <t>Mão de obra impermeabilização sistema 2.8.6</t>
        </is>
      </c>
      <c r="D2303" s="1067" t="inlineStr">
        <is>
          <t>Mão de obra impermeabilização sistema 2.8.6</t>
        </is>
      </c>
      <c r="E2303" s="1068" t="inlineStr">
        <is>
          <t>M2</t>
        </is>
      </c>
      <c r="F2303" s="1075" t="n"/>
      <c r="G2303" s="1069">
        <f t="array" ref="G2303">IF(B2303="insumo",_xlfn.XLOOKUP($D2303,Insumos!$B$1:$B$996,Insumos!$D$1:$D$996),"")</f>
        <v/>
      </c>
      <c r="H2303" s="1069" t="n">
        <v>38</v>
      </c>
      <c r="I2303" s="2161" t="n">
        <v>234</v>
      </c>
      <c r="J2303" s="2161" t="n">
        <v>8892</v>
      </c>
      <c r="K2303" s="2161" t="n"/>
    </row>
    <row r="2304" outlineLevel="3" ht="15.75" customHeight="1">
      <c r="A2304" s="10" t="n">
        <v>1</v>
      </c>
      <c r="B2304" s="10" t="inlineStr">
        <is>
          <t>Insumo</t>
        </is>
      </c>
      <c r="C2304" s="10" t="inlineStr">
        <is>
          <t>Mão de obra impermeabilização sistema 2.8.6</t>
        </is>
      </c>
      <c r="D2304" s="10" t="inlineStr">
        <is>
          <t>Mão de obra impermeabilização sistema 2.8.6</t>
        </is>
      </c>
      <c r="E2304" s="11">
        <f t="array" ref="E2304">_xlfn.XLOOKUP(D2304,Insumos!B:B,Insumos!C:$C)</f>
        <v/>
      </c>
      <c r="F2304" s="14" t="n">
        <v>1</v>
      </c>
      <c r="G2304" s="92">
        <f t="array" ref="G2304">IF(B2304="insumo",_xlfn.XLOOKUP($D2304,Insumos!$B$1:$B$996,Insumos!$D$1:$D$996),"")</f>
        <v/>
      </c>
      <c r="H2304" s="92" t="n">
        <v>38</v>
      </c>
      <c r="I2304" s="2162" t="n">
        <v>234</v>
      </c>
      <c r="J2304" s="2162" t="n">
        <v>8892</v>
      </c>
      <c r="K2304" s="2162" t="n"/>
    </row>
    <row r="2305" outlineLevel="2" ht="15.75" customHeight="1">
      <c r="A2305" s="1067" t="n">
        <v>1</v>
      </c>
      <c r="B2305" s="1067" t="inlineStr">
        <is>
          <t>Serviço</t>
        </is>
      </c>
      <c r="C2305" s="1067" t="inlineStr">
        <is>
          <t>Mão de obra impermeabilização sistema 4.2.4</t>
        </is>
      </c>
      <c r="D2305" s="1067" t="inlineStr">
        <is>
          <t>Mão de obra impermeabilização sistema 4.2.4</t>
        </is>
      </c>
      <c r="E2305" s="1068" t="inlineStr">
        <is>
          <t>M2</t>
        </is>
      </c>
      <c r="F2305" s="1075" t="n"/>
      <c r="G2305" s="1069">
        <f t="array" ref="G2305">IF(B2305="insumo",_xlfn.XLOOKUP($D2305,Insumos!$B$1:$B$996,Insumos!$D$1:$D$996),"")</f>
        <v/>
      </c>
      <c r="H2305" s="1069" t="n">
        <v>45</v>
      </c>
      <c r="I2305" s="2161" t="n">
        <v>757.0599999999999</v>
      </c>
      <c r="J2305" s="2161" t="n">
        <v>34067.7</v>
      </c>
      <c r="K2305" s="2161" t="n"/>
    </row>
    <row r="2306" outlineLevel="3" ht="15.75" customHeight="1">
      <c r="A2306" s="10" t="n">
        <v>1</v>
      </c>
      <c r="B2306" s="10" t="inlineStr">
        <is>
          <t>Insumo</t>
        </is>
      </c>
      <c r="C2306" s="10" t="inlineStr">
        <is>
          <t>Mão de obra impermeabilização sistema 4.2.4</t>
        </is>
      </c>
      <c r="D2306" s="10" t="inlineStr">
        <is>
          <t>Mão de obra impermeabilização sistema 4.2.4</t>
        </is>
      </c>
      <c r="E2306" s="11">
        <f t="array" ref="E2306">_xlfn.XLOOKUP(D2306,Insumos!B:B,Insumos!C:$C)</f>
        <v/>
      </c>
      <c r="F2306" s="14" t="n">
        <v>1</v>
      </c>
      <c r="G2306" s="92">
        <f t="array" ref="G2306">IF(B2306="insumo",_xlfn.XLOOKUP($D2306,Insumos!$B$1:$B$996,Insumos!$D$1:$D$996),"")</f>
        <v/>
      </c>
      <c r="H2306" s="92" t="n">
        <v>45</v>
      </c>
      <c r="I2306" s="2162" t="n">
        <v>757.0599999999999</v>
      </c>
      <c r="J2306" s="2162" t="n">
        <v>34067.7</v>
      </c>
      <c r="K2306" s="2162" t="n"/>
    </row>
    <row r="2307" outlineLevel="2" ht="15.75" customHeight="1">
      <c r="A2307" s="1067" t="n">
        <v>1</v>
      </c>
      <c r="B2307" s="1067" t="inlineStr">
        <is>
          <t>Serviço</t>
        </is>
      </c>
      <c r="C2307" s="1067" t="inlineStr">
        <is>
          <t>Mão de obra impermeabilização sistema 4.5.3</t>
        </is>
      </c>
      <c r="D2307" s="1067" t="inlineStr">
        <is>
          <t>Mão de obra impermeabilização sistema 4.5.3</t>
        </is>
      </c>
      <c r="E2307" s="1068" t="inlineStr">
        <is>
          <t>M2</t>
        </is>
      </c>
      <c r="F2307" s="1067" t="n"/>
      <c r="G2307" s="1069">
        <f t="array" ref="G2307">IF(B2307="insumo",_xlfn.XLOOKUP($D2307,Insumos!$B$1:$B$996,Insumos!$D$1:$D$996),"")</f>
        <v/>
      </c>
      <c r="H2307" s="1069" t="n">
        <v>45</v>
      </c>
      <c r="I2307" s="2161" t="n">
        <v>342.12</v>
      </c>
      <c r="J2307" s="2161" t="n">
        <v>15395.4</v>
      </c>
      <c r="K2307" s="2161" t="n"/>
    </row>
    <row r="2308" outlineLevel="3" ht="15.75" customHeight="1">
      <c r="A2308" s="10" t="n">
        <v>1</v>
      </c>
      <c r="B2308" s="10" t="inlineStr">
        <is>
          <t>Insumo</t>
        </is>
      </c>
      <c r="C2308" s="10" t="inlineStr">
        <is>
          <t>Mão de obra impermeabilização sistema 4.5.3</t>
        </is>
      </c>
      <c r="D2308" s="10" t="inlineStr">
        <is>
          <t>Mão de obra impermeabilização sistema 4.5.3</t>
        </is>
      </c>
      <c r="E2308" s="11">
        <f t="array" ref="E2308">_xlfn.XLOOKUP(D2308,Insumos!B:B,Insumos!C:$C)</f>
        <v/>
      </c>
      <c r="F2308" s="14" t="n">
        <v>1</v>
      </c>
      <c r="G2308" s="92">
        <f t="array" ref="G2308">IF(B2308="insumo",_xlfn.XLOOKUP($D2308,Insumos!$B$1:$B$996,Insumos!$D$1:$D$996),"")</f>
        <v/>
      </c>
      <c r="H2308" s="92" t="n">
        <v>45</v>
      </c>
      <c r="I2308" s="2162" t="n">
        <v>342.12</v>
      </c>
      <c r="J2308" s="2162" t="n">
        <v>15395.4</v>
      </c>
      <c r="K2308" s="2162" t="n"/>
    </row>
    <row r="2309" outlineLevel="2" ht="15.75" customHeight="1">
      <c r="A2309" s="1067" t="n">
        <v>1</v>
      </c>
      <c r="B2309" s="1067" t="inlineStr">
        <is>
          <t>Serviço</t>
        </is>
      </c>
      <c r="C2309" s="1067" t="inlineStr">
        <is>
          <t>Mão de obra impermeabilização sistema 4.9.2</t>
        </is>
      </c>
      <c r="D2309" s="1067" t="inlineStr">
        <is>
          <t>Mão de obra impermeabilização sistema 4.9.2</t>
        </is>
      </c>
      <c r="E2309" s="1068" t="inlineStr">
        <is>
          <t>M2</t>
        </is>
      </c>
      <c r="F2309" s="1075" t="n"/>
      <c r="G2309" s="1069">
        <f t="array" ref="G2309">IF(B2309="insumo",_xlfn.XLOOKUP($D2309,Insumos!$B$1:$B$996,Insumos!$D$1:$D$996),"")</f>
        <v/>
      </c>
      <c r="H2309" s="1069" t="n">
        <v>62</v>
      </c>
      <c r="I2309" s="2161" t="n">
        <v>241.13</v>
      </c>
      <c r="J2309" s="2161" t="n">
        <v>14950.06</v>
      </c>
      <c r="K2309" s="2161" t="n"/>
    </row>
    <row r="2310" outlineLevel="3" ht="15.75" customHeight="1">
      <c r="A2310" s="10" t="n">
        <v>1</v>
      </c>
      <c r="B2310" s="10" t="inlineStr">
        <is>
          <t>Insumo</t>
        </is>
      </c>
      <c r="C2310" s="10" t="inlineStr">
        <is>
          <t>Mão de obra impermeabilização sistema 4.9.2</t>
        </is>
      </c>
      <c r="D2310" s="10" t="inlineStr">
        <is>
          <t>Mão de obra impermeabilização sistema 4.9.2</t>
        </is>
      </c>
      <c r="E2310" s="11">
        <f t="array" ref="E2310">_xlfn.XLOOKUP(D2310,Insumos!B:B,Insumos!C:$C)</f>
        <v/>
      </c>
      <c r="F2310" s="14" t="n">
        <v>1</v>
      </c>
      <c r="G2310" s="92">
        <f t="array" ref="G2310">IF(B2310="insumo",_xlfn.XLOOKUP($D2310,Insumos!$B$1:$B$996,Insumos!$D$1:$D$996),"")</f>
        <v/>
      </c>
      <c r="H2310" s="92" t="n">
        <v>62</v>
      </c>
      <c r="I2310" s="2162" t="n">
        <v>241.13</v>
      </c>
      <c r="J2310" s="2162" t="n">
        <v>14950.06</v>
      </c>
      <c r="K2310" s="2162" t="n"/>
    </row>
    <row r="2311" outlineLevel="2" ht="15.75" customHeight="1">
      <c r="A2311" s="1067" t="n">
        <v>1</v>
      </c>
      <c r="B2311" s="1067" t="inlineStr">
        <is>
          <t>Serviço</t>
        </is>
      </c>
      <c r="C2311" s="1067" t="inlineStr">
        <is>
          <t>Mão de obra impermeabilização sistema 7.1.2</t>
        </is>
      </c>
      <c r="D2311" s="1067" t="inlineStr">
        <is>
          <t>Mão de obra impermeabilização sistema 7.1.2</t>
        </is>
      </c>
      <c r="E2311" s="1068" t="inlineStr">
        <is>
          <t>M2</t>
        </is>
      </c>
      <c r="F2311" s="1075" t="n"/>
      <c r="G2311" s="1069">
        <f t="array" ref="G2311">IF(B2311="insumo",_xlfn.XLOOKUP($D2311,Insumos!$B$1:$B$996,Insumos!$D$1:$D$996),"")</f>
        <v/>
      </c>
      <c r="H2311" s="1069" t="n">
        <v>35</v>
      </c>
      <c r="I2311" s="2161" t="n">
        <v>68.2</v>
      </c>
      <c r="J2311" s="2161" t="n">
        <v>2387</v>
      </c>
      <c r="K2311" s="2161" t="n"/>
    </row>
    <row r="2312" outlineLevel="3" ht="15.75" customHeight="1">
      <c r="A2312" s="10" t="n">
        <v>1</v>
      </c>
      <c r="B2312" s="10" t="inlineStr">
        <is>
          <t>Insumo</t>
        </is>
      </c>
      <c r="C2312" s="10" t="inlineStr">
        <is>
          <t>Mão de obra impermeabilização sistema 7.1.2</t>
        </is>
      </c>
      <c r="D2312" s="10" t="inlineStr">
        <is>
          <t>Mão de obra impermeabilização sistema 7.1.2</t>
        </is>
      </c>
      <c r="E2312" s="11">
        <f t="array" ref="E2312">_xlfn.XLOOKUP(D2312,Insumos!B:B,Insumos!C:$C)</f>
        <v/>
      </c>
      <c r="F2312" s="14" t="n">
        <v>1</v>
      </c>
      <c r="G2312" s="92">
        <f t="array" ref="G2312">IF(B2312="insumo",_xlfn.XLOOKUP($D2312,Insumos!$B$1:$B$996,Insumos!$D$1:$D$996),"")</f>
        <v/>
      </c>
      <c r="H2312" s="92" t="n">
        <v>35</v>
      </c>
      <c r="I2312" s="2162" t="n">
        <v>68.2</v>
      </c>
      <c r="J2312" s="2162" t="n">
        <v>2387</v>
      </c>
      <c r="K2312" s="2162" t="n"/>
    </row>
    <row r="2313" outlineLevel="2" ht="15.75" customHeight="1">
      <c r="A2313" s="1067" t="n">
        <v>1</v>
      </c>
      <c r="B2313" s="1067" t="inlineStr">
        <is>
          <t>Serviço</t>
        </is>
      </c>
      <c r="C2313" s="1067" t="inlineStr">
        <is>
          <t>Mão de obra impermeabilização sistema 7.1.6</t>
        </is>
      </c>
      <c r="D2313" s="1067" t="inlineStr">
        <is>
          <t>Mão de obra impermeabilização sistema 7.1.6</t>
        </is>
      </c>
      <c r="E2313" s="1068" t="inlineStr">
        <is>
          <t>M2</t>
        </is>
      </c>
      <c r="F2313" s="1075" t="n"/>
      <c r="G2313" s="1069">
        <f t="array" ref="G2313">IF(B2313="insumo",_xlfn.XLOOKUP($D2313,Insumos!$B$1:$B$996,Insumos!$D$1:$D$996),"")</f>
        <v/>
      </c>
      <c r="H2313" s="1069" t="n">
        <v>42</v>
      </c>
      <c r="I2313" s="2161" t="n">
        <v>900.28</v>
      </c>
      <c r="J2313" s="2161" t="n">
        <v>37811.76</v>
      </c>
      <c r="K2313" s="2161" t="n"/>
    </row>
    <row r="2314" outlineLevel="3" ht="15.75" customHeight="1">
      <c r="A2314" s="10" t="n">
        <v>1</v>
      </c>
      <c r="B2314" s="10" t="inlineStr">
        <is>
          <t>Insumo</t>
        </is>
      </c>
      <c r="C2314" s="10" t="inlineStr">
        <is>
          <t>Mão de obra impermeabilização sistema 7.1.6</t>
        </is>
      </c>
      <c r="D2314" s="10" t="inlineStr">
        <is>
          <t>Mão de obra impermeabilização sistema 7.1.6</t>
        </is>
      </c>
      <c r="E2314" s="11">
        <f t="array" ref="E2314">_xlfn.XLOOKUP(D2314,Insumos!B:B,Insumos!C:$C)</f>
        <v/>
      </c>
      <c r="F2314" s="14" t="n">
        <v>1</v>
      </c>
      <c r="G2314" s="92">
        <f t="array" ref="G2314">IF(B2314="insumo",_xlfn.XLOOKUP($D2314,Insumos!$B$1:$B$996,Insumos!$D$1:$D$996),"")</f>
        <v/>
      </c>
      <c r="H2314" s="92" t="n">
        <v>42</v>
      </c>
      <c r="I2314" s="2162" t="n">
        <v>900.28</v>
      </c>
      <c r="J2314" s="2162" t="n">
        <v>37811.76</v>
      </c>
      <c r="K2314" s="2162" t="n"/>
    </row>
    <row r="2315" ht="15.75" customHeight="1">
      <c r="A2315" s="7" t="n">
        <v>1</v>
      </c>
      <c r="B2315" s="7" t="inlineStr">
        <is>
          <t>Etapa</t>
        </is>
      </c>
      <c r="C2315" s="7" t="inlineStr">
        <is>
          <t>Mão de obra tratamento de ralo com manta de poliéster</t>
        </is>
      </c>
      <c r="D2315" s="7" t="inlineStr">
        <is>
          <t>REVESTIMENTOS INTERNOS DE PAREDE</t>
        </is>
      </c>
      <c r="E2315" s="8" t="n"/>
      <c r="F2315" s="2159" t="n"/>
      <c r="G2315" s="91">
        <f t="array" ref="G2315">IF(B2315="insumo",_xlfn.XLOOKUP($D2315,Insumos!$B$1:$B$996,Insumos!$D$1:$D$996),"")</f>
        <v/>
      </c>
      <c r="H2315" s="91" t="n">
        <v>0</v>
      </c>
      <c r="I2315" s="2159" t="n">
        <v>0</v>
      </c>
      <c r="J2315" s="2159" t="n">
        <v>0</v>
      </c>
      <c r="K2315" s="2159" t="n"/>
    </row>
    <row r="2316" outlineLevel="1" ht="15.75" customHeight="1">
      <c r="A2316" s="1090" t="n">
        <v>1</v>
      </c>
      <c r="B2316" s="1090" t="inlineStr">
        <is>
          <t>Subetapa</t>
        </is>
      </c>
      <c r="C2316" s="1090" t="inlineStr">
        <is>
          <t>Mão de obra tratamento de ralo com manta de poliéster</t>
        </is>
      </c>
      <c r="D2316" s="1090" t="inlineStr">
        <is>
          <t>CHAPISCO</t>
        </is>
      </c>
      <c r="E2316" s="1091" t="n"/>
      <c r="F2316" s="2160" t="n"/>
      <c r="G2316" s="1091" t="n"/>
      <c r="H2316" s="1091" t="n">
        <v>0</v>
      </c>
      <c r="I2316" s="2160" t="n">
        <v>0</v>
      </c>
      <c r="J2316" s="2160" t="n">
        <v>0</v>
      </c>
      <c r="K2316" s="2160" t="n"/>
    </row>
    <row r="2317" outlineLevel="2" ht="15.75" customHeight="1">
      <c r="A2317" s="1067" t="n">
        <v>1</v>
      </c>
      <c r="B2317" s="1067" t="inlineStr">
        <is>
          <t>Serviço</t>
        </is>
      </c>
      <c r="C2317" s="1067" t="inlineStr">
        <is>
          <t>Chapisco aplicado em estruturas de concreto, de argamassa ACIII, com desempenadeira dentada</t>
        </is>
      </c>
      <c r="D2317" s="1067" t="inlineStr">
        <is>
          <t>Chapisco aplicado em estruturas de concreto, de argamassa ACIII, com desempenadeira dentada</t>
        </is>
      </c>
      <c r="E2317" s="1068" t="inlineStr">
        <is>
          <t>M2</t>
        </is>
      </c>
      <c r="F2317" s="1067" t="n"/>
      <c r="G2317" s="1069">
        <f t="array" ref="G2317">IF(B2317="insumo",_xlfn.XLOOKUP($D2317,Insumos!$B$1:$B$996,Insumos!$D$1:$D$996),"")</f>
        <v/>
      </c>
      <c r="H2317" s="1069" t="n">
        <v>5.3225</v>
      </c>
      <c r="I2317" s="2161" t="n">
        <v>0</v>
      </c>
      <c r="J2317" s="2161" t="n">
        <v>0</v>
      </c>
      <c r="K2317" s="2161" t="n"/>
    </row>
    <row r="2318" outlineLevel="3" ht="15.75" customHeight="1">
      <c r="A2318" s="10" t="n">
        <v>191</v>
      </c>
      <c r="B2318" s="10" t="inlineStr">
        <is>
          <t>Insumo</t>
        </is>
      </c>
      <c r="C2318" s="10" t="inlineStr">
        <is>
          <t>Chapisco aplicado em estruturas de concreto, de argamassa ACIII, com desempenadeira dentada</t>
        </is>
      </c>
      <c r="D2318" s="10" t="inlineStr">
        <is>
          <t>Argamassa ACIII</t>
        </is>
      </c>
      <c r="E2318" s="11">
        <f t="array" ref="E2318">_xlfn.XLOOKUP(D2318,Insumos!B:B,Insumos!C:$C)</f>
        <v/>
      </c>
      <c r="F2318" s="14" t="n">
        <v>5</v>
      </c>
      <c r="G2318" s="92">
        <f t="array" ref="G2318">IF(B2318="insumo",_xlfn.XLOOKUP($D2318,Insumos!$B$1:$B$996,Insumos!$D$1:$D$996),"")</f>
        <v/>
      </c>
      <c r="H2318" s="92" t="n">
        <v>5.3225</v>
      </c>
      <c r="I2318" s="2162" t="n">
        <v>0</v>
      </c>
      <c r="J2318" s="2162" t="n">
        <v>0</v>
      </c>
      <c r="K2318" s="2162" t="n"/>
    </row>
    <row r="2319" outlineLevel="2" ht="15.75" customHeight="1">
      <c r="A2319" s="1067" t="n">
        <v>1</v>
      </c>
      <c r="B2319" s="1067" t="inlineStr">
        <is>
          <t>Serviço</t>
        </is>
      </c>
      <c r="C2319" s="1067" t="inlineStr">
        <is>
          <t>Chapisco aplicado em estruturas de concreto, com argamassa pré-fabricada adesiva de cimento colante, aplicação convencional</t>
        </is>
      </c>
      <c r="D2319" s="1067" t="inlineStr">
        <is>
          <t>Chapisco aplicado em estruturas de concreto, com argamassa pré-fabricada adesiva de cimento colante, aplicação convencional</t>
        </is>
      </c>
      <c r="E2319" s="1068" t="inlineStr">
        <is>
          <t>M2</t>
        </is>
      </c>
      <c r="F2319" s="1067" t="n"/>
      <c r="G2319" s="1069">
        <f t="array" ref="G2319">IF(B2319="insumo",_xlfn.XLOOKUP($D2319,Insumos!$B$1:$B$996,Insumos!$D$1:$D$996),"")</f>
        <v/>
      </c>
      <c r="H2319" s="1069" t="n">
        <v>10.11778</v>
      </c>
      <c r="I2319" s="2161" t="e">
        <v>#REF!</v>
      </c>
      <c r="J2319" s="2161" t="e">
        <v>#REF!</v>
      </c>
      <c r="K2319" s="2161" t="n"/>
    </row>
    <row r="2320" outlineLevel="3" ht="15.75" customHeight="1">
      <c r="A2320" s="10" t="n">
        <v>191</v>
      </c>
      <c r="B2320" s="10" t="inlineStr">
        <is>
          <t>Insumo</t>
        </is>
      </c>
      <c r="C2320" s="10" t="inlineStr">
        <is>
          <t>Chapisco aplicado em estruturas de concreto, com argamassa pré-fabricada adesiva de cimento colante, aplicação convencional</t>
        </is>
      </c>
      <c r="D2320" s="10" t="inlineStr">
        <is>
          <t>Argamassa ACIII</t>
        </is>
      </c>
      <c r="E2320" s="11">
        <f t="array" ref="E2320">_xlfn.XLOOKUP(D2320,Insumos!B:B,Insumos!C:$C)</f>
        <v/>
      </c>
      <c r="F2320" s="14" t="n">
        <v>6.34</v>
      </c>
      <c r="G2320" s="92">
        <f t="array" ref="G2320">IF(B2320="insumo",_xlfn.XLOOKUP($D2320,Insumos!$B$1:$B$996,Insumos!$D$1:$D$996),"")</f>
        <v/>
      </c>
      <c r="H2320" s="92" t="n">
        <v>6.74893</v>
      </c>
      <c r="I2320" s="2162" t="e">
        <v>#REF!</v>
      </c>
      <c r="J2320" s="2162" t="e">
        <v>#REF!</v>
      </c>
      <c r="K2320" s="2162" t="n"/>
    </row>
    <row r="2321" outlineLevel="3" ht="15.75" customHeight="1">
      <c r="A2321" s="10" t="n">
        <v>4</v>
      </c>
      <c r="B2321" s="10" t="inlineStr">
        <is>
          <t>Insumo</t>
        </is>
      </c>
      <c r="C2321" s="10" t="inlineStr">
        <is>
          <t>Chapisco aplicado em estruturas de concreto, com argamassa pré-fabricada adesiva de cimento colante, aplicação convencional</t>
        </is>
      </c>
      <c r="D2321" s="10" t="inlineStr">
        <is>
          <t xml:space="preserve">Aditivo Bianco Adesivo Argamassa Chapisco </t>
        </is>
      </c>
      <c r="E2321" s="11">
        <f t="array" ref="E2321">_xlfn.XLOOKUP(D2321,Insumos!B:B,Insumos!C:$C)</f>
        <v/>
      </c>
      <c r="F2321" s="14" t="n">
        <v>0.3</v>
      </c>
      <c r="G2321" s="92">
        <f t="array" ref="G2321">IF(B2321="insumo",_xlfn.XLOOKUP($D2321,Insumos!$B$1:$B$996,Insumos!$D$1:$D$996),"")</f>
        <v/>
      </c>
      <c r="H2321" s="92" t="n">
        <v>3.36885</v>
      </c>
      <c r="I2321" s="2162" t="e">
        <v>#REF!</v>
      </c>
      <c r="J2321" s="2162" t="e">
        <v>#REF!</v>
      </c>
      <c r="K2321" s="2162" t="n"/>
    </row>
    <row r="2322" outlineLevel="2" ht="15.75" customHeight="1">
      <c r="A2322" s="1067" t="n">
        <v>2</v>
      </c>
      <c r="B2322" s="1067" t="inlineStr">
        <is>
          <t>Serviço</t>
        </is>
      </c>
      <c r="C2322" s="1067" t="inlineStr">
        <is>
          <t>Chapisco aplicados em alvenaria, com argamassa estabilizada, aplicação convencional.</t>
        </is>
      </c>
      <c r="D2322" s="1067" t="inlineStr">
        <is>
          <t>Chapisco aplicados em alvenaria, com argamassa estabilizada, aplicação convencional.</t>
        </is>
      </c>
      <c r="E2322" s="1068" t="inlineStr">
        <is>
          <t>M2</t>
        </is>
      </c>
      <c r="F2322" s="1067" t="n"/>
      <c r="G2322" s="1069">
        <f t="array" ref="G2322">IF(B2322="insumo",_xlfn.XLOOKUP($D2322,Insumos!$B$1:$B$996,Insumos!$D$1:$D$996),"")</f>
        <v/>
      </c>
      <c r="H2322" s="1069" t="n">
        <v>6.691734</v>
      </c>
      <c r="I2322" s="2161" t="n">
        <v>0</v>
      </c>
      <c r="J2322" s="2161" t="n">
        <v>0</v>
      </c>
      <c r="K2322" s="2161" t="n"/>
    </row>
    <row r="2323" outlineLevel="3" ht="15.75" customHeight="1">
      <c r="A2323" s="10" t="n">
        <v>2</v>
      </c>
      <c r="B2323" s="10" t="inlineStr">
        <is>
          <t>Insumo</t>
        </is>
      </c>
      <c r="C2323" s="15" t="inlineStr">
        <is>
          <t>Chapisco aplicados em alvenaria, com argamassa estabilizada, aplicação convencional.</t>
        </is>
      </c>
      <c r="D2323" s="15" t="inlineStr">
        <is>
          <t xml:space="preserve">ARGAMASSA TRAÇO 1:5 (EM VOLUME DE CIMENTO E AREIA GROSSA ÚMIDA) PARA CHAPISCO CONVENCIONAL, PREPARO MANUAL. </t>
        </is>
      </c>
      <c r="E2323" s="11">
        <f t="array" ref="E2323">_xlfn.XLOOKUP(D2323,Insumos!B:B,Insumos!C:$C)</f>
        <v/>
      </c>
      <c r="F2323" s="14" t="n">
        <v>0.0042</v>
      </c>
      <c r="G2323" s="92">
        <f t="array" ref="G2323">IF(B2323="insumo",_xlfn.XLOOKUP($D2323,Insumos!$B$1:$B$996,Insumos!$D$1:$D$996),"")</f>
        <v/>
      </c>
      <c r="H2323" s="92" t="n">
        <v>2.659734</v>
      </c>
      <c r="I2323" s="2162" t="n">
        <v>0</v>
      </c>
      <c r="J2323" s="2162" t="n">
        <v>0</v>
      </c>
      <c r="K2323" s="2162" t="n"/>
    </row>
    <row r="2324" outlineLevel="2" ht="15.75" customHeight="1">
      <c r="A2324" s="1067" t="n">
        <v>2</v>
      </c>
      <c r="B2324" s="1067" t="inlineStr">
        <is>
          <t>Serviço</t>
        </is>
      </c>
      <c r="C2324" s="1067" t="inlineStr">
        <is>
          <t>Chapisco aplicados em alvenaria, com argamassa estabilizada, aplicação convencional.</t>
        </is>
      </c>
      <c r="D2324" s="1067" t="inlineStr">
        <is>
          <t>Chapisco aplicados em alvenaria, com argamassa estabilizada, aplicação convencional.</t>
        </is>
      </c>
      <c r="E2324" s="1068" t="inlineStr">
        <is>
          <t>M2</t>
        </is>
      </c>
      <c r="F2324" s="1067" t="n"/>
      <c r="G2324" s="1069">
        <f t="array" ref="G2324">IF(B2324="insumo",_xlfn.XLOOKUP($D2324,Insumos!$B$1:$B$996,Insumos!$D$1:$D$996),"")</f>
        <v/>
      </c>
      <c r="H2324" s="1069" t="n">
        <v>2.016</v>
      </c>
      <c r="I2324" s="2161" t="n">
        <v>0</v>
      </c>
      <c r="J2324" s="2161" t="n">
        <v>0</v>
      </c>
      <c r="K2324" s="2161" t="n"/>
    </row>
    <row r="2325" outlineLevel="3" ht="15.75" customHeight="1">
      <c r="A2325" s="10" t="n">
        <v>1</v>
      </c>
      <c r="B2325" s="10" t="inlineStr">
        <is>
          <t>Insumo</t>
        </is>
      </c>
      <c r="C2325" s="10" t="inlineStr">
        <is>
          <t>Chapisco aplicados em alvenaria, com argamassa estabilizada, aplicação convencional.</t>
        </is>
      </c>
      <c r="D2325" s="10" t="inlineStr">
        <is>
          <t>ARGAMASSA ESTABILIZADA PARA CHAPISCO</t>
        </is>
      </c>
      <c r="E2325" s="11">
        <f t="array" ref="E2325">_xlfn.XLOOKUP(D2325,Insumos!B:B,Insumos!C:$C)</f>
        <v/>
      </c>
      <c r="F2325" s="14" t="n">
        <v>0.0042</v>
      </c>
      <c r="G2325" s="92">
        <f t="array" ref="G2325">IF(B2325="insumo",_xlfn.XLOOKUP($D2325,Insumos!$B$1:$B$996,Insumos!$D$1:$D$996),"")</f>
        <v/>
      </c>
      <c r="H2325" s="92" t="n">
        <v>2.016</v>
      </c>
      <c r="I2325" s="2162" t="n">
        <v>0</v>
      </c>
      <c r="J2325" s="2162" t="n">
        <v>0</v>
      </c>
      <c r="K2325" s="2162" t="n"/>
    </row>
    <row r="2326" outlineLevel="2" ht="15.75" customHeight="1">
      <c r="A2326" s="1067" t="n">
        <v>1</v>
      </c>
      <c r="B2326" s="1067" t="inlineStr">
        <is>
          <t>Serviço</t>
        </is>
      </c>
      <c r="C2326" s="1067" t="inlineStr">
        <is>
          <t xml:space="preserve">Chapisco externo de argamassa estabilizada, aplicados em alvenaria, aplicação convencional em paredes Internas </t>
        </is>
      </c>
      <c r="D2326" s="1067" t="inlineStr">
        <is>
          <t xml:space="preserve">Chapisco externo de argamassa estabilizada, aplicados em alvenaria, aplicação convencional em paredes Internas </t>
        </is>
      </c>
      <c r="E2326" s="1068" t="inlineStr">
        <is>
          <t>M2</t>
        </is>
      </c>
      <c r="F2326" s="1067" t="n"/>
      <c r="G2326" s="1069">
        <f t="array" ref="G2326">IF(B2326="insumo",_xlfn.XLOOKUP($D2326,Insumos!$B$1:$B$996,Insumos!$D$1:$D$996),"")</f>
        <v/>
      </c>
      <c r="H2326" s="1069" t="n">
        <v>5.12</v>
      </c>
      <c r="I2326" s="2161" t="n">
        <v>0</v>
      </c>
      <c r="J2326" s="2161" t="n">
        <v>0</v>
      </c>
      <c r="K2326" s="2161" t="n"/>
    </row>
    <row r="2327" outlineLevel="3" ht="15.75" customHeight="1">
      <c r="A2327" s="10" t="n">
        <v>6</v>
      </c>
      <c r="B2327" s="10" t="inlineStr">
        <is>
          <t>Insumo</t>
        </is>
      </c>
      <c r="C2327" s="10" t="inlineStr">
        <is>
          <t xml:space="preserve">Chapisco externo de argamassa estabilizada, aplicados em alvenaria, aplicação convencional em paredes Internas </t>
        </is>
      </c>
      <c r="D2327" s="10" t="inlineStr">
        <is>
          <t>Argamassa industrializada para Para Chapisco Colante</t>
        </is>
      </c>
      <c r="E2327" s="11">
        <f t="array" ref="E2327">_xlfn.XLOOKUP(D2327,Insumos!B:B,Insumos!C:$C)</f>
        <v/>
      </c>
      <c r="F2327" s="14" t="n">
        <v>6.4</v>
      </c>
      <c r="G2327" s="92">
        <f t="array" ref="G2327">IF(B2327="insumo",_xlfn.XLOOKUP($D2327,Insumos!$B$1:$B$996,Insumos!$D$1:$D$996),"")</f>
        <v/>
      </c>
      <c r="H2327" s="92" t="n">
        <v>5.12</v>
      </c>
      <c r="I2327" s="2162" t="n">
        <v>0</v>
      </c>
      <c r="J2327" s="2162" t="n">
        <v>0</v>
      </c>
      <c r="K2327" s="2162" t="n"/>
    </row>
    <row r="2328" outlineLevel="2" ht="15.75" customHeight="1">
      <c r="A2328" s="1067" t="n">
        <v>1</v>
      </c>
      <c r="B2328" s="1067" t="inlineStr">
        <is>
          <t>Serviço</t>
        </is>
      </c>
      <c r="C2328" s="1067" t="inlineStr">
        <is>
          <t>Chapisco convencional com adesivo sintético de alto desempenho aplicados em alvenaria, aplicação convencional.</t>
        </is>
      </c>
      <c r="D2328" s="1067" t="inlineStr">
        <is>
          <t>Chapisco convencional com adesivo sintético de alto desempenho aplicados em alvenaria, aplicação convencional.</t>
        </is>
      </c>
      <c r="E2328" s="1068" t="inlineStr">
        <is>
          <t>M2</t>
        </is>
      </c>
      <c r="F2328" s="1067" t="n"/>
      <c r="G2328" s="1069">
        <f t="array" ref="G2328">IF(B2328="insumo",_xlfn.XLOOKUP($D2328,Insumos!$B$1:$B$996,Insumos!$D$1:$D$996),"")</f>
        <v/>
      </c>
      <c r="H2328" s="1069" t="n">
        <v>4.80885</v>
      </c>
      <c r="I2328" s="2161" t="n">
        <v>0</v>
      </c>
      <c r="J2328" s="2161" t="n">
        <v>0</v>
      </c>
      <c r="K2328" s="2161" t="n"/>
    </row>
    <row r="2329" outlineLevel="3" ht="15.75" customHeight="1">
      <c r="A2329" s="10" t="n">
        <v>6</v>
      </c>
      <c r="B2329" s="10" t="inlineStr">
        <is>
          <t>Insumo</t>
        </is>
      </c>
      <c r="C2329" s="10" t="inlineStr">
        <is>
          <t>Chapisco convencional com adesivo sintético de alto desempenho aplicados em alvenaria, aplicação convencional.</t>
        </is>
      </c>
      <c r="D2329" s="10" t="inlineStr">
        <is>
          <t>Argamassa industrializada para Para Chapisco Colante</t>
        </is>
      </c>
      <c r="E2329" s="11">
        <f t="array" ref="E2329">_xlfn.XLOOKUP(D2329,Insumos!B:B,Insumos!C:$C)</f>
        <v/>
      </c>
      <c r="F2329" s="14" t="n">
        <v>1.8</v>
      </c>
      <c r="G2329" s="92">
        <f t="array" ref="G2329">IF(B2329="insumo",_xlfn.XLOOKUP($D2329,Insumos!$B$1:$B$996,Insumos!$D$1:$D$996),"")</f>
        <v/>
      </c>
      <c r="H2329" s="92" t="n">
        <v>1.44</v>
      </c>
      <c r="I2329" s="2162" t="n">
        <v>0</v>
      </c>
      <c r="J2329" s="2162" t="n">
        <v>0</v>
      </c>
      <c r="K2329" s="2162" t="n"/>
    </row>
    <row r="2330" outlineLevel="3" ht="15.75" customHeight="1">
      <c r="A2330" s="10" t="n">
        <v>4</v>
      </c>
      <c r="B2330" s="10" t="inlineStr">
        <is>
          <t>Insumo</t>
        </is>
      </c>
      <c r="C2330" s="10" t="inlineStr">
        <is>
          <t>Chapisco convencional com adesivo sintético de alto desempenho aplicados em alvenaria, aplicação convencional.</t>
        </is>
      </c>
      <c r="D2330" s="10" t="inlineStr">
        <is>
          <t xml:space="preserve">Aditivo Bianco Adesivo Argamassa Chapisco </t>
        </is>
      </c>
      <c r="E2330" s="11">
        <f t="array" ref="E2330">_xlfn.XLOOKUP(D2330,Insumos!B:B,Insumos!C:$C)</f>
        <v/>
      </c>
      <c r="F2330" s="14" t="n">
        <v>0.3</v>
      </c>
      <c r="G2330" s="92">
        <f t="array" ref="G2330">IF(B2330="insumo",_xlfn.XLOOKUP($D2330,Insumos!$B$1:$B$996,Insumos!$D$1:$D$996),"")</f>
        <v/>
      </c>
      <c r="H2330" s="92" t="n">
        <v>3.36885</v>
      </c>
      <c r="I2330" s="2162" t="n">
        <v>0</v>
      </c>
      <c r="J2330" s="2162" t="n">
        <v>0</v>
      </c>
      <c r="K2330" s="2162" t="n"/>
    </row>
    <row r="2331" outlineLevel="2" ht="15.75" customHeight="1">
      <c r="A2331" s="1067" t="n">
        <v>1</v>
      </c>
      <c r="B2331" s="1067" t="inlineStr">
        <is>
          <t>Serviço</t>
        </is>
      </c>
      <c r="C2331" s="1067" t="inlineStr">
        <is>
          <t>Chapisco interno de argamassa preparada em obra de cimento e areia - traço 1:4 - aplicação em paredes internas</t>
        </is>
      </c>
      <c r="D2331" s="1067" t="inlineStr">
        <is>
          <t>Chapisco interno de argamassa preparada em obra de cimento e areia - traço 1:4 - aplicação em paredes internas</t>
        </is>
      </c>
      <c r="E2331" s="1068" t="inlineStr">
        <is>
          <t>M2</t>
        </is>
      </c>
      <c r="F2331" s="1067" t="n"/>
      <c r="G2331" s="1069">
        <f t="array" ref="G2331">IF(B2331="insumo",_xlfn.XLOOKUP($D2331,Insumos!$B$1:$B$996,Insumos!$D$1:$D$996),"")</f>
        <v/>
      </c>
      <c r="H2331" s="1069" t="n">
        <v>3.28945</v>
      </c>
      <c r="I2331" s="2161" t="e">
        <v>#REF!</v>
      </c>
      <c r="J2331" s="2161" t="e">
        <v>#REF!</v>
      </c>
      <c r="K2331" s="2161" t="n"/>
    </row>
    <row r="2332" outlineLevel="3" ht="15.75" customHeight="1">
      <c r="A2332" s="10" t="n">
        <v>2</v>
      </c>
      <c r="B2332" s="10" t="inlineStr">
        <is>
          <t>Insumo</t>
        </is>
      </c>
      <c r="C2332" s="15" t="inlineStr">
        <is>
          <t>Chapisco interno de argamassa preparada em obra de cimento e areia - traço 1:4 - aplicação em paredes internas</t>
        </is>
      </c>
      <c r="D2332" s="15" t="inlineStr">
        <is>
          <t xml:space="preserve">ARGAMASSA TRAÇO 1:4 (EM VOLUME DE CIMENTO E AREIA GROSSA ÚMIDA) PARA CHAPISCO CONVENCIONAL, PREPARO MANUAL. </t>
        </is>
      </c>
      <c r="E2332" s="11">
        <f t="array" ref="E2332">_xlfn.XLOOKUP(D2332,Insumos!B:B,Insumos!C:$C)</f>
        <v/>
      </c>
      <c r="F2332" s="14" t="n">
        <v>0.005</v>
      </c>
      <c r="G2332" s="92">
        <f t="array" ref="G2332">IF(B2332="insumo",_xlfn.XLOOKUP($D2332,Insumos!$B$1:$B$996,Insumos!$D$1:$D$996),"")</f>
        <v/>
      </c>
      <c r="H2332" s="92" t="n">
        <v>3.28945</v>
      </c>
      <c r="I2332" s="2162" t="e">
        <v>#REF!</v>
      </c>
      <c r="J2332" s="2162" t="e">
        <v>#REF!</v>
      </c>
      <c r="K2332" s="2162" t="n"/>
    </row>
    <row r="2333" outlineLevel="2" ht="15.75" customHeight="1">
      <c r="A2333" s="1067" t="n">
        <v>1</v>
      </c>
      <c r="B2333" s="1067" t="inlineStr">
        <is>
          <t>Serviço</t>
        </is>
      </c>
      <c r="C2333" s="1067" t="inlineStr">
        <is>
          <t xml:space="preserve">Chapisco externo de argamassa estabilizada projetada, em alvenaria, paredes Internas </t>
        </is>
      </c>
      <c r="D2333" s="1067" t="inlineStr">
        <is>
          <t xml:space="preserve">Chapisco externo de argamassa estabilizada projetada, em alvenaria, paredes Internas </t>
        </is>
      </c>
      <c r="E2333" s="1068" t="inlineStr">
        <is>
          <t>M2</t>
        </is>
      </c>
      <c r="F2333" s="1067" t="n"/>
      <c r="G2333" s="1069">
        <f t="array" ref="G2333">IF(B2333="insumo",_xlfn.XLOOKUP($D2333,Insumos!$B$1:$B$996,Insumos!$D$1:$D$996),"")</f>
        <v/>
      </c>
      <c r="H2333" s="1069" t="n">
        <v>4</v>
      </c>
      <c r="I2333" s="2161" t="n">
        <v>0</v>
      </c>
      <c r="J2333" s="2161" t="n">
        <v>0</v>
      </c>
      <c r="K2333" s="2161" t="n"/>
    </row>
    <row r="2334" outlineLevel="3" ht="15.75" customHeight="1">
      <c r="A2334" s="10" t="n">
        <v>6</v>
      </c>
      <c r="B2334" s="10" t="inlineStr">
        <is>
          <t>Insumo</t>
        </is>
      </c>
      <c r="C2334" s="10" t="inlineStr">
        <is>
          <t xml:space="preserve">Chapisco externo de argamassa estabilizada projetada, em alvenaria, paredes Internas </t>
        </is>
      </c>
      <c r="D2334" s="10" t="inlineStr">
        <is>
          <t>Argamassa industrializada para Para Chapisco Colante</t>
        </is>
      </c>
      <c r="E2334" s="11">
        <f t="array" ref="E2334">_xlfn.XLOOKUP(D2334,Insumos!B:B,Insumos!C:$C)</f>
        <v/>
      </c>
      <c r="F2334" s="14" t="n">
        <v>5</v>
      </c>
      <c r="G2334" s="92">
        <f t="array" ref="G2334">IF(B2334="insumo",_xlfn.XLOOKUP($D2334,Insumos!$B$1:$B$996,Insumos!$D$1:$D$996),"")</f>
        <v/>
      </c>
      <c r="H2334" s="92" t="n">
        <v>4</v>
      </c>
      <c r="I2334" s="2162" t="n">
        <v>0</v>
      </c>
      <c r="J2334" s="2162" t="n">
        <v>0</v>
      </c>
      <c r="K2334" s="2162" t="n"/>
    </row>
    <row r="2335" outlineLevel="2" ht="15.75" customHeight="1">
      <c r="A2335" s="1067" t="n">
        <v>1</v>
      </c>
      <c r="B2335" s="1067" t="inlineStr">
        <is>
          <t>Serviço</t>
        </is>
      </c>
      <c r="C2335" s="1067" t="inlineStr">
        <is>
          <t xml:space="preserve">Chapisco externo de argamassa estabilizada projetada, em alvenaria, Estrutura Internas </t>
        </is>
      </c>
      <c r="D2335" s="1067" t="inlineStr">
        <is>
          <t xml:space="preserve">Chapisco externo de argamassa estabilizada projetada, em alvenaria, Estrutura Internas </t>
        </is>
      </c>
      <c r="E2335" s="1068" t="inlineStr">
        <is>
          <t>M2</t>
        </is>
      </c>
      <c r="F2335" s="1067" t="n"/>
      <c r="G2335" s="1069">
        <f t="array" ref="G2335">IF(B2335="insumo",_xlfn.XLOOKUP($D2335,Insumos!$B$1:$B$996,Insumos!$D$1:$D$996),"")</f>
        <v/>
      </c>
      <c r="H2335" s="1069" t="n">
        <v>4</v>
      </c>
      <c r="I2335" s="2161" t="n">
        <v>0</v>
      </c>
      <c r="J2335" s="2161" t="n">
        <v>0</v>
      </c>
      <c r="K2335" s="2161" t="n"/>
    </row>
    <row r="2336" outlineLevel="3" ht="15.75" customHeight="1">
      <c r="A2336" s="10" t="n">
        <v>6</v>
      </c>
      <c r="B2336" s="10" t="inlineStr">
        <is>
          <t>Insumo</t>
        </is>
      </c>
      <c r="C2336" s="10" t="inlineStr">
        <is>
          <t xml:space="preserve">Chapisco externo de argamassa estabilizada projetada, em alvenaria, Estrutura Internas </t>
        </is>
      </c>
      <c r="D2336" s="10" t="inlineStr">
        <is>
          <t>Argamassa industrializada para Para Chapisco Colante</t>
        </is>
      </c>
      <c r="E2336" s="11">
        <f t="array" ref="E2336">_xlfn.XLOOKUP(D2336,Insumos!B:B,Insumos!C:$C)</f>
        <v/>
      </c>
      <c r="F2336" s="14" t="n">
        <v>5</v>
      </c>
      <c r="G2336" s="92">
        <f t="array" ref="G2336">IF(B2336="insumo",_xlfn.XLOOKUP($D2336,Insumos!$B$1:$B$996,Insumos!$D$1:$D$996),"")</f>
        <v/>
      </c>
      <c r="H2336" s="92" t="n">
        <v>4</v>
      </c>
      <c r="I2336" s="2162" t="n">
        <v>0</v>
      </c>
      <c r="J2336" s="2162" t="n">
        <v>0</v>
      </c>
      <c r="K2336" s="2162" t="n"/>
    </row>
    <row r="2337" outlineLevel="1" ht="15.75" customHeight="1">
      <c r="A2337" s="1090" t="n">
        <v>1</v>
      </c>
      <c r="B2337" s="1090" t="inlineStr">
        <is>
          <t>Subetapa</t>
        </is>
      </c>
      <c r="C2337" s="1090" t="inlineStr">
        <is>
          <t xml:space="preserve">Chapisco externo de argamassa estabilizada projetada, em alvenaria, Estrutura Internas </t>
        </is>
      </c>
      <c r="D2337" s="1090" t="inlineStr">
        <is>
          <t>GESSO</t>
        </is>
      </c>
      <c r="E2337" s="1091" t="n"/>
      <c r="F2337" s="2160" t="n"/>
      <c r="G2337" s="1091" t="n"/>
      <c r="H2337" s="1091" t="n">
        <v>0</v>
      </c>
      <c r="I2337" s="2160" t="n">
        <v>0</v>
      </c>
      <c r="J2337" s="2160" t="n">
        <v>0</v>
      </c>
      <c r="K2337" s="2160" t="n"/>
    </row>
    <row r="2338" outlineLevel="2" ht="12.75" customHeight="1">
      <c r="A2338" s="1071" t="n">
        <v>1</v>
      </c>
      <c r="B2338" s="1071" t="inlineStr">
        <is>
          <t>Serviço</t>
        </is>
      </c>
      <c r="C2338" s="1071" t="inlineStr">
        <is>
          <t>Aplicação manual de gesso sarrafeado em paredes, espessura de 0,5cm, com execução de taliscas</t>
        </is>
      </c>
      <c r="D2338" s="1071" t="inlineStr">
        <is>
          <t>Aplicação manual de gesso sarrafeado em paredes, espessura de 0,5cm, com execução de taliscas</t>
        </is>
      </c>
      <c r="E2338" s="1072" t="inlineStr">
        <is>
          <t>M2</t>
        </is>
      </c>
      <c r="F2338" s="1071" t="n"/>
      <c r="G2338" s="1073">
        <f t="array" ref="G2338">IF(B2338="insumo",_xlfn.XLOOKUP($D2338,Insumos!$B$1:$B$996,Insumos!$D$1:$D$996),"")</f>
        <v/>
      </c>
      <c r="H2338" s="1073" t="n">
        <v>3.84160275</v>
      </c>
      <c r="I2338" s="2163" t="n">
        <v>0</v>
      </c>
      <c r="J2338" s="2163" t="n">
        <v>0</v>
      </c>
      <c r="K2338" s="2163" t="n"/>
    </row>
    <row r="2339" outlineLevel="3" ht="12.75" customHeight="1">
      <c r="A2339" s="82" t="n">
        <v>4</v>
      </c>
      <c r="B2339" s="82" t="inlineStr">
        <is>
          <t>Insumo</t>
        </is>
      </c>
      <c r="C2339" s="82" t="inlineStr">
        <is>
          <t>Aplicação manual de gesso sarrafeado em paredes, espessura de 0,5cm, com execução de taliscas</t>
        </is>
      </c>
      <c r="D2339" s="82" t="inlineStr">
        <is>
          <t xml:space="preserve">	GESSO EM PÓ PARA REVESTIMENTOS</t>
        </is>
      </c>
      <c r="E2339" s="11">
        <f t="array" ref="E2339">_xlfn.XLOOKUP(D2339,Insumos!B:B,Insumos!C:$C)</f>
        <v/>
      </c>
      <c r="F2339" s="2164">
        <f>F2341*0.5</f>
        <v/>
      </c>
      <c r="G2339" s="92">
        <f t="array" ref="G2339">IF(B2339="insumo",_xlfn.XLOOKUP($D2339,Insumos!$B$1:$B$996,Insumos!$D$1:$D$996),"")</f>
        <v/>
      </c>
      <c r="H2339" s="92" t="n">
        <v>3.84160275</v>
      </c>
      <c r="I2339" s="2165" t="n">
        <v>0</v>
      </c>
      <c r="J2339" s="2165" t="n">
        <v>0</v>
      </c>
      <c r="K2339" s="2165" t="n"/>
    </row>
    <row r="2340" outlineLevel="2" ht="12.75" customHeight="1">
      <c r="A2340" s="1071" t="n">
        <v>1</v>
      </c>
      <c r="B2340" s="1071" t="inlineStr">
        <is>
          <t>Serviço</t>
        </is>
      </c>
      <c r="C2340" s="1071" t="inlineStr">
        <is>
          <t>Aplicação manual de gesso sarrafeado em paredes, espessura de 1,0cm, com execução de taliscas</t>
        </is>
      </c>
      <c r="D2340" s="1071" t="inlineStr">
        <is>
          <t>Aplicação manual de gesso sarrafeado em paredes, espessura de 1,0cm, com execução de taliscas</t>
        </is>
      </c>
      <c r="E2340" s="1072" t="inlineStr">
        <is>
          <t>M2</t>
        </is>
      </c>
      <c r="F2340" s="1071" t="n"/>
      <c r="G2340" s="1073">
        <f t="array" ref="G2340">IF(B2340="insumo",_xlfn.XLOOKUP($D2340,Insumos!$B$1:$B$996,Insumos!$D$1:$D$996),"")</f>
        <v/>
      </c>
      <c r="H2340" s="1073" t="n">
        <v>7.6832055</v>
      </c>
      <c r="I2340" s="2163" t="n">
        <v>0</v>
      </c>
      <c r="J2340" s="2163" t="n">
        <v>0</v>
      </c>
      <c r="K2340" s="2163" t="n"/>
    </row>
    <row r="2341" outlineLevel="3" ht="12.75" customHeight="1">
      <c r="A2341" s="82" t="n">
        <v>4</v>
      </c>
      <c r="B2341" s="82" t="inlineStr">
        <is>
          <t>Insumo</t>
        </is>
      </c>
      <c r="C2341" s="82" t="inlineStr">
        <is>
          <t>Aplicação manual de gesso sarrafeado em paredes, espessura de 1,0cm, com execução de taliscas</t>
        </is>
      </c>
      <c r="D2341" s="82" t="inlineStr">
        <is>
          <t xml:space="preserve">	GESSO EM PÓ PARA REVESTIMENTOS</t>
        </is>
      </c>
      <c r="E2341" s="11">
        <f t="array" ref="E2341">_xlfn.XLOOKUP(D2341,Insumos!B:B,Insumos!C:$C)</f>
        <v/>
      </c>
      <c r="F2341" s="2164">
        <f>17.07379</f>
        <v/>
      </c>
      <c r="G2341" s="92">
        <f t="array" ref="G2341">IF(B2341="insumo",_xlfn.XLOOKUP($D2341,Insumos!$B$1:$B$996,Insumos!$D$1:$D$996),"")</f>
        <v/>
      </c>
      <c r="H2341" s="92" t="n">
        <v>7.6832055</v>
      </c>
      <c r="I2341" s="2165" t="n">
        <v>0</v>
      </c>
      <c r="J2341" s="2165" t="n">
        <v>0</v>
      </c>
      <c r="K2341" s="2165" t="n"/>
    </row>
    <row r="2342" outlineLevel="2" ht="15.75" customHeight="1">
      <c r="A2342" s="1067" t="n">
        <v>1</v>
      </c>
      <c r="B2342" s="1067" t="inlineStr">
        <is>
          <t>Serviço</t>
        </is>
      </c>
      <c r="C2342" s="1067" t="inlineStr">
        <is>
          <t>Aplicação manual de gesso sarrafeado em paredes, espessura de 1,5cm, com execução de taliscas</t>
        </is>
      </c>
      <c r="D2342" s="1067" t="inlineStr">
        <is>
          <t>Aplicação manual de gesso sarrafeado em paredes, espessura de 1,5cm, com execução de taliscas</t>
        </is>
      </c>
      <c r="E2342" s="1068" t="inlineStr">
        <is>
          <t>M2</t>
        </is>
      </c>
      <c r="F2342" s="1067" t="n"/>
      <c r="G2342" s="1069">
        <f t="array" ref="G2342">IF(B2342="insumo",_xlfn.XLOOKUP($D2342,Insumos!$B$1:$B$996,Insumos!$D$1:$D$996),"")</f>
        <v/>
      </c>
      <c r="H2342" s="1069" t="n">
        <v>11.52480825</v>
      </c>
      <c r="I2342" s="2161" t="n">
        <v>0</v>
      </c>
      <c r="J2342" s="2161" t="n">
        <v>0</v>
      </c>
      <c r="K2342" s="2161" t="n"/>
    </row>
    <row r="2343" outlineLevel="3" ht="15.75" customHeight="1">
      <c r="A2343" s="10" t="n">
        <v>4</v>
      </c>
      <c r="B2343" s="10" t="inlineStr">
        <is>
          <t>Insumo</t>
        </is>
      </c>
      <c r="C2343" s="10" t="inlineStr">
        <is>
          <t>Aplicação manual de gesso sarrafeado em paredes, espessura de 1,5cm, com execução de taliscas</t>
        </is>
      </c>
      <c r="D2343" s="10" t="inlineStr">
        <is>
          <t xml:space="preserve">	GESSO EM PÓ PARA REVESTIMENTOS</t>
        </is>
      </c>
      <c r="E2343" s="11">
        <f t="array" ref="E2343">_xlfn.XLOOKUP(D2343,Insumos!B:B,Insumos!C:$C)</f>
        <v/>
      </c>
      <c r="F2343" s="14">
        <f>F2341*1.5</f>
        <v/>
      </c>
      <c r="G2343" s="92">
        <f t="array" ref="G2343">IF(B2343="insumo",_xlfn.XLOOKUP($D2343,Insumos!$B$1:$B$996,Insumos!$D$1:$D$996),"")</f>
        <v/>
      </c>
      <c r="H2343" s="92" t="n">
        <v>11.52480825</v>
      </c>
      <c r="I2343" s="2162" t="n">
        <v>0</v>
      </c>
      <c r="J2343" s="2162" t="n">
        <v>0</v>
      </c>
      <c r="K2343" s="2162" t="n"/>
    </row>
    <row r="2344" outlineLevel="2" ht="15.75" customHeight="1">
      <c r="A2344" s="1067" t="n">
        <v>1</v>
      </c>
      <c r="B2344" s="1067" t="inlineStr">
        <is>
          <t>Serviço</t>
        </is>
      </c>
      <c r="C2344" s="1067" t="inlineStr">
        <is>
          <t>Aplicação manual de massa para Drywall em paredes, com execução de taliscas</t>
        </is>
      </c>
      <c r="D2344" s="1067" t="inlineStr">
        <is>
          <t>Aplicação manual de massa para Drywall em paredes, com execução de taliscas</t>
        </is>
      </c>
      <c r="E2344" s="1068" t="inlineStr">
        <is>
          <t>M2</t>
        </is>
      </c>
      <c r="F2344" s="1067" t="n"/>
      <c r="G2344" s="1069">
        <f t="array" ref="G2344">IF(B2344="insumo",_xlfn.XLOOKUP($D2344,Insumos!$B$1:$B$996,Insumos!$D$1:$D$996),"")</f>
        <v/>
      </c>
      <c r="H2344" s="1069" t="n">
        <v>5.20784</v>
      </c>
      <c r="I2344" s="2161" t="n">
        <v>0</v>
      </c>
      <c r="J2344" s="2161" t="n">
        <v>0</v>
      </c>
      <c r="K2344" s="2161" t="n"/>
    </row>
    <row r="2345" outlineLevel="3" ht="15.75" customHeight="1">
      <c r="A2345" s="10" t="n">
        <v>1</v>
      </c>
      <c r="B2345" s="10" t="inlineStr">
        <is>
          <t>Insumo</t>
        </is>
      </c>
      <c r="C2345" s="10" t="inlineStr">
        <is>
          <t>Aplicação manual de massa para Drywall em paredes, com execução de taliscas</t>
        </is>
      </c>
      <c r="D2345" s="10" t="inlineStr">
        <is>
          <t>Massa para Drywall 25kg</t>
        </is>
      </c>
      <c r="E2345" s="11">
        <f t="array" ref="E2345">_xlfn.XLOOKUP(D2345,Insumos!B:B,Insumos!C:$C)</f>
        <v/>
      </c>
      <c r="F2345" s="14" t="n">
        <v>0.88</v>
      </c>
      <c r="G2345" s="92">
        <f t="array" ref="G2345">IF(B2345="insumo",_xlfn.XLOOKUP($D2345,Insumos!$B$1:$B$996,Insumos!$D$1:$D$996),"")</f>
        <v/>
      </c>
      <c r="H2345" s="92" t="n">
        <v>5.20784</v>
      </c>
      <c r="I2345" s="2162" t="n">
        <v>0</v>
      </c>
      <c r="J2345" s="2162" t="n">
        <v>0</v>
      </c>
      <c r="K2345" s="2162" t="n"/>
    </row>
    <row r="2346" outlineLevel="1" ht="15.75" customHeight="1">
      <c r="A2346" s="1090" t="n">
        <v>1</v>
      </c>
      <c r="B2346" s="1090" t="inlineStr">
        <is>
          <t>Subetapa</t>
        </is>
      </c>
      <c r="C2346" s="1090" t="inlineStr">
        <is>
          <t>Aplicação manual de massa para Drywall em paredes, com execução de taliscas</t>
        </is>
      </c>
      <c r="D2346" s="1090" t="inlineStr">
        <is>
          <t>EMBOCO/MASSA ÚNICA</t>
        </is>
      </c>
      <c r="E2346" s="1091" t="n"/>
      <c r="F2346" s="2160" t="n"/>
      <c r="G2346" s="1091" t="n"/>
      <c r="H2346" s="1091" t="n">
        <v>0</v>
      </c>
      <c r="I2346" s="2160" t="n">
        <v>0</v>
      </c>
      <c r="J2346" s="2160" t="n">
        <v>0</v>
      </c>
      <c r="K2346" s="2160" t="n"/>
    </row>
    <row r="2347" outlineLevel="2" ht="12.75" customHeight="1">
      <c r="A2347" s="1071" t="n">
        <v>1</v>
      </c>
      <c r="B2347" s="1071" t="inlineStr">
        <is>
          <t>Serviço</t>
        </is>
      </c>
      <c r="C2347" s="1071" t="inlineStr">
        <is>
          <t>Massa unica para emboço interno em argamassa estabilizada, espessura de 2,5cm, com execução de taliscas</t>
        </is>
      </c>
      <c r="D2347" s="1071" t="inlineStr">
        <is>
          <t>Massa unica para emboço interno em argamassa estabilizada, espessura de 2,5cm, com execução de taliscas</t>
        </is>
      </c>
      <c r="E2347" s="1072" t="inlineStr">
        <is>
          <t>M2</t>
        </is>
      </c>
      <c r="F2347" s="1071" t="n"/>
      <c r="G2347" s="1073">
        <f t="array" ref="G2347">IF(B2347="insumo",_xlfn.XLOOKUP($D2347,Insumos!$B$1:$B$996,Insumos!$D$1:$D$996),"")</f>
        <v/>
      </c>
      <c r="H2347" s="1073" t="n">
        <v>12.1595</v>
      </c>
      <c r="I2347" s="2163" t="n">
        <v>0</v>
      </c>
      <c r="J2347" s="2163" t="n">
        <v>0</v>
      </c>
      <c r="K2347" s="2163" t="n"/>
    </row>
    <row r="2348" outlineLevel="3" ht="12.75" customHeight="1">
      <c r="A2348" s="82" t="n">
        <v>7</v>
      </c>
      <c r="B2348" s="82" t="inlineStr">
        <is>
          <t>Insumo</t>
        </is>
      </c>
      <c r="C2348" s="82" t="inlineStr">
        <is>
          <t>Massa unica para emboço interno em argamassa estabilizada, espessura de 2,5cm, com execução de taliscas</t>
        </is>
      </c>
      <c r="D2348" s="82" t="inlineStr">
        <is>
          <t>Argamassa Usinada para emboço/massa única</t>
        </is>
      </c>
      <c r="E2348" s="11">
        <f t="array" ref="E2348">_xlfn.XLOOKUP(D2348,Insumos!B:B,Insumos!C:$C)</f>
        <v/>
      </c>
      <c r="F2348" s="2164" t="n">
        <v>0.0293</v>
      </c>
      <c r="G2348" s="92">
        <f t="array" ref="G2348">IF(B2348="insumo",_xlfn.XLOOKUP($D2348,Insumos!$B$1:$B$996,Insumos!$D$1:$D$996),"")</f>
        <v/>
      </c>
      <c r="H2348" s="92" t="n">
        <v>12.1595</v>
      </c>
      <c r="I2348" s="2165" t="n">
        <v>0</v>
      </c>
      <c r="J2348" s="2165" t="n">
        <v>0</v>
      </c>
      <c r="K2348" s="2165" t="n"/>
    </row>
    <row r="2349" outlineLevel="2" ht="12.75" customHeight="1">
      <c r="A2349" s="1071" t="n">
        <v>1</v>
      </c>
      <c r="B2349" s="1071" t="inlineStr">
        <is>
          <t>Serviço</t>
        </is>
      </c>
      <c r="C2349" s="1071" t="inlineStr">
        <is>
          <t>Massa unica para reboco interno em argamassa estabilizada, espessura de 0,5cm, com execução desempenado fino</t>
        </is>
      </c>
      <c r="D2349" s="1071" t="inlineStr">
        <is>
          <t>Massa unica para reboco interno em argamassa estabilizada, espessura de 0,5cm, com execução desempenado fino</t>
        </is>
      </c>
      <c r="E2349" s="1072" t="inlineStr">
        <is>
          <t>M2</t>
        </is>
      </c>
      <c r="F2349" s="1071" t="n"/>
      <c r="G2349" s="1073">
        <f t="array" ref="G2349">IF(B2349="insumo",_xlfn.XLOOKUP($D2349,Insumos!$B$1:$B$996,Insumos!$D$1:$D$996),"")</f>
        <v/>
      </c>
      <c r="H2349" s="1073" t="n">
        <v>2.17875</v>
      </c>
      <c r="I2349" s="2163" t="n">
        <v>0</v>
      </c>
      <c r="J2349" s="2163" t="n">
        <v>0</v>
      </c>
      <c r="K2349" s="2163" t="n"/>
    </row>
    <row r="2350" outlineLevel="3" ht="12.75" customHeight="1">
      <c r="A2350" s="82" t="n">
        <v>7</v>
      </c>
      <c r="B2350" s="82" t="inlineStr">
        <is>
          <t>Insumo</t>
        </is>
      </c>
      <c r="C2350" s="82" t="inlineStr">
        <is>
          <t>Massa unica para reboco interno em argamassa estabilizada, espessura de 0,5cm, com execução desempenado fino</t>
        </is>
      </c>
      <c r="D2350" s="82" t="inlineStr">
        <is>
          <t>Argamassa Usinada para emboço/massa única</t>
        </is>
      </c>
      <c r="E2350" s="11">
        <f t="array" ref="E2350">_xlfn.XLOOKUP(D2350,Insumos!B:B,Insumos!C:$C)</f>
        <v/>
      </c>
      <c r="F2350" s="2164">
        <f>0.02625*0.5/2.5</f>
        <v/>
      </c>
      <c r="G2350" s="92">
        <f t="array" ref="G2350">IF(B2350="insumo",_xlfn.XLOOKUP($D2350,Insumos!$B$1:$B$996,Insumos!$D$1:$D$996),"")</f>
        <v/>
      </c>
      <c r="H2350" s="92" t="n">
        <v>2.17875</v>
      </c>
      <c r="I2350" s="2165" t="n">
        <v>0</v>
      </c>
      <c r="J2350" s="2165" t="n">
        <v>0</v>
      </c>
      <c r="K2350" s="2165" t="n"/>
    </row>
    <row r="2351" outlineLevel="2" ht="15.75" customHeight="1">
      <c r="A2351" s="1067" t="n">
        <v>1</v>
      </c>
      <c r="B2351" s="1067" t="inlineStr">
        <is>
          <t>Serviço</t>
        </is>
      </c>
      <c r="C2351" s="1067" t="inlineStr">
        <is>
          <t>Massa unica para reboco interno em argamassa estabilizada, espessura de 2,5cm, com execução de taliscas</t>
        </is>
      </c>
      <c r="D2351" s="1067" t="inlineStr">
        <is>
          <t>Massa unica para reboco interno em argamassa estabilizada, espessura de 2,5cm, com execução de taliscas</t>
        </is>
      </c>
      <c r="E2351" s="1068" t="inlineStr">
        <is>
          <t>M2</t>
        </is>
      </c>
      <c r="F2351" s="1067" t="n"/>
      <c r="G2351" s="1069">
        <f t="array" ref="G2351">IF(B2351="insumo",_xlfn.XLOOKUP($D2351,Insumos!$B$1:$B$996,Insumos!$D$1:$D$996),"")</f>
        <v/>
      </c>
      <c r="H2351" s="1069" t="n">
        <v>10.89375</v>
      </c>
      <c r="I2351" s="2161" t="n">
        <v>0</v>
      </c>
      <c r="J2351" s="2161" t="n">
        <v>0</v>
      </c>
      <c r="K2351" s="2161" t="n"/>
    </row>
    <row r="2352" outlineLevel="3" ht="15.75" customHeight="1">
      <c r="A2352" s="10" t="n">
        <v>7</v>
      </c>
      <c r="B2352" s="10" t="inlineStr">
        <is>
          <t>Insumo</t>
        </is>
      </c>
      <c r="C2352" s="10" t="inlineStr">
        <is>
          <t>Massa unica para reboco interno em argamassa estabilizada, espessura de 2,5cm, com execução de taliscas</t>
        </is>
      </c>
      <c r="D2352" s="10" t="inlineStr">
        <is>
          <t>Argamassa Usinada para emboço/massa única</t>
        </is>
      </c>
      <c r="E2352" s="11">
        <f t="array" ref="E2352">_xlfn.XLOOKUP(D2352,Insumos!B:B,Insumos!C:$C)</f>
        <v/>
      </c>
      <c r="F2352" s="14" t="n">
        <v>0.02625</v>
      </c>
      <c r="G2352" s="92">
        <f t="array" ref="G2352">IF(B2352="insumo",_xlfn.XLOOKUP($D2352,Insumos!$B$1:$B$996,Insumos!$D$1:$D$996),"")</f>
        <v/>
      </c>
      <c r="H2352" s="92" t="n">
        <v>10.89375</v>
      </c>
      <c r="I2352" s="2162" t="n">
        <v>0</v>
      </c>
      <c r="J2352" s="2162" t="n">
        <v>0</v>
      </c>
      <c r="K2352" s="2162" t="n"/>
    </row>
    <row r="2353" outlineLevel="2" ht="15.75" customHeight="1">
      <c r="A2353" s="1067" t="n">
        <v>1</v>
      </c>
      <c r="B2353" s="1067" t="inlineStr">
        <is>
          <t>Serviço</t>
        </is>
      </c>
      <c r="C2353" s="1067" t="inlineStr">
        <is>
          <t>Massa unica para reboco interno em argamassa estabilizada, espessura de 2,5cm, com execução desempenado fino</t>
        </is>
      </c>
      <c r="D2353" s="1067" t="inlineStr">
        <is>
          <t>Massa unica para reboco interno em argamassa estabilizada, espessura de 2,5cm, com execução desempenado fino</t>
        </is>
      </c>
      <c r="E2353" s="1068" t="inlineStr">
        <is>
          <t>M2</t>
        </is>
      </c>
      <c r="F2353" s="1067" t="n"/>
      <c r="G2353" s="1069">
        <f t="array" ref="G2353">IF(B2353="insumo",_xlfn.XLOOKUP($D2353,Insumos!$B$1:$B$996,Insumos!$D$1:$D$996),"")</f>
        <v/>
      </c>
      <c r="H2353" s="1069" t="n">
        <v>12.075</v>
      </c>
      <c r="I2353" s="2161" t="e">
        <v>#REF!</v>
      </c>
      <c r="J2353" s="2161" t="e">
        <v>#REF!</v>
      </c>
      <c r="K2353" s="2161" t="n"/>
    </row>
    <row r="2354" outlineLevel="3" ht="15.75" customHeight="1">
      <c r="A2354" s="10" t="n">
        <v>7</v>
      </c>
      <c r="B2354" s="10" t="inlineStr">
        <is>
          <t>Insumo</t>
        </is>
      </c>
      <c r="C2354" s="10" t="inlineStr">
        <is>
          <t>Massa unica para reboco interno em argamassa estabilizada, espessura de 2,5cm, com execução desempenado fino</t>
        </is>
      </c>
      <c r="D2354" s="10" t="inlineStr">
        <is>
          <t>Argamassa Usinada para emboço/massa única</t>
        </is>
      </c>
      <c r="E2354" s="11">
        <f t="array" ref="E2354">_xlfn.XLOOKUP(D2354,Insumos!B:B,Insumos!C:$C)</f>
        <v/>
      </c>
      <c r="F2354" s="14" t="n">
        <v>0.02625</v>
      </c>
      <c r="G2354" s="92">
        <f t="array" ref="G2354">IF(B2354="insumo",_xlfn.XLOOKUP($D2354,Insumos!$B$1:$B$996,Insumos!$D$1:$D$996),"")</f>
        <v/>
      </c>
      <c r="H2354" s="92" t="n">
        <v>10.89375</v>
      </c>
      <c r="I2354" s="2162" t="n">
        <v>0</v>
      </c>
      <c r="J2354" s="2162" t="n">
        <v>0</v>
      </c>
      <c r="K2354" s="2162" t="n"/>
    </row>
    <row r="2355" outlineLevel="3" ht="15.75" customHeight="1">
      <c r="A2355" s="10" t="n">
        <v>1</v>
      </c>
      <c r="B2355" s="10" t="inlineStr">
        <is>
          <t>Insumo</t>
        </is>
      </c>
      <c r="C2355" s="10" t="inlineStr">
        <is>
          <t>Massa unica para reboco interno em argamassa estabilizada, espessura de 2,5cm, com execução desempenado fino</t>
        </is>
      </c>
      <c r="D2355" s="10" t="inlineStr">
        <is>
          <t>Bombeamento Argamassa Usinada para emboço/massa única</t>
        </is>
      </c>
      <c r="E2355" s="11">
        <f t="array" ref="E2355">_xlfn.XLOOKUP(D2355,Insumos!B:B,Insumos!C:$C)</f>
        <v/>
      </c>
      <c r="F2355" s="14" t="n">
        <v>0.02625</v>
      </c>
      <c r="G2355" s="92">
        <f t="array" ref="G2355">IF(B2355="insumo",_xlfn.XLOOKUP($D2355,Insumos!$B$1:$B$996,Insumos!$D$1:$D$996),"")</f>
        <v/>
      </c>
      <c r="H2355" s="92" t="n">
        <v>1.18125</v>
      </c>
      <c r="I2355" s="2162" t="e">
        <v>#REF!</v>
      </c>
      <c r="J2355" s="2162" t="e">
        <v>#REF!</v>
      </c>
      <c r="K2355" s="2162" t="n"/>
    </row>
    <row r="2356" outlineLevel="2" ht="15.75" customHeight="1">
      <c r="A2356" s="1067" t="n">
        <v>1</v>
      </c>
      <c r="B2356" s="1067" t="inlineStr">
        <is>
          <t>Serviço</t>
        </is>
      </c>
      <c r="C2356" s="1067" t="inlineStr">
        <is>
          <t>Massa unica para reboco interno em argamassa estabilizada projetada, espessura 2,0cm, desempenado fino</t>
        </is>
      </c>
      <c r="D2356" s="1067" t="inlineStr">
        <is>
          <t>Massa unica para reboco interno em argamassa estabilizada projetada, espessura 2,0cm, desempenado fino</t>
        </is>
      </c>
      <c r="E2356" s="1068" t="inlineStr">
        <is>
          <t>M2</t>
        </is>
      </c>
      <c r="F2356" s="1067" t="n"/>
      <c r="G2356" s="1069">
        <f t="array" ref="G2356">IF(B2356="insumo",_xlfn.XLOOKUP($D2356,Insumos!$B$1:$B$996,Insumos!$D$1:$D$996),"")</f>
        <v/>
      </c>
      <c r="H2356" s="1069" t="n">
        <v>19</v>
      </c>
      <c r="I2356" s="2161" t="n">
        <v>0</v>
      </c>
      <c r="J2356" s="2161" t="n">
        <v>0</v>
      </c>
      <c r="K2356" s="2161" t="n"/>
    </row>
    <row r="2357" outlineLevel="3" ht="15.75" customHeight="1">
      <c r="A2357" s="10" t="n">
        <v>3</v>
      </c>
      <c r="B2357" s="10" t="inlineStr">
        <is>
          <t>Insumo</t>
        </is>
      </c>
      <c r="C2357" s="10" t="inlineStr">
        <is>
          <t>Massa unica para reboco interno em argamassa estabilizada projetada, espessura 2,0cm, desempenado fino</t>
        </is>
      </c>
      <c r="D2357" s="10" t="inlineStr">
        <is>
          <t>Argamassa industrializada para Para Reboco</t>
        </is>
      </c>
      <c r="E2357" s="11">
        <f t="array" ref="E2357">_xlfn.XLOOKUP(D2357,Insumos!B:B,Insumos!C:$C)</f>
        <v/>
      </c>
      <c r="F2357" s="14" t="n">
        <v>20</v>
      </c>
      <c r="G2357" s="92">
        <f t="array" ref="G2357">IF(B2357="insumo",_xlfn.XLOOKUP($D2357,Insumos!$B$1:$B$996,Insumos!$D$1:$D$996),"")</f>
        <v/>
      </c>
      <c r="H2357" s="92" t="n">
        <v>19</v>
      </c>
      <c r="I2357" s="2162" t="n">
        <v>0</v>
      </c>
      <c r="J2357" s="2162" t="n">
        <v>0</v>
      </c>
      <c r="K2357" s="2162" t="n"/>
    </row>
    <row r="2358" outlineLevel="1" ht="15.75" customHeight="1">
      <c r="A2358" s="1090" t="n">
        <v>1</v>
      </c>
      <c r="B2358" s="1090" t="inlineStr">
        <is>
          <t>Subetapa</t>
        </is>
      </c>
      <c r="C2358" s="1090" t="inlineStr">
        <is>
          <t>Massa unica para reboco interno em argamassa estabilizada projetada, espessura 2,0cm, desempenado fino</t>
        </is>
      </c>
      <c r="D2358" s="1090" t="inlineStr">
        <is>
          <t>ESTUCAMENTO/REGULARIZAÇÃO</t>
        </is>
      </c>
      <c r="E2358" s="1091" t="n"/>
      <c r="F2358" s="2160" t="n"/>
      <c r="G2358" s="1091" t="n"/>
      <c r="H2358" s="1091" t="n">
        <v>0</v>
      </c>
      <c r="I2358" s="2160" t="n">
        <v>0</v>
      </c>
      <c r="J2358" s="2160" t="n">
        <v>0</v>
      </c>
      <c r="K2358" s="2160" t="n"/>
    </row>
    <row r="2359" outlineLevel="2" ht="15.75" customHeight="1">
      <c r="A2359" s="1067" t="n">
        <v>1</v>
      </c>
      <c r="B2359" s="1067" t="inlineStr">
        <is>
          <t>Serviço</t>
        </is>
      </c>
      <c r="C2359" s="1067" t="inlineStr">
        <is>
          <t>Estucamento de estrutura de concreto em pilares e vigas</t>
        </is>
      </c>
      <c r="D2359" s="1067" t="inlineStr">
        <is>
          <t>Estucamento de estrutura de concreto em pilares e vigas</t>
        </is>
      </c>
      <c r="E2359" s="1068" t="inlineStr">
        <is>
          <t>M2</t>
        </is>
      </c>
      <c r="F2359" s="1067" t="n"/>
      <c r="G2359" s="1069">
        <f t="array" ref="G2359">IF(B2359="insumo",_xlfn.XLOOKUP($D2359,Insumos!$B$1:$B$996,Insumos!$D$1:$D$996),"")</f>
        <v/>
      </c>
      <c r="H2359" s="1069" t="n">
        <v>5.10291666666667</v>
      </c>
      <c r="I2359" s="2161" t="e">
        <v>#REF!</v>
      </c>
      <c r="J2359" s="2161" t="e">
        <v>#REF!</v>
      </c>
      <c r="K2359" s="2161" t="n"/>
    </row>
    <row r="2360" outlineLevel="3" ht="15.75" customHeight="1">
      <c r="A2360" s="10" t="n">
        <v>62</v>
      </c>
      <c r="B2360" s="10" t="inlineStr">
        <is>
          <t>Insumo</t>
        </is>
      </c>
      <c r="C2360" s="10" t="inlineStr">
        <is>
          <t>Estucamento de estrutura de concreto em pilares e vigas</t>
        </is>
      </c>
      <c r="D2360" s="10" t="inlineStr">
        <is>
          <t>Cimento Portland Composto CP II-32</t>
        </is>
      </c>
      <c r="E2360" s="11">
        <f t="array" ref="E2360">_xlfn.XLOOKUP(D2360,Insumos!B:B,Insumos!C:$C)</f>
        <v/>
      </c>
      <c r="F2360" s="14" t="n">
        <v>0.6</v>
      </c>
      <c r="G2360" s="92">
        <f t="array" ref="G2360">IF(B2360="insumo",_xlfn.XLOOKUP($D2360,Insumos!$B$1:$B$996,Insumos!$D$1:$D$996),"")</f>
        <v/>
      </c>
      <c r="H2360" s="92" t="n">
        <v>0.456</v>
      </c>
      <c r="I2360" s="2162" t="e">
        <v>#REF!</v>
      </c>
      <c r="J2360" s="2162" t="e">
        <v>#REF!</v>
      </c>
      <c r="K2360" s="2162" t="n"/>
    </row>
    <row r="2361" outlineLevel="3" ht="15.75" customHeight="1">
      <c r="A2361" s="10" t="n">
        <v>2</v>
      </c>
      <c r="B2361" s="10" t="inlineStr">
        <is>
          <t>Insumo</t>
        </is>
      </c>
      <c r="C2361" s="10" t="inlineStr">
        <is>
          <t>Estucamento de estrutura de concreto em pilares e vigas</t>
        </is>
      </c>
      <c r="D2361" s="10" t="inlineStr">
        <is>
          <t>LIXA EM FOLHA PARA FERRO, NÚMERO 100</t>
        </is>
      </c>
      <c r="E2361" s="11">
        <f t="array" ref="E2361">_xlfn.XLOOKUP(D2361,Insumos!B:B,Insumos!C:$C)</f>
        <v/>
      </c>
      <c r="F2361" s="14" t="n">
        <v>0.05</v>
      </c>
      <c r="G2361" s="92">
        <f t="array" ref="G2361">IF(B2361="insumo",_xlfn.XLOOKUP($D2361,Insumos!$B$1:$B$996,Insumos!$D$1:$D$996),"")</f>
        <v/>
      </c>
      <c r="H2361" s="92" t="n">
        <v>0.1565</v>
      </c>
      <c r="I2361" s="2162" t="e">
        <v>#REF!</v>
      </c>
      <c r="J2361" s="2162" t="e">
        <v>#REF!</v>
      </c>
      <c r="K2361" s="2162" t="n"/>
    </row>
    <row r="2362" outlineLevel="3" ht="15.75" customHeight="1">
      <c r="A2362" s="10" t="n">
        <v>2</v>
      </c>
      <c r="B2362" s="10" t="inlineStr">
        <is>
          <t>Insumo</t>
        </is>
      </c>
      <c r="C2362" s="10" t="inlineStr">
        <is>
          <t>Estucamento de estrutura de concreto em pilares e vigas</t>
        </is>
      </c>
      <c r="D2362" s="10" t="inlineStr">
        <is>
          <t>CIMENTO BRANCO NÃO ESTRUTURAL</t>
        </is>
      </c>
      <c r="E2362" s="11">
        <f t="array" ref="E2362">_xlfn.XLOOKUP(D2362,Insumos!B:B,Insumos!C:$C)</f>
        <v/>
      </c>
      <c r="F2362" s="14" t="n">
        <v>0.3</v>
      </c>
      <c r="G2362" s="92">
        <f t="array" ref="G2362">IF(B2362="insumo",_xlfn.XLOOKUP($D2362,Insumos!$B$1:$B$996,Insumos!$D$1:$D$996),"")</f>
        <v/>
      </c>
      <c r="H2362" s="92" t="n">
        <v>1.047</v>
      </c>
      <c r="I2362" s="2162" t="e">
        <v>#REF!</v>
      </c>
      <c r="J2362" s="2162" t="e">
        <v>#REF!</v>
      </c>
      <c r="K2362" s="2162" t="n"/>
    </row>
    <row r="2363" outlineLevel="3" ht="15.75" customHeight="1">
      <c r="A2363" s="10" t="n">
        <v>2</v>
      </c>
      <c r="B2363" s="10" t="inlineStr">
        <is>
          <t>Insumo</t>
        </is>
      </c>
      <c r="C2363" s="10" t="inlineStr">
        <is>
          <t>Estucamento de estrutura de concreto em pilares e vigas</t>
        </is>
      </c>
      <c r="D2363" s="10" t="inlineStr">
        <is>
          <t>ADESIVO DE BASE ACRÍLICA COMPATÍVEL COM CIMENTO</t>
        </is>
      </c>
      <c r="E2363" s="11">
        <f t="array" ref="E2363">_xlfn.XLOOKUP(D2363,Insumos!B:B,Insumos!C:$C)</f>
        <v/>
      </c>
      <c r="F2363" s="14" t="n">
        <v>0.15</v>
      </c>
      <c r="G2363" s="92">
        <f t="array" ref="G2363">IF(B2363="insumo",_xlfn.XLOOKUP($D2363,Insumos!$B$1:$B$996,Insumos!$D$1:$D$996),"")</f>
        <v/>
      </c>
      <c r="H2363" s="92" t="n">
        <v>3.44341666666667</v>
      </c>
      <c r="I2363" s="2162" t="e">
        <v>#REF!</v>
      </c>
      <c r="J2363" s="2162" t="e">
        <v>#REF!</v>
      </c>
      <c r="K2363" s="2162" t="n"/>
    </row>
    <row r="2364" outlineLevel="2" ht="15.75" customHeight="1">
      <c r="A2364" s="1067" t="n">
        <v>1</v>
      </c>
      <c r="B2364" s="1067" t="inlineStr">
        <is>
          <t>Serviço</t>
        </is>
      </c>
      <c r="C2364" s="1067" t="inlineStr">
        <is>
          <t xml:space="preserve">Regularização de Parede 0,50 cm </t>
        </is>
      </c>
      <c r="D2364" s="1067" t="inlineStr">
        <is>
          <t xml:space="preserve">Regularização de Parede 0,50 cm </t>
        </is>
      </c>
      <c r="E2364" s="1068" t="inlineStr">
        <is>
          <t>M2</t>
        </is>
      </c>
      <c r="F2364" s="1067" t="n"/>
      <c r="G2364" s="1069">
        <f t="array" ref="G2364">IF(B2364="insumo",_xlfn.XLOOKUP($D2364,Insumos!$B$1:$B$996,Insumos!$D$1:$D$996),"")</f>
        <v/>
      </c>
      <c r="H2364" s="1069" t="n">
        <v>3.15602333333333</v>
      </c>
      <c r="I2364" s="2161" t="n">
        <v>0</v>
      </c>
      <c r="J2364" s="2161" t="n">
        <v>0</v>
      </c>
      <c r="K2364" s="2161" t="n"/>
    </row>
    <row r="2365" outlineLevel="3" ht="15.75" customHeight="1">
      <c r="A2365" s="10" t="n">
        <v>32</v>
      </c>
      <c r="B2365" s="10" t="inlineStr">
        <is>
          <t>Insumo</t>
        </is>
      </c>
      <c r="C2365" s="10" t="inlineStr">
        <is>
          <t xml:space="preserve">Regularização de Parede 0,50 cm </t>
        </is>
      </c>
      <c r="D2365" s="10" t="inlineStr">
        <is>
          <t>Argamassa usninada para contrapiso</t>
        </is>
      </c>
      <c r="E2365" s="11">
        <f t="array" ref="E2365">_xlfn.XLOOKUP(D2365,Insumos!B:B,Insumos!C:$C)</f>
        <v/>
      </c>
      <c r="F2365" s="14" t="n">
        <v>0.005500000000000001</v>
      </c>
      <c r="G2365" s="92">
        <f t="array" ref="G2365">IF(B2365="insumo",_xlfn.XLOOKUP($D2365,Insumos!$B$1:$B$996,Insumos!$D$1:$D$996),"")</f>
        <v/>
      </c>
      <c r="H2365" s="92" t="n">
        <v>3.025</v>
      </c>
      <c r="I2365" s="2162" t="n">
        <v>0</v>
      </c>
      <c r="J2365" s="2162" t="n">
        <v>0</v>
      </c>
      <c r="K2365" s="2162" t="n"/>
    </row>
    <row r="2366" outlineLevel="3" ht="15.75" customHeight="1">
      <c r="A2366" s="10" t="n">
        <v>41</v>
      </c>
      <c r="B2366" s="10" t="inlineStr">
        <is>
          <t>Insumo</t>
        </is>
      </c>
      <c r="C2366" s="10" t="inlineStr">
        <is>
          <t xml:space="preserve">Regularização de Parede 0,50 cm </t>
        </is>
      </c>
      <c r="D2366" s="10" t="inlineStr">
        <is>
          <t>Aditivo Adesivo Liquido Para Argamassas De Revestimentos Cimenticios</t>
        </is>
      </c>
      <c r="E2366" s="11">
        <f t="array" ref="E2366">_xlfn.XLOOKUP(D2366,Insumos!B:B,Insumos!C:$C)</f>
        <v/>
      </c>
      <c r="F2366" s="14" t="n">
        <v>0.003500000000000001</v>
      </c>
      <c r="G2366" s="92">
        <f t="array" ref="G2366">IF(B2366="insumo",_xlfn.XLOOKUP($D2366,Insumos!$B$1:$B$996,Insumos!$D$1:$D$996),"")</f>
        <v/>
      </c>
      <c r="H2366" s="92" t="n">
        <v>0.06769</v>
      </c>
      <c r="I2366" s="2162" t="n">
        <v>0</v>
      </c>
      <c r="J2366" s="2162" t="n">
        <v>0</v>
      </c>
      <c r="K2366" s="2162" t="n"/>
    </row>
    <row r="2367" outlineLevel="3" ht="15.75" customHeight="1">
      <c r="A2367" s="10" t="n">
        <v>62</v>
      </c>
      <c r="B2367" s="10" t="inlineStr">
        <is>
          <t>Insumo</t>
        </is>
      </c>
      <c r="C2367" s="10" t="inlineStr">
        <is>
          <t xml:space="preserve">Regularização de Parede 0,50 cm </t>
        </is>
      </c>
      <c r="D2367" s="10" t="inlineStr">
        <is>
          <t>Cimento Portland Composto CP II-32</t>
        </is>
      </c>
      <c r="E2367" s="11">
        <f t="array" ref="E2367">_xlfn.XLOOKUP(D2367,Insumos!B:B,Insumos!C:$C)</f>
        <v/>
      </c>
      <c r="F2367" s="14" t="n">
        <v>0.08333333333333334</v>
      </c>
      <c r="G2367" s="92">
        <f t="array" ref="G2367">IF(B2367="insumo",_xlfn.XLOOKUP($D2367,Insumos!$B$1:$B$996,Insumos!$D$1:$D$996),"")</f>
        <v/>
      </c>
      <c r="H2367" s="92" t="n">
        <v>0.0633333333333333</v>
      </c>
      <c r="I2367" s="2162" t="n">
        <v>0</v>
      </c>
      <c r="J2367" s="2162" t="n">
        <v>0</v>
      </c>
      <c r="K2367" s="2162" t="n"/>
    </row>
    <row r="2368" outlineLevel="1" ht="15.75" customHeight="1">
      <c r="A2368" s="1090" t="n">
        <v>1</v>
      </c>
      <c r="B2368" s="1090" t="inlineStr">
        <is>
          <t>Subetapa</t>
        </is>
      </c>
      <c r="C2368" s="1090" t="inlineStr">
        <is>
          <t xml:space="preserve">Regularização de Parede 0,50 cm </t>
        </is>
      </c>
      <c r="D2368" s="1090" t="inlineStr">
        <is>
          <t>CERAMICO PAREDE</t>
        </is>
      </c>
      <c r="E2368" s="1091" t="n"/>
      <c r="F2368" s="2160" t="n"/>
      <c r="G2368" s="1091" t="n"/>
      <c r="H2368" s="1091" t="n">
        <v>0</v>
      </c>
      <c r="I2368" s="2160" t="n">
        <v>0</v>
      </c>
      <c r="J2368" s="2160" t="n">
        <v>0</v>
      </c>
      <c r="K2368" s="2160" t="n"/>
    </row>
    <row r="2369" outlineLevel="2" ht="15.75" customHeight="1">
      <c r="A2369" s="1067" t="n">
        <v>1</v>
      </c>
      <c r="B2369" s="1067" t="inlineStr">
        <is>
          <t>Serviço</t>
        </is>
      </c>
      <c r="C2369" s="1067" t="inlineStr">
        <is>
          <t>Revestimento de cerâmico retificado em Paredes, Placa 60,5 x 60,5cm com Junta de 2mm</t>
        </is>
      </c>
      <c r="D2369" s="1067" t="inlineStr">
        <is>
          <t>Revestimento de cerâmico retificado em Paredes, Placa 60,5 x 60,5cm com Junta de 2mm</t>
        </is>
      </c>
      <c r="E2369" s="1068" t="inlineStr">
        <is>
          <t>M2</t>
        </is>
      </c>
      <c r="F2369" s="1067" t="n"/>
      <c r="G2369" s="1069">
        <f t="array" ref="G2369">IF(B2369="insumo",_xlfn.XLOOKUP($D2369,Insumos!$B$1:$B$996,Insumos!$D$1:$D$996),"")</f>
        <v/>
      </c>
      <c r="H2369" s="1069" t="n">
        <v>61.5121</v>
      </c>
      <c r="I2369" s="2161" t="n">
        <v>0</v>
      </c>
      <c r="J2369" s="2161" t="n">
        <v>0</v>
      </c>
      <c r="K2369" s="2161" t="n"/>
    </row>
    <row r="2370" outlineLevel="3" ht="15.75" customHeight="1">
      <c r="A2370" s="10" t="n">
        <v>6</v>
      </c>
      <c r="B2370" s="10" t="inlineStr">
        <is>
          <t>Insumo</t>
        </is>
      </c>
      <c r="C2370" s="10" t="inlineStr">
        <is>
          <t>Revestimento de cerâmico retificado em Paredes, Placa 60,5 x 60,5cm com Junta de 2mm</t>
        </is>
      </c>
      <c r="D2370" s="10" t="inlineStr">
        <is>
          <t>Cer. Karina Artisan 60305 Act. 60x60 Ret</t>
        </is>
      </c>
      <c r="E2370" s="11">
        <f t="array" ref="E2370">_xlfn.XLOOKUP(D2370,Insumos!B:B,Insumos!C:$C)</f>
        <v/>
      </c>
      <c r="F2370" s="14" t="n">
        <v>1.1</v>
      </c>
      <c r="G2370" s="92">
        <f t="array" ref="G2370">IF(B2370="insumo",_xlfn.XLOOKUP($D2370,Insumos!$B$1:$B$996,Insumos!$D$1:$D$996),"")</f>
        <v/>
      </c>
      <c r="H2370" s="92" t="n">
        <v>51.953</v>
      </c>
      <c r="I2370" s="2162" t="n">
        <v>0</v>
      </c>
      <c r="J2370" s="2162" t="n">
        <v>0</v>
      </c>
      <c r="K2370" s="2162" t="n"/>
    </row>
    <row r="2371" outlineLevel="3" ht="15.75" customHeight="1">
      <c r="A2371" s="10" t="n">
        <v>191</v>
      </c>
      <c r="B2371" s="10" t="inlineStr">
        <is>
          <t>Insumo</t>
        </is>
      </c>
      <c r="C2371" s="10" t="inlineStr">
        <is>
          <t>Revestimento de cerâmico retificado em Paredes, Placa 60,5 x 60,5cm com Junta de 2mm</t>
        </is>
      </c>
      <c r="D2371" s="10" t="inlineStr">
        <is>
          <t>Argamassa ACIII</t>
        </is>
      </c>
      <c r="E2371" s="11">
        <f t="array" ref="E2371">_xlfn.XLOOKUP(D2371,Insumos!B:B,Insumos!C:$C)</f>
        <v/>
      </c>
      <c r="F2371" s="14" t="n">
        <v>8.800000000000001</v>
      </c>
      <c r="G2371" s="92">
        <f t="array" ref="G2371">IF(B2371="insumo",_xlfn.XLOOKUP($D2371,Insumos!$B$1:$B$996,Insumos!$D$1:$D$996),"")</f>
        <v/>
      </c>
      <c r="H2371" s="92" t="n">
        <v>9.367599999999999</v>
      </c>
      <c r="I2371" s="2162" t="n">
        <v>0</v>
      </c>
      <c r="J2371" s="2162" t="n">
        <v>0</v>
      </c>
      <c r="K2371" s="2162" t="n"/>
    </row>
    <row r="2372" outlineLevel="3" ht="15.75" customHeight="1">
      <c r="A2372" s="10" t="n">
        <v>142</v>
      </c>
      <c r="B2372" s="10" t="inlineStr">
        <is>
          <t>Insumo</t>
        </is>
      </c>
      <c r="C2372" s="10" t="inlineStr">
        <is>
          <t>Revestimento de cerâmico retificado em Paredes, Placa 60,5 x 60,5cm com Junta de 2mm</t>
        </is>
      </c>
      <c r="D2372" s="10" t="inlineStr">
        <is>
          <t>Espeçador junta piso 2mm</t>
        </is>
      </c>
      <c r="E2372" s="11">
        <f t="array" ref="E2372">_xlfn.XLOOKUP(D2372,Insumos!B:B,Insumos!C:$C)</f>
        <v/>
      </c>
      <c r="F2372" s="14" t="n">
        <v>1</v>
      </c>
      <c r="G2372" s="92">
        <f t="array" ref="G2372">IF(B2372="insumo",_xlfn.XLOOKUP($D2372,Insumos!$B$1:$B$996,Insumos!$D$1:$D$996),"")</f>
        <v/>
      </c>
      <c r="H2372" s="92" t="n">
        <v>0.08</v>
      </c>
      <c r="I2372" s="2162" t="n">
        <v>0</v>
      </c>
      <c r="J2372" s="2162" t="n">
        <v>0</v>
      </c>
      <c r="K2372" s="2162" t="n"/>
    </row>
    <row r="2373" outlineLevel="3" ht="15.75" customHeight="1">
      <c r="A2373" s="10" t="n">
        <v>101</v>
      </c>
      <c r="B2373" s="10" t="inlineStr">
        <is>
          <t>Insumo</t>
        </is>
      </c>
      <c r="C2373" s="10" t="inlineStr">
        <is>
          <t>Revestimento de cerâmico retificado em Paredes, Placa 60,5 x 60,5cm com Junta de 2mm</t>
        </is>
      </c>
      <c r="D2373" s="10" t="inlineStr">
        <is>
          <t>Rejunte Cimentício</t>
        </is>
      </c>
      <c r="E2373" s="11">
        <f t="array" ref="E2373">_xlfn.XLOOKUP(D2373,Insumos!B:B,Insumos!C:$C)</f>
        <v/>
      </c>
      <c r="F2373" s="14" t="n">
        <v>0.01</v>
      </c>
      <c r="G2373" s="92">
        <f t="array" ref="G2373">IF(B2373="insumo",_xlfn.XLOOKUP($D2373,Insumos!$B$1:$B$996,Insumos!$D$1:$D$996),"")</f>
        <v/>
      </c>
      <c r="H2373" s="92" t="n">
        <v>0.1115</v>
      </c>
      <c r="I2373" s="2162" t="n">
        <v>0</v>
      </c>
      <c r="J2373" s="2162" t="n">
        <v>0</v>
      </c>
      <c r="K2373" s="2162" t="n"/>
    </row>
    <row r="2374" outlineLevel="2" ht="12.75" customHeight="1">
      <c r="A2374" s="1071" t="n">
        <v>1</v>
      </c>
      <c r="B2374" s="1071" t="inlineStr">
        <is>
          <t>Serviço</t>
        </is>
      </c>
      <c r="C2374" s="1071" t="inlineStr">
        <is>
          <t>Revestimento em Cerâmicas Vulcano Cinza em paredes, 61x 61cm com Junta de 3mm</t>
        </is>
      </c>
      <c r="D2374" s="1071" t="inlineStr">
        <is>
          <t>Revestimento em Cerâmicas Vulcano Cinza em paredes, 61x 61cm com Junta de 3mm</t>
        </is>
      </c>
      <c r="E2374" s="1072" t="inlineStr">
        <is>
          <t>M2</t>
        </is>
      </c>
      <c r="F2374" s="1071" t="n"/>
      <c r="G2374" s="1073">
        <f t="array" ref="G2374">IF(B2374="insumo",_xlfn.XLOOKUP($D2374,Insumos!$B$1:$B$996,Insumos!$D$1:$D$996),"")</f>
        <v/>
      </c>
      <c r="H2374" s="1073" t="n">
        <v>79.119</v>
      </c>
      <c r="I2374" s="2163" t="e">
        <v>#REF!</v>
      </c>
      <c r="J2374" s="2163" t="e">
        <v>#REF!</v>
      </c>
      <c r="K2374" s="2163" t="n"/>
    </row>
    <row r="2375" outlineLevel="3" ht="12.75" customHeight="1">
      <c r="A2375" s="82" t="n">
        <v>6</v>
      </c>
      <c r="B2375" s="82" t="inlineStr">
        <is>
          <t>Insumo</t>
        </is>
      </c>
      <c r="C2375" s="82" t="inlineStr">
        <is>
          <t>Revestimento em Cerâmicas Vulcano Cinza em paredes, 61x 61cm com Junta de 3mm</t>
        </is>
      </c>
      <c r="D2375" s="82" t="inlineStr">
        <is>
          <t>Cerâmica Vulcano Cinza 61x61</t>
        </is>
      </c>
      <c r="E2375" s="11">
        <f t="array" ref="E2375">_xlfn.XLOOKUP(D2375,Insumos!B:B,Insumos!C:$C)</f>
        <v/>
      </c>
      <c r="F2375" s="2169" t="n">
        <v>1.1</v>
      </c>
      <c r="G2375" s="92">
        <f t="array" ref="G2375">IF(B2375="insumo",_xlfn.XLOOKUP($D2375,Insumos!$B$1:$B$996,Insumos!$D$1:$D$996),"")</f>
        <v/>
      </c>
      <c r="H2375" s="92" t="n">
        <v>69.949</v>
      </c>
      <c r="I2375" s="2165" t="e">
        <v>#REF!</v>
      </c>
      <c r="J2375" s="2165" t="e">
        <v>#REF!</v>
      </c>
      <c r="K2375" s="2165" t="n"/>
    </row>
    <row r="2376" outlineLevel="3" ht="12.75" customHeight="1">
      <c r="A2376" s="82" t="n">
        <v>16</v>
      </c>
      <c r="B2376" s="82" t="inlineStr">
        <is>
          <t>Insumo</t>
        </is>
      </c>
      <c r="C2376" s="82" t="inlineStr">
        <is>
          <t>Revestimento em Cerâmicas Vulcano Cinza em paredes, 61x 61cm com Junta de 3mm</t>
        </is>
      </c>
      <c r="D2376" s="82" t="inlineStr">
        <is>
          <t>Argamassa ACII</t>
        </is>
      </c>
      <c r="E2376" s="11">
        <f t="array" ref="E2376">_xlfn.XLOOKUP(D2376,Insumos!B:B,Insumos!C:$C)</f>
        <v/>
      </c>
      <c r="F2376" s="2169" t="n">
        <v>8.800000000000001</v>
      </c>
      <c r="G2376" s="92">
        <f t="array" ref="G2376">IF(B2376="insumo",_xlfn.XLOOKUP($D2376,Insumos!$B$1:$B$996,Insumos!$D$1:$D$996),"")</f>
        <v/>
      </c>
      <c r="H2376" s="92" t="n">
        <v>8.359999999999999</v>
      </c>
      <c r="I2376" s="2165" t="e">
        <v>#REF!</v>
      </c>
      <c r="J2376" s="2165" t="e">
        <v>#REF!</v>
      </c>
      <c r="K2376" s="2165" t="n"/>
    </row>
    <row r="2377" outlineLevel="3" ht="12.75" customHeight="1">
      <c r="A2377" s="82" t="n">
        <v>17</v>
      </c>
      <c r="B2377" s="82" t="inlineStr">
        <is>
          <t>Insumo</t>
        </is>
      </c>
      <c r="C2377" s="82" t="inlineStr">
        <is>
          <t>Revestimento em Cerâmicas Vulcano Cinza em paredes, 61x 61cm com Junta de 3mm</t>
        </is>
      </c>
      <c r="D2377" s="82" t="inlineStr">
        <is>
          <t>Espeçador junta piso 3mm</t>
        </is>
      </c>
      <c r="E2377" s="11">
        <f t="array" ref="E2377">_xlfn.XLOOKUP(D2377,Insumos!B:B,Insumos!C:$C)</f>
        <v/>
      </c>
      <c r="F2377" s="2169" t="n">
        <v>1</v>
      </c>
      <c r="G2377" s="92">
        <f t="array" ref="G2377">IF(B2377="insumo",_xlfn.XLOOKUP($D2377,Insumos!$B$1:$B$996,Insumos!$D$1:$D$996),"")</f>
        <v/>
      </c>
      <c r="H2377" s="92" t="n">
        <v>0.05</v>
      </c>
      <c r="I2377" s="2165" t="e">
        <v>#REF!</v>
      </c>
      <c r="J2377" s="2165" t="e">
        <v>#REF!</v>
      </c>
      <c r="K2377" s="2165" t="n"/>
    </row>
    <row r="2378" outlineLevel="3" ht="12.75" customHeight="1">
      <c r="A2378" s="82" t="n">
        <v>36</v>
      </c>
      <c r="B2378" s="82" t="inlineStr">
        <is>
          <t>Insumo</t>
        </is>
      </c>
      <c r="C2378" s="82" t="inlineStr">
        <is>
          <t>Revestimento em Cerâmicas Vulcano Cinza em paredes, 61x 61cm com Junta de 3mm</t>
        </is>
      </c>
      <c r="D2378" s="82" t="inlineStr">
        <is>
          <t>Rejunte Acrilico cinza platina</t>
        </is>
      </c>
      <c r="E2378" s="11">
        <f t="array" ref="E2378">_xlfn.XLOOKUP(D2378,Insumos!B:B,Insumos!C:$C)</f>
        <v/>
      </c>
      <c r="F2378" s="2169" t="n">
        <v>0.02</v>
      </c>
      <c r="G2378" s="92">
        <f t="array" ref="G2378">IF(B2378="insumo",_xlfn.XLOOKUP($D2378,Insumos!$B$1:$B$996,Insumos!$D$1:$D$996),"")</f>
        <v/>
      </c>
      <c r="H2378" s="92" t="n">
        <v>0.76</v>
      </c>
      <c r="I2378" s="2165" t="e">
        <v>#REF!</v>
      </c>
      <c r="J2378" s="2165" t="e">
        <v>#REF!</v>
      </c>
      <c r="K2378" s="2165" t="n"/>
    </row>
    <row r="2379" outlineLevel="2" ht="12.75" customHeight="1">
      <c r="A2379" s="1071" t="n">
        <v>1</v>
      </c>
      <c r="B2379" s="1071" t="inlineStr">
        <is>
          <t>Serviço</t>
        </is>
      </c>
      <c r="C2379" s="1071" t="inlineStr">
        <is>
          <t>Revestimento de cerâmico em Paredes, Placa 31 x 54cm com Junta de 2mm e rejunte acrilico</t>
        </is>
      </c>
      <c r="D2379" s="1071" t="inlineStr">
        <is>
          <t>Revestimento de cerâmico em Paredes, Placa 31 x 54cm com Junta de 2mm e rejunte acrilico</t>
        </is>
      </c>
      <c r="E2379" s="1072" t="inlineStr">
        <is>
          <t>M2</t>
        </is>
      </c>
      <c r="F2379" s="1071" t="n"/>
      <c r="G2379" s="1073">
        <f t="array" ref="G2379">IF(B2379="insumo",_xlfn.XLOOKUP($D2379,Insumos!$B$1:$B$996,Insumos!$D$1:$D$996),"")</f>
        <v/>
      </c>
      <c r="H2379" s="1073" t="n">
        <v>89.93859999999999</v>
      </c>
      <c r="I2379" s="2163" t="n">
        <v>0</v>
      </c>
      <c r="J2379" s="2163" t="n">
        <v>0</v>
      </c>
      <c r="K2379" s="2163" t="n"/>
    </row>
    <row r="2380" outlineLevel="3" ht="12.75" customHeight="1">
      <c r="A2380" s="82" t="n">
        <v>3</v>
      </c>
      <c r="B2380" s="82" t="inlineStr">
        <is>
          <t>Insumo</t>
        </is>
      </c>
      <c r="C2380" s="89" t="inlineStr">
        <is>
          <t>Revestimento de cerâmico em Paredes, Placa 31 x 54cm com Junta de 2mm e rejunte acrilico</t>
        </is>
      </c>
      <c r="D2380" s="89" t="inlineStr">
        <is>
          <t>Cerâmica Brilhante Metrô 31x54cm Savane</t>
        </is>
      </c>
      <c r="E2380" s="11">
        <f t="array" ref="E2380">_xlfn.XLOOKUP(D2380,Insumos!B:B,Insumos!C:$C)</f>
        <v/>
      </c>
      <c r="F2380" s="2164" t="n">
        <v>1.1</v>
      </c>
      <c r="G2380" s="92">
        <f t="array" ref="G2380">IF(B2380="insumo",_xlfn.XLOOKUP($D2380,Insumos!$B$1:$B$996,Insumos!$D$1:$D$996),"")</f>
        <v/>
      </c>
      <c r="H2380" s="92" t="n">
        <v>79.893</v>
      </c>
      <c r="I2380" s="2165" t="n">
        <v>0</v>
      </c>
      <c r="J2380" s="2165" t="n">
        <v>0</v>
      </c>
      <c r="K2380" s="2165" t="n"/>
    </row>
    <row r="2381" outlineLevel="3" ht="12.75" customHeight="1">
      <c r="A2381" s="82" t="n">
        <v>191</v>
      </c>
      <c r="B2381" s="82" t="inlineStr">
        <is>
          <t>Insumo</t>
        </is>
      </c>
      <c r="C2381" s="82" t="inlineStr">
        <is>
          <t>Revestimento de cerâmico em Paredes, Placa 31 x 54cm com Junta de 2mm e rejunte acrilico</t>
        </is>
      </c>
      <c r="D2381" s="82" t="inlineStr">
        <is>
          <t>Argamassa ACIII</t>
        </is>
      </c>
      <c r="E2381" s="11">
        <f t="array" ref="E2381">_xlfn.XLOOKUP(D2381,Insumos!B:B,Insumos!C:$C)</f>
        <v/>
      </c>
      <c r="F2381" s="2164" t="n">
        <v>8.800000000000001</v>
      </c>
      <c r="G2381" s="92">
        <f t="array" ref="G2381">IF(B2381="insumo",_xlfn.XLOOKUP($D2381,Insumos!$B$1:$B$996,Insumos!$D$1:$D$996),"")</f>
        <v/>
      </c>
      <c r="H2381" s="92" t="n">
        <v>9.367599999999999</v>
      </c>
      <c r="I2381" s="2165" t="n">
        <v>0</v>
      </c>
      <c r="J2381" s="2165" t="n">
        <v>0</v>
      </c>
      <c r="K2381" s="2165" t="n"/>
    </row>
    <row r="2382" outlineLevel="3" ht="12.75" customHeight="1">
      <c r="A2382" s="82" t="n">
        <v>142</v>
      </c>
      <c r="B2382" s="82" t="inlineStr">
        <is>
          <t>Insumo</t>
        </is>
      </c>
      <c r="C2382" s="82" t="inlineStr">
        <is>
          <t>Revestimento de cerâmico em Paredes, Placa 31 x 54cm com Junta de 2mm e rejunte acrilico</t>
        </is>
      </c>
      <c r="D2382" s="82" t="inlineStr">
        <is>
          <t>Espeçador junta piso 2mm</t>
        </is>
      </c>
      <c r="E2382" s="11">
        <f t="array" ref="E2382">_xlfn.XLOOKUP(D2382,Insumos!B:B,Insumos!C:$C)</f>
        <v/>
      </c>
      <c r="F2382" s="2164" t="n">
        <v>3</v>
      </c>
      <c r="G2382" s="92">
        <f t="array" ref="G2382">IF(B2382="insumo",_xlfn.XLOOKUP($D2382,Insumos!$B$1:$B$996,Insumos!$D$1:$D$996),"")</f>
        <v/>
      </c>
      <c r="H2382" s="92" t="n">
        <v>0.24</v>
      </c>
      <c r="I2382" s="2165" t="n">
        <v>0</v>
      </c>
      <c r="J2382" s="2165" t="n">
        <v>0</v>
      </c>
      <c r="K2382" s="2165" t="n"/>
    </row>
    <row r="2383" outlineLevel="3" ht="12.75" customHeight="1">
      <c r="A2383" s="82" t="n">
        <v>22</v>
      </c>
      <c r="B2383" s="82" t="inlineStr">
        <is>
          <t>Insumo</t>
        </is>
      </c>
      <c r="C2383" s="82" t="inlineStr">
        <is>
          <t>Revestimento de cerâmico em Paredes, Placa 31 x 54cm com Junta de 2mm e rejunte acrilico</t>
        </is>
      </c>
      <c r="D2383" s="82" t="inlineStr">
        <is>
          <t>Rejunte acrilico</t>
        </is>
      </c>
      <c r="E2383" s="11">
        <f t="array" ref="E2383">_xlfn.XLOOKUP(D2383,Insumos!B:B,Insumos!C:$C)</f>
        <v/>
      </c>
      <c r="F2383" s="2164" t="n">
        <v>0.01</v>
      </c>
      <c r="G2383" s="92">
        <f t="array" ref="G2383">IF(B2383="insumo",_xlfn.XLOOKUP($D2383,Insumos!$B$1:$B$996,Insumos!$D$1:$D$996),"")</f>
        <v/>
      </c>
      <c r="H2383" s="92" t="n">
        <v>0.438</v>
      </c>
      <c r="I2383" s="2165" t="n">
        <v>0</v>
      </c>
      <c r="J2383" s="2165" t="n">
        <v>0</v>
      </c>
      <c r="K2383" s="2165" t="n"/>
    </row>
    <row r="2384" outlineLevel="2" ht="12.75" customHeight="1">
      <c r="A2384" s="1071" t="n">
        <v>1</v>
      </c>
      <c r="B2384" s="1071" t="inlineStr">
        <is>
          <t>Serviço</t>
        </is>
      </c>
      <c r="C2384" s="1071" t="inlineStr">
        <is>
          <t>Revestimento de cerâmico retificado em Paredes, Placa 60 x 60cm com Junta de 2mm e rejunte acrilico</t>
        </is>
      </c>
      <c r="D2384" s="1071" t="inlineStr">
        <is>
          <t>Revestimento de cerâmico retificado em Paredes, Placa 60 x 60cm com Junta de 2mm e rejunte acrilico</t>
        </is>
      </c>
      <c r="E2384" s="1072" t="inlineStr">
        <is>
          <t>M2</t>
        </is>
      </c>
      <c r="F2384" s="1071" t="n"/>
      <c r="G2384" s="1073">
        <f t="array" ref="G2384">IF(B2384="insumo",_xlfn.XLOOKUP($D2384,Insumos!$B$1:$B$996,Insumos!$D$1:$D$996),"")</f>
        <v/>
      </c>
      <c r="H2384" s="1073" t="n">
        <v>61.7806</v>
      </c>
      <c r="I2384" s="2163" t="e">
        <v>#REF!</v>
      </c>
      <c r="J2384" s="2163" t="e">
        <v>#REF!</v>
      </c>
      <c r="K2384" s="2163" t="n"/>
    </row>
    <row r="2385" outlineLevel="3" ht="12.75" customHeight="1">
      <c r="A2385" s="82" t="n">
        <v>6</v>
      </c>
      <c r="B2385" s="82" t="inlineStr">
        <is>
          <t>Insumo</t>
        </is>
      </c>
      <c r="C2385" s="89" t="inlineStr">
        <is>
          <t>Revestimento de cerâmico retificado em Paredes, Placa 60 x 60cm com Junta de 2mm e rejunte acrilico</t>
        </is>
      </c>
      <c r="D2385" s="89" t="inlineStr">
        <is>
          <t>Cer. Karina Artisan 60305 Act. 60x60 Ret</t>
        </is>
      </c>
      <c r="E2385" s="11">
        <f t="array" ref="E2385">_xlfn.XLOOKUP(D2385,Insumos!B:B,Insumos!C:$C)</f>
        <v/>
      </c>
      <c r="F2385" s="2164" t="n">
        <v>1.1</v>
      </c>
      <c r="G2385" s="92">
        <f t="array" ref="G2385">IF(B2385="insumo",_xlfn.XLOOKUP($D2385,Insumos!$B$1:$B$996,Insumos!$D$1:$D$996),"")</f>
        <v/>
      </c>
      <c r="H2385" s="92" t="n">
        <v>51.953</v>
      </c>
      <c r="I2385" s="2165" t="e">
        <v>#REF!</v>
      </c>
      <c r="J2385" s="2165" t="e">
        <v>#REF!</v>
      </c>
      <c r="K2385" s="2165" t="n"/>
    </row>
    <row r="2386" outlineLevel="3" ht="12.75" customHeight="1">
      <c r="A2386" s="82" t="n">
        <v>191</v>
      </c>
      <c r="B2386" s="82" t="inlineStr">
        <is>
          <t>Insumo</t>
        </is>
      </c>
      <c r="C2386" s="82" t="inlineStr">
        <is>
          <t>Revestimento de cerâmico retificado em Paredes, Placa 60 x 60cm com Junta de 2mm e rejunte acrilico</t>
        </is>
      </c>
      <c r="D2386" s="82" t="inlineStr">
        <is>
          <t>Argamassa ACIII</t>
        </is>
      </c>
      <c r="E2386" s="11">
        <f t="array" ref="E2386">_xlfn.XLOOKUP(D2386,Insumos!B:B,Insumos!C:$C)</f>
        <v/>
      </c>
      <c r="F2386" s="2164" t="n">
        <v>8.800000000000001</v>
      </c>
      <c r="G2386" s="92">
        <f t="array" ref="G2386">IF(B2386="insumo",_xlfn.XLOOKUP($D2386,Insumos!$B$1:$B$996,Insumos!$D$1:$D$996),"")</f>
        <v/>
      </c>
      <c r="H2386" s="92" t="n">
        <v>9.367599999999999</v>
      </c>
      <c r="I2386" s="2165" t="e">
        <v>#REF!</v>
      </c>
      <c r="J2386" s="2165" t="e">
        <v>#REF!</v>
      </c>
      <c r="K2386" s="2165" t="n"/>
    </row>
    <row r="2387" outlineLevel="3" ht="12.75" customHeight="1">
      <c r="A2387" s="82" t="n">
        <v>142</v>
      </c>
      <c r="B2387" s="82" t="inlineStr">
        <is>
          <t>Insumo</t>
        </is>
      </c>
      <c r="C2387" s="82" t="inlineStr">
        <is>
          <t>Revestimento de cerâmico retificado em Paredes, Placa 60 x 60cm com Junta de 2mm e rejunte acrilico</t>
        </is>
      </c>
      <c r="D2387" s="82" t="inlineStr">
        <is>
          <t>Espeçador junta piso 2mm</t>
        </is>
      </c>
      <c r="E2387" s="11">
        <f t="array" ref="E2387">_xlfn.XLOOKUP(D2387,Insumos!B:B,Insumos!C:$C)</f>
        <v/>
      </c>
      <c r="F2387" s="2164" t="n">
        <v>1</v>
      </c>
      <c r="G2387" s="92">
        <f t="array" ref="G2387">IF(B2387="insumo",_xlfn.XLOOKUP($D2387,Insumos!$B$1:$B$996,Insumos!$D$1:$D$996),"")</f>
        <v/>
      </c>
      <c r="H2387" s="92" t="n">
        <v>0.08</v>
      </c>
      <c r="I2387" s="2165" t="e">
        <v>#REF!</v>
      </c>
      <c r="J2387" s="2165" t="e">
        <v>#REF!</v>
      </c>
      <c r="K2387" s="2165" t="n"/>
    </row>
    <row r="2388" outlineLevel="3" ht="12.75" customHeight="1">
      <c r="A2388" s="82" t="n">
        <v>36</v>
      </c>
      <c r="B2388" s="82" t="inlineStr">
        <is>
          <t>Insumo</t>
        </is>
      </c>
      <c r="C2388" s="82" t="inlineStr">
        <is>
          <t>Revestimento de cerâmico retificado em Paredes, Placa 60 x 60cm com Junta de 2mm e rejunte acrilico</t>
        </is>
      </c>
      <c r="D2388" s="82" t="inlineStr">
        <is>
          <t>Rejunte Acrilico cinza platina</t>
        </is>
      </c>
      <c r="E2388" s="11">
        <f t="array" ref="E2388">_xlfn.XLOOKUP(D2388,Insumos!B:B,Insumos!C:$C)</f>
        <v/>
      </c>
      <c r="F2388" s="2164" t="n">
        <v>0.01</v>
      </c>
      <c r="G2388" s="92">
        <f t="array" ref="G2388">IF(B2388="insumo",_xlfn.XLOOKUP($D2388,Insumos!$B$1:$B$996,Insumos!$D$1:$D$996),"")</f>
        <v/>
      </c>
      <c r="H2388" s="92" t="n">
        <v>0.38</v>
      </c>
      <c r="I2388" s="2165" t="e">
        <v>#REF!</v>
      </c>
      <c r="J2388" s="2165" t="e">
        <v>#REF!</v>
      </c>
      <c r="K2388" s="2165" t="n"/>
    </row>
    <row r="2389" outlineLevel="1" ht="15.75" customHeight="1">
      <c r="A2389" s="1090" t="n">
        <v>1</v>
      </c>
      <c r="B2389" s="1090" t="inlineStr">
        <is>
          <t>Subetapa</t>
        </is>
      </c>
      <c r="C2389" s="1090" t="inlineStr">
        <is>
          <t>Revestimento de cerâmico retificado em Paredes, Placa 60 x 60cm com Junta de 2mm e rejunte acrilico</t>
        </is>
      </c>
      <c r="D2389" s="1090" t="inlineStr">
        <is>
          <t>PORCELANATO PAREDE</t>
        </is>
      </c>
      <c r="E2389" s="1091" t="n"/>
      <c r="F2389" s="2160" t="n"/>
      <c r="G2389" s="1091" t="n"/>
      <c r="H2389" s="1091" t="n">
        <v>0</v>
      </c>
      <c r="I2389" s="2160" t="n">
        <v>0</v>
      </c>
      <c r="J2389" s="2160" t="n">
        <v>0</v>
      </c>
      <c r="K2389" s="2160" t="n"/>
    </row>
    <row r="2390" outlineLevel="2" ht="15.75" customHeight="1">
      <c r="A2390" s="1067" t="n">
        <v>1</v>
      </c>
      <c r="B2390" s="1067" t="inlineStr">
        <is>
          <t>Serviço</t>
        </is>
      </c>
      <c r="C2390" s="1067" t="inlineStr">
        <is>
          <t>Revestimento de parede em porcelanato, placa 30x90cm</t>
        </is>
      </c>
      <c r="D2390" s="1067" t="inlineStr">
        <is>
          <t>Revestimento de parede em porcelanato, placa 30x90cm</t>
        </is>
      </c>
      <c r="E2390" s="1068" t="inlineStr">
        <is>
          <t>M2</t>
        </is>
      </c>
      <c r="F2390" s="1067" t="n"/>
      <c r="G2390" s="1069">
        <f t="array" ref="G2390">IF(B2390="insumo",_xlfn.XLOOKUP($D2390,Insumos!$B$1:$B$996,Insumos!$D$1:$D$996),"")</f>
        <v/>
      </c>
      <c r="H2390" s="1069" t="n">
        <v>93.1306</v>
      </c>
      <c r="I2390" s="2161" t="n">
        <v>0</v>
      </c>
      <c r="J2390" s="2161" t="n">
        <v>0</v>
      </c>
      <c r="K2390" s="2161" t="n"/>
    </row>
    <row r="2391" outlineLevel="3" ht="15.75" customHeight="1">
      <c r="A2391" s="10" t="n">
        <v>2</v>
      </c>
      <c r="B2391" s="10" t="inlineStr">
        <is>
          <t>Insumo</t>
        </is>
      </c>
      <c r="C2391" s="10" t="inlineStr">
        <is>
          <t>Revestimento de parede em porcelanato, placa 30x90cm</t>
        </is>
      </c>
      <c r="D2391" s="10" t="inlineStr">
        <is>
          <t xml:space="preserve">Porcelanato A 30x60 Polido </t>
        </is>
      </c>
      <c r="E2391" s="11">
        <f t="array" ref="E2391">_xlfn.XLOOKUP(D2391,Insumos!B:B,Insumos!C:$C)</f>
        <v/>
      </c>
      <c r="F2391" s="14" t="n">
        <v>1.1</v>
      </c>
      <c r="G2391" s="92">
        <f t="array" ref="G2391">IF(B2391="insumo",_xlfn.XLOOKUP($D2391,Insumos!$B$1:$B$996,Insumos!$D$1:$D$996),"")</f>
        <v/>
      </c>
      <c r="H2391" s="92" t="n">
        <v>83.38</v>
      </c>
      <c r="I2391" s="2162" t="n">
        <v>0</v>
      </c>
      <c r="J2391" s="2162" t="n">
        <v>0</v>
      </c>
      <c r="K2391" s="2162" t="n"/>
    </row>
    <row r="2392" outlineLevel="3" ht="15.75" customHeight="1">
      <c r="A2392" s="10" t="n">
        <v>191</v>
      </c>
      <c r="B2392" s="10" t="inlineStr">
        <is>
          <t>Insumo</t>
        </is>
      </c>
      <c r="C2392" s="10" t="inlineStr">
        <is>
          <t>Revestimento de parede em porcelanato, placa 30x90cm</t>
        </is>
      </c>
      <c r="D2392" s="10" t="inlineStr">
        <is>
          <t>Argamassa ACIII</t>
        </is>
      </c>
      <c r="E2392" s="11">
        <f t="array" ref="E2392">_xlfn.XLOOKUP(D2392,Insumos!B:B,Insumos!C:$C)</f>
        <v/>
      </c>
      <c r="F2392" s="14" t="n">
        <v>8.800000000000001</v>
      </c>
      <c r="G2392" s="92">
        <f t="array" ref="G2392">IF(B2392="insumo",_xlfn.XLOOKUP($D2392,Insumos!$B$1:$B$996,Insumos!$D$1:$D$996),"")</f>
        <v/>
      </c>
      <c r="H2392" s="92" t="n">
        <v>9.367599999999999</v>
      </c>
      <c r="I2392" s="2162" t="n">
        <v>0</v>
      </c>
      <c r="J2392" s="2162" t="n">
        <v>0</v>
      </c>
      <c r="K2392" s="2162" t="n"/>
    </row>
    <row r="2393" outlineLevel="3" ht="15.75" customHeight="1">
      <c r="A2393" s="10" t="n">
        <v>142</v>
      </c>
      <c r="B2393" s="10" t="inlineStr">
        <is>
          <t>Insumo</t>
        </is>
      </c>
      <c r="C2393" s="10" t="inlineStr">
        <is>
          <t>Revestimento de parede em porcelanato, placa 30x90cm</t>
        </is>
      </c>
      <c r="D2393" s="10" t="inlineStr">
        <is>
          <t>Espeçador junta piso 2mm</t>
        </is>
      </c>
      <c r="E2393" s="11">
        <f t="array" ref="E2393">_xlfn.XLOOKUP(D2393,Insumos!B:B,Insumos!C:$C)</f>
        <v/>
      </c>
      <c r="F2393" s="14" t="n">
        <v>2</v>
      </c>
      <c r="G2393" s="92">
        <f t="array" ref="G2393">IF(B2393="insumo",_xlfn.XLOOKUP($D2393,Insumos!$B$1:$B$996,Insumos!$D$1:$D$996),"")</f>
        <v/>
      </c>
      <c r="H2393" s="92" t="n">
        <v>0.16</v>
      </c>
      <c r="I2393" s="2162" t="n">
        <v>0</v>
      </c>
      <c r="J2393" s="2162" t="n">
        <v>0</v>
      </c>
      <c r="K2393" s="2162" t="n"/>
    </row>
    <row r="2394" outlineLevel="3" ht="15.75" customHeight="1">
      <c r="A2394" s="10" t="n">
        <v>101</v>
      </c>
      <c r="B2394" s="10" t="inlineStr">
        <is>
          <t>Insumo</t>
        </is>
      </c>
      <c r="C2394" s="10" t="inlineStr">
        <is>
          <t>Revestimento de parede em porcelanato, placa 30x90cm</t>
        </is>
      </c>
      <c r="D2394" s="10" t="inlineStr">
        <is>
          <t>Rejunte Cimentício</t>
        </is>
      </c>
      <c r="E2394" s="11">
        <f t="array" ref="E2394">_xlfn.XLOOKUP(D2394,Insumos!B:B,Insumos!C:$C)</f>
        <v/>
      </c>
      <c r="F2394" s="14" t="n">
        <v>0.02</v>
      </c>
      <c r="G2394" s="92">
        <f t="array" ref="G2394">IF(B2394="insumo",_xlfn.XLOOKUP($D2394,Insumos!$B$1:$B$996,Insumos!$D$1:$D$996),"")</f>
        <v/>
      </c>
      <c r="H2394" s="92" t="n">
        <v>0.223</v>
      </c>
      <c r="I2394" s="2162" t="n">
        <v>0</v>
      </c>
      <c r="J2394" s="2162" t="n">
        <v>0</v>
      </c>
      <c r="K2394" s="2162" t="n"/>
    </row>
    <row r="2395" outlineLevel="2" ht="15.75" customHeight="1">
      <c r="A2395" s="1067" t="n">
        <v>1</v>
      </c>
      <c r="B2395" s="1067" t="inlineStr">
        <is>
          <t>Serviço</t>
        </is>
      </c>
      <c r="C2395" s="1067" t="inlineStr">
        <is>
          <t>Revestimento de parede em porcelanato, placa 30x60cm</t>
        </is>
      </c>
      <c r="D2395" s="1067" t="inlineStr">
        <is>
          <t>Revestimento de parede em porcelanato, placa 30x60cm</t>
        </is>
      </c>
      <c r="E2395" s="1068" t="inlineStr">
        <is>
          <t>M2</t>
        </is>
      </c>
      <c r="F2395" s="1067" t="n"/>
      <c r="G2395" s="1069">
        <f t="array" ref="G2395">IF(B2395="insumo",_xlfn.XLOOKUP($D2395,Insumos!$B$1:$B$996,Insumos!$D$1:$D$996),"")</f>
        <v/>
      </c>
      <c r="H2395" s="1069" t="n">
        <v>93.1306</v>
      </c>
      <c r="I2395" s="2161" t="n">
        <v>0</v>
      </c>
      <c r="J2395" s="2161" t="n">
        <v>0</v>
      </c>
      <c r="K2395" s="2161" t="n"/>
    </row>
    <row r="2396" outlineLevel="3" ht="15.75" customHeight="1">
      <c r="A2396" s="10" t="n">
        <v>2</v>
      </c>
      <c r="B2396" s="10" t="inlineStr">
        <is>
          <t>Insumo</t>
        </is>
      </c>
      <c r="C2396" s="10" t="inlineStr">
        <is>
          <t>Revestimento de parede em porcelanato, placa 30x60cm</t>
        </is>
      </c>
      <c r="D2396" s="10" t="inlineStr">
        <is>
          <t xml:space="preserve">Porcelanato A 30x60 Polido </t>
        </is>
      </c>
      <c r="E2396" s="11">
        <f t="array" ref="E2396">_xlfn.XLOOKUP(D2396,Insumos!B:B,Insumos!C:$C)</f>
        <v/>
      </c>
      <c r="F2396" s="14" t="n">
        <v>1.1</v>
      </c>
      <c r="G2396" s="92">
        <f t="array" ref="G2396">IF(B2396="insumo",_xlfn.XLOOKUP($D2396,Insumos!$B$1:$B$996,Insumos!$D$1:$D$996),"")</f>
        <v/>
      </c>
      <c r="H2396" s="92" t="n">
        <v>83.38</v>
      </c>
      <c r="I2396" s="2162" t="n">
        <v>0</v>
      </c>
      <c r="J2396" s="2162" t="n">
        <v>0</v>
      </c>
      <c r="K2396" s="2162" t="n"/>
    </row>
    <row r="2397" outlineLevel="3" ht="15.75" customHeight="1">
      <c r="A2397" s="10" t="n">
        <v>191</v>
      </c>
      <c r="B2397" s="10" t="inlineStr">
        <is>
          <t>Insumo</t>
        </is>
      </c>
      <c r="C2397" s="10" t="inlineStr">
        <is>
          <t>Revestimento de parede em porcelanato, placa 30x60cm</t>
        </is>
      </c>
      <c r="D2397" s="10" t="inlineStr">
        <is>
          <t>Argamassa ACIII</t>
        </is>
      </c>
      <c r="E2397" s="11">
        <f t="array" ref="E2397">_xlfn.XLOOKUP(D2397,Insumos!B:B,Insumos!C:$C)</f>
        <v/>
      </c>
      <c r="F2397" s="14" t="n">
        <v>8.800000000000001</v>
      </c>
      <c r="G2397" s="92">
        <f t="array" ref="G2397">IF(B2397="insumo",_xlfn.XLOOKUP($D2397,Insumos!$B$1:$B$996,Insumos!$D$1:$D$996),"")</f>
        <v/>
      </c>
      <c r="H2397" s="92" t="n">
        <v>9.367599999999999</v>
      </c>
      <c r="I2397" s="2162" t="n">
        <v>0</v>
      </c>
      <c r="J2397" s="2162" t="n">
        <v>0</v>
      </c>
      <c r="K2397" s="2162" t="n"/>
    </row>
    <row r="2398" outlineLevel="3" ht="15.75" customHeight="1">
      <c r="A2398" s="10" t="n">
        <v>142</v>
      </c>
      <c r="B2398" s="10" t="inlineStr">
        <is>
          <t>Insumo</t>
        </is>
      </c>
      <c r="C2398" s="10" t="inlineStr">
        <is>
          <t>Revestimento de parede em porcelanato, placa 30x60cm</t>
        </is>
      </c>
      <c r="D2398" s="10" t="inlineStr">
        <is>
          <t>Espeçador junta piso 2mm</t>
        </is>
      </c>
      <c r="E2398" s="11">
        <f t="array" ref="E2398">_xlfn.XLOOKUP(D2398,Insumos!B:B,Insumos!C:$C)</f>
        <v/>
      </c>
      <c r="F2398" s="14" t="n">
        <v>2</v>
      </c>
      <c r="G2398" s="92">
        <f t="array" ref="G2398">IF(B2398="insumo",_xlfn.XLOOKUP($D2398,Insumos!$B$1:$B$996,Insumos!$D$1:$D$996),"")</f>
        <v/>
      </c>
      <c r="H2398" s="92" t="n">
        <v>0.16</v>
      </c>
      <c r="I2398" s="2162" t="n">
        <v>0</v>
      </c>
      <c r="J2398" s="2162" t="n">
        <v>0</v>
      </c>
      <c r="K2398" s="2162" t="n"/>
    </row>
    <row r="2399" outlineLevel="3" ht="15.75" customHeight="1">
      <c r="A2399" s="10" t="n">
        <v>101</v>
      </c>
      <c r="B2399" s="10" t="inlineStr">
        <is>
          <t>Insumo</t>
        </is>
      </c>
      <c r="C2399" s="10" t="inlineStr">
        <is>
          <t>Revestimento de parede em porcelanato, placa 30x60cm</t>
        </is>
      </c>
      <c r="D2399" s="10" t="inlineStr">
        <is>
          <t>Rejunte Cimentício</t>
        </is>
      </c>
      <c r="E2399" s="11">
        <f t="array" ref="E2399">_xlfn.XLOOKUP(D2399,Insumos!B:B,Insumos!C:$C)</f>
        <v/>
      </c>
      <c r="F2399" s="14" t="n">
        <v>0.02</v>
      </c>
      <c r="G2399" s="92">
        <f t="array" ref="G2399">IF(B2399="insumo",_xlfn.XLOOKUP($D2399,Insumos!$B$1:$B$996,Insumos!$D$1:$D$996),"")</f>
        <v/>
      </c>
      <c r="H2399" s="92" t="n">
        <v>0.223</v>
      </c>
      <c r="I2399" s="2162" t="n">
        <v>0</v>
      </c>
      <c r="J2399" s="2162" t="n">
        <v>0</v>
      </c>
      <c r="K2399" s="2162" t="n"/>
    </row>
    <row r="2400" outlineLevel="2" ht="15.75" customHeight="1">
      <c r="A2400" s="1067" t="n">
        <v>1</v>
      </c>
      <c r="B2400" s="1067" t="inlineStr">
        <is>
          <t>Serviço</t>
        </is>
      </c>
      <c r="C2400" s="1067" t="inlineStr">
        <is>
          <t>Revestimento de parede em porcelanato, Revestimento Realce 32X56 32001 Branco Brilhante</t>
        </is>
      </c>
      <c r="D2400" s="1067" t="inlineStr">
        <is>
          <t>Revestimento de parede em porcelanato, Revestimento Realce 32X56 32001 Branco Brilhante</t>
        </is>
      </c>
      <c r="E2400" s="1068" t="inlineStr">
        <is>
          <t>M2</t>
        </is>
      </c>
      <c r="F2400" s="1067" t="n"/>
      <c r="G2400" s="1069">
        <f t="array" ref="G2400">IF(B2400="insumo",_xlfn.XLOOKUP($D2400,Insumos!$B$1:$B$996,Insumos!$D$1:$D$996),"")</f>
        <v/>
      </c>
      <c r="H2400" s="1069" t="n">
        <v>62.3306</v>
      </c>
      <c r="I2400" s="2161" t="n">
        <v>0</v>
      </c>
      <c r="J2400" s="2161" t="n">
        <v>0</v>
      </c>
      <c r="K2400" s="2161" t="n"/>
    </row>
    <row r="2401" outlineLevel="3" ht="15.75" customHeight="1">
      <c r="A2401" s="10" t="n">
        <v>1</v>
      </c>
      <c r="B2401" s="10" t="inlineStr">
        <is>
          <t>Insumo</t>
        </is>
      </c>
      <c r="C2401" s="10" t="inlineStr">
        <is>
          <t>Revestimento de parede em porcelanato, Revestimento Realce 32X56 32001 Branco Brilhante</t>
        </is>
      </c>
      <c r="D2401" s="10" t="inlineStr">
        <is>
          <t>Revestimento Realce 32X56 32001 Branco Brilhante</t>
        </is>
      </c>
      <c r="E2401" s="11">
        <f t="array" ref="E2401">_xlfn.XLOOKUP(D2401,Insumos!B:B,Insumos!C:$C)</f>
        <v/>
      </c>
      <c r="F2401" s="14" t="n">
        <v>1.1</v>
      </c>
      <c r="G2401" s="92">
        <f t="array" ref="G2401">IF(B2401="insumo",_xlfn.XLOOKUP($D2401,Insumos!$B$1:$B$996,Insumos!$D$1:$D$996),"")</f>
        <v/>
      </c>
      <c r="H2401" s="92" t="n">
        <v>52.58</v>
      </c>
      <c r="I2401" s="2162" t="n">
        <v>0</v>
      </c>
      <c r="J2401" s="2162" t="n">
        <v>0</v>
      </c>
      <c r="K2401" s="2162" t="n"/>
    </row>
    <row r="2402" outlineLevel="3" ht="15.75" customHeight="1">
      <c r="A2402" s="10" t="n">
        <v>191</v>
      </c>
      <c r="B2402" s="10" t="inlineStr">
        <is>
          <t>Insumo</t>
        </is>
      </c>
      <c r="C2402" s="10" t="inlineStr">
        <is>
          <t>Revestimento de parede em porcelanato, Revestimento Realce 32X56 32001 Branco Brilhante</t>
        </is>
      </c>
      <c r="D2402" s="10" t="inlineStr">
        <is>
          <t>Argamassa ACIII</t>
        </is>
      </c>
      <c r="E2402" s="11">
        <f t="array" ref="E2402">_xlfn.XLOOKUP(D2402,Insumos!B:B,Insumos!C:$C)</f>
        <v/>
      </c>
      <c r="F2402" s="14" t="n">
        <v>8.800000000000001</v>
      </c>
      <c r="G2402" s="92">
        <f t="array" ref="G2402">IF(B2402="insumo",_xlfn.XLOOKUP($D2402,Insumos!$B$1:$B$996,Insumos!$D$1:$D$996),"")</f>
        <v/>
      </c>
      <c r="H2402" s="92" t="n">
        <v>9.367599999999999</v>
      </c>
      <c r="I2402" s="2162" t="n">
        <v>0</v>
      </c>
      <c r="J2402" s="2162" t="n">
        <v>0</v>
      </c>
      <c r="K2402" s="2162" t="n"/>
    </row>
    <row r="2403" outlineLevel="3" ht="15.75" customHeight="1">
      <c r="A2403" s="10" t="n">
        <v>142</v>
      </c>
      <c r="B2403" s="10" t="inlineStr">
        <is>
          <t>Insumo</t>
        </is>
      </c>
      <c r="C2403" s="10" t="inlineStr">
        <is>
          <t>Revestimento de parede em porcelanato, Revestimento Realce 32X56 32001 Branco Brilhante</t>
        </is>
      </c>
      <c r="D2403" s="10" t="inlineStr">
        <is>
          <t>Espeçador junta piso 2mm</t>
        </is>
      </c>
      <c r="E2403" s="11">
        <f t="array" ref="E2403">_xlfn.XLOOKUP(D2403,Insumos!B:B,Insumos!C:$C)</f>
        <v/>
      </c>
      <c r="F2403" s="14" t="n">
        <v>2</v>
      </c>
      <c r="G2403" s="92">
        <f t="array" ref="G2403">IF(B2403="insumo",_xlfn.XLOOKUP($D2403,Insumos!$B$1:$B$996,Insumos!$D$1:$D$996),"")</f>
        <v/>
      </c>
      <c r="H2403" s="92" t="n">
        <v>0.16</v>
      </c>
      <c r="I2403" s="2162" t="n">
        <v>0</v>
      </c>
      <c r="J2403" s="2162" t="n">
        <v>0</v>
      </c>
      <c r="K2403" s="2162" t="n"/>
    </row>
    <row r="2404" outlineLevel="3" ht="15.75" customHeight="1">
      <c r="A2404" s="10" t="n">
        <v>101</v>
      </c>
      <c r="B2404" s="10" t="inlineStr">
        <is>
          <t>Insumo</t>
        </is>
      </c>
      <c r="C2404" s="10" t="inlineStr">
        <is>
          <t>Revestimento de parede em porcelanato, Revestimento Realce 32X56 32001 Branco Brilhante</t>
        </is>
      </c>
      <c r="D2404" s="10" t="inlineStr">
        <is>
          <t>Rejunte Cimentício</t>
        </is>
      </c>
      <c r="E2404" s="11">
        <f t="array" ref="E2404">_xlfn.XLOOKUP(D2404,Insumos!B:B,Insumos!C:$C)</f>
        <v/>
      </c>
      <c r="F2404" s="14" t="n">
        <v>0.02</v>
      </c>
      <c r="G2404" s="92">
        <f t="array" ref="G2404">IF(B2404="insumo",_xlfn.XLOOKUP($D2404,Insumos!$B$1:$B$996,Insumos!$D$1:$D$996),"")</f>
        <v/>
      </c>
      <c r="H2404" s="92" t="n">
        <v>0.223</v>
      </c>
      <c r="I2404" s="2162" t="n">
        <v>0</v>
      </c>
      <c r="J2404" s="2162" t="n">
        <v>0</v>
      </c>
      <c r="K2404" s="2162" t="n"/>
    </row>
    <row r="2405" outlineLevel="2" ht="15.75" customHeight="1">
      <c r="A2405" s="1067" t="n">
        <v>1</v>
      </c>
      <c r="B2405" s="1067" t="inlineStr">
        <is>
          <t>Serviço</t>
        </is>
      </c>
      <c r="C2405" s="1067" t="inlineStr">
        <is>
          <t>Revestimento de parede em Porcelanato Biancogres Ripa Sense 45x90 Acetinado</t>
        </is>
      </c>
      <c r="D2405" s="1067" t="inlineStr">
        <is>
          <t>Revestimento de parede em Porcelanato Biancogres Ripa Sense 45x90 Acetinado</t>
        </is>
      </c>
      <c r="E2405" s="1068" t="inlineStr">
        <is>
          <t>M2</t>
        </is>
      </c>
      <c r="F2405" s="1067" t="n"/>
      <c r="G2405" s="1069">
        <f t="array" ref="G2405">IF(B2405="insumo",_xlfn.XLOOKUP($D2405,Insumos!$B$1:$B$996,Insumos!$D$1:$D$996),"")</f>
        <v/>
      </c>
      <c r="H2405" s="1069" t="n">
        <v>104.2406</v>
      </c>
      <c r="I2405" s="2161" t="n">
        <v>0</v>
      </c>
      <c r="J2405" s="2161" t="n">
        <v>0</v>
      </c>
      <c r="K2405" s="2161" t="n"/>
    </row>
    <row r="2406" outlineLevel="3" ht="15.75" customHeight="1">
      <c r="A2406" s="10" t="n">
        <v>1</v>
      </c>
      <c r="B2406" s="10" t="inlineStr">
        <is>
          <t>Insumo</t>
        </is>
      </c>
      <c r="C2406" s="10" t="inlineStr">
        <is>
          <t>Revestimento de parede em Porcelanato Biancogres Ripa Sense 45x90 Acetinado</t>
        </is>
      </c>
      <c r="D2406" s="10" t="inlineStr">
        <is>
          <t>Porcelanato Biancogres Ripa Sense 45x90 Acetinado</t>
        </is>
      </c>
      <c r="E2406" s="11">
        <f t="array" ref="E2406">_xlfn.XLOOKUP(D2406,Insumos!B:B,Insumos!C:$C)</f>
        <v/>
      </c>
      <c r="F2406" s="14" t="n">
        <v>1.1</v>
      </c>
      <c r="G2406" s="92">
        <f t="array" ref="G2406">IF(B2406="insumo",_xlfn.XLOOKUP($D2406,Insumos!$B$1:$B$996,Insumos!$D$1:$D$996),"")</f>
        <v/>
      </c>
      <c r="H2406" s="92" t="n">
        <v>94.48999999999999</v>
      </c>
      <c r="I2406" s="2162" t="n">
        <v>0</v>
      </c>
      <c r="J2406" s="2162" t="n">
        <v>0</v>
      </c>
      <c r="K2406" s="2162" t="n"/>
    </row>
    <row r="2407" outlineLevel="3" ht="15.75" customHeight="1">
      <c r="A2407" s="10" t="n">
        <v>191</v>
      </c>
      <c r="B2407" s="10" t="inlineStr">
        <is>
          <t>Insumo</t>
        </is>
      </c>
      <c r="C2407" s="10" t="inlineStr">
        <is>
          <t>Revestimento de parede em Porcelanato Biancogres Ripa Sense 45x90 Acetinado</t>
        </is>
      </c>
      <c r="D2407" s="10" t="inlineStr">
        <is>
          <t>Argamassa ACIII</t>
        </is>
      </c>
      <c r="E2407" s="11">
        <f t="array" ref="E2407">_xlfn.XLOOKUP(D2407,Insumos!B:B,Insumos!C:$C)</f>
        <v/>
      </c>
      <c r="F2407" s="14" t="n">
        <v>8.800000000000001</v>
      </c>
      <c r="G2407" s="92">
        <f t="array" ref="G2407">IF(B2407="insumo",_xlfn.XLOOKUP($D2407,Insumos!$B$1:$B$996,Insumos!$D$1:$D$996),"")</f>
        <v/>
      </c>
      <c r="H2407" s="92" t="n">
        <v>9.367599999999999</v>
      </c>
      <c r="I2407" s="2162" t="n">
        <v>0</v>
      </c>
      <c r="J2407" s="2162" t="n">
        <v>0</v>
      </c>
      <c r="K2407" s="2162" t="n"/>
    </row>
    <row r="2408" outlineLevel="3" ht="15.75" customHeight="1">
      <c r="A2408" s="10" t="n">
        <v>142</v>
      </c>
      <c r="B2408" s="10" t="inlineStr">
        <is>
          <t>Insumo</t>
        </is>
      </c>
      <c r="C2408" s="10" t="inlineStr">
        <is>
          <t>Revestimento de parede em Porcelanato Biancogres Ripa Sense 45x90 Acetinado</t>
        </is>
      </c>
      <c r="D2408" s="10" t="inlineStr">
        <is>
          <t>Espeçador junta piso 2mm</t>
        </is>
      </c>
      <c r="E2408" s="11">
        <f t="array" ref="E2408">_xlfn.XLOOKUP(D2408,Insumos!B:B,Insumos!C:$C)</f>
        <v/>
      </c>
      <c r="F2408" s="14" t="n">
        <v>2</v>
      </c>
      <c r="G2408" s="92">
        <f t="array" ref="G2408">IF(B2408="insumo",_xlfn.XLOOKUP($D2408,Insumos!$B$1:$B$996,Insumos!$D$1:$D$996),"")</f>
        <v/>
      </c>
      <c r="H2408" s="92" t="n">
        <v>0.16</v>
      </c>
      <c r="I2408" s="2162" t="n">
        <v>0</v>
      </c>
      <c r="J2408" s="2162" t="n">
        <v>0</v>
      </c>
      <c r="K2408" s="2162" t="n"/>
    </row>
    <row r="2409" outlineLevel="3" ht="15.75" customHeight="1">
      <c r="A2409" s="10" t="n">
        <v>101</v>
      </c>
      <c r="B2409" s="10" t="inlineStr">
        <is>
          <t>Insumo</t>
        </is>
      </c>
      <c r="C2409" s="10" t="inlineStr">
        <is>
          <t>Revestimento de parede em Porcelanato Biancogres Ripa Sense 45x90 Acetinado</t>
        </is>
      </c>
      <c r="D2409" s="10" t="inlineStr">
        <is>
          <t>Rejunte Cimentício</t>
        </is>
      </c>
      <c r="E2409" s="11">
        <f t="array" ref="E2409">_xlfn.XLOOKUP(D2409,Insumos!B:B,Insumos!C:$C)</f>
        <v/>
      </c>
      <c r="F2409" s="14" t="n">
        <v>0.02</v>
      </c>
      <c r="G2409" s="92">
        <f t="array" ref="G2409">IF(B2409="insumo",_xlfn.XLOOKUP($D2409,Insumos!$B$1:$B$996,Insumos!$D$1:$D$996),"")</f>
        <v/>
      </c>
      <c r="H2409" s="92" t="n">
        <v>0.223</v>
      </c>
      <c r="I2409" s="2162" t="n">
        <v>0</v>
      </c>
      <c r="J2409" s="2162" t="n">
        <v>0</v>
      </c>
      <c r="K2409" s="2162" t="n"/>
    </row>
    <row r="2410" outlineLevel="2" ht="15.75" customHeight="1">
      <c r="A2410" s="1067" t="n">
        <v>1</v>
      </c>
      <c r="B2410" s="1067" t="inlineStr">
        <is>
          <t>Serviço</t>
        </is>
      </c>
      <c r="C2410" s="1067" t="inlineStr">
        <is>
          <t>Revestimento de parede em Porcelanato 75x75cm Cedasa Retificado Evidence Polido</t>
        </is>
      </c>
      <c r="D2410" s="1067" t="inlineStr">
        <is>
          <t>Revestimento de parede em Porcelanato 75x75cm Cedasa Retificado Evidence Polido</t>
        </is>
      </c>
      <c r="E2410" s="1068" t="inlineStr">
        <is>
          <t>M2</t>
        </is>
      </c>
      <c r="F2410" s="1067" t="n"/>
      <c r="G2410" s="1069">
        <f t="array" ref="G2410">IF(B2410="insumo",_xlfn.XLOOKUP($D2410,Insumos!$B$1:$B$996,Insumos!$D$1:$D$996),"")</f>
        <v/>
      </c>
      <c r="H2410" s="1069" t="n">
        <v>167.4641</v>
      </c>
      <c r="I2410" s="2161" t="n">
        <v>0</v>
      </c>
      <c r="J2410" s="2161" t="n">
        <v>0</v>
      </c>
      <c r="K2410" s="2161" t="n"/>
    </row>
    <row r="2411" outlineLevel="3" ht="15.75" customHeight="1">
      <c r="A2411" s="10" t="n">
        <v>2</v>
      </c>
      <c r="B2411" s="10" t="inlineStr">
        <is>
          <t>Insumo</t>
        </is>
      </c>
      <c r="C2411" s="10" t="inlineStr">
        <is>
          <t>Revestimento de parede em Porcelanato 75x75cm Cedasa Retificado Evidence Polido</t>
        </is>
      </c>
      <c r="D2411" s="10" t="inlineStr">
        <is>
          <t>Piso 75x75cm Cedasa Retificado Evidence Polido</t>
        </is>
      </c>
      <c r="E2411" s="11">
        <f t="array" ref="E2411">_xlfn.XLOOKUP(D2411,Insumos!B:B,Insumos!C:$C)</f>
        <v/>
      </c>
      <c r="F2411" s="14" t="n">
        <v>1.1</v>
      </c>
      <c r="G2411" s="92">
        <f t="array" ref="G2411">IF(B2411="insumo",_xlfn.XLOOKUP($D2411,Insumos!$B$1:$B$996,Insumos!$D$1:$D$996),"")</f>
        <v/>
      </c>
      <c r="H2411" s="92" t="n">
        <v>157.905</v>
      </c>
      <c r="I2411" s="2162" t="n">
        <v>0</v>
      </c>
      <c r="J2411" s="2162" t="n">
        <v>0</v>
      </c>
      <c r="K2411" s="2162" t="n"/>
    </row>
    <row r="2412" outlineLevel="3" ht="15.75" customHeight="1">
      <c r="A2412" s="10" t="n">
        <v>191</v>
      </c>
      <c r="B2412" s="10" t="inlineStr">
        <is>
          <t>Insumo</t>
        </is>
      </c>
      <c r="C2412" s="10" t="inlineStr">
        <is>
          <t>Revestimento de parede em Porcelanato 75x75cm Cedasa Retificado Evidence Polido</t>
        </is>
      </c>
      <c r="D2412" s="10" t="inlineStr">
        <is>
          <t>Argamassa ACIII</t>
        </is>
      </c>
      <c r="E2412" s="11">
        <f t="array" ref="E2412">_xlfn.XLOOKUP(D2412,Insumos!B:B,Insumos!C:$C)</f>
        <v/>
      </c>
      <c r="F2412" s="14" t="n">
        <v>8.800000000000001</v>
      </c>
      <c r="G2412" s="92">
        <f t="array" ref="G2412">IF(B2412="insumo",_xlfn.XLOOKUP($D2412,Insumos!$B$1:$B$996,Insumos!$D$1:$D$996),"")</f>
        <v/>
      </c>
      <c r="H2412" s="92" t="n">
        <v>9.367599999999999</v>
      </c>
      <c r="I2412" s="2162" t="n">
        <v>0</v>
      </c>
      <c r="J2412" s="2162" t="n">
        <v>0</v>
      </c>
      <c r="K2412" s="2162">
        <f>110.81*18</f>
        <v/>
      </c>
    </row>
    <row r="2413" outlineLevel="3" ht="15.75" customHeight="1">
      <c r="A2413" s="10" t="n">
        <v>142</v>
      </c>
      <c r="B2413" s="10" t="inlineStr">
        <is>
          <t>Insumo</t>
        </is>
      </c>
      <c r="C2413" s="10" t="inlineStr">
        <is>
          <t>Revestimento de parede em Porcelanato 75x75cm Cedasa Retificado Evidence Polido</t>
        </is>
      </c>
      <c r="D2413" s="10" t="inlineStr">
        <is>
          <t>Espeçador junta piso 2mm</t>
        </is>
      </c>
      <c r="E2413" s="11">
        <f t="array" ref="E2413">_xlfn.XLOOKUP(D2413,Insumos!B:B,Insumos!C:$C)</f>
        <v/>
      </c>
      <c r="F2413" s="14" t="n">
        <v>1</v>
      </c>
      <c r="G2413" s="92">
        <f t="array" ref="G2413">IF(B2413="insumo",_xlfn.XLOOKUP($D2413,Insumos!$B$1:$B$996,Insumos!$D$1:$D$996),"")</f>
        <v/>
      </c>
      <c r="H2413" s="92" t="n">
        <v>0.08</v>
      </c>
      <c r="I2413" s="2162" t="n">
        <v>0</v>
      </c>
      <c r="J2413" s="2162" t="n">
        <v>0</v>
      </c>
      <c r="K2413" s="2162" t="n"/>
    </row>
    <row r="2414" outlineLevel="3" ht="15.75" customHeight="1">
      <c r="A2414" s="10" t="n">
        <v>101</v>
      </c>
      <c r="B2414" s="10" t="inlineStr">
        <is>
          <t>Insumo</t>
        </is>
      </c>
      <c r="C2414" s="10" t="inlineStr">
        <is>
          <t>Revestimento de parede em Porcelanato 75x75cm Cedasa Retificado Evidence Polido</t>
        </is>
      </c>
      <c r="D2414" s="10" t="inlineStr">
        <is>
          <t>Rejunte Cimentício</t>
        </is>
      </c>
      <c r="E2414" s="11">
        <f t="array" ref="E2414">_xlfn.XLOOKUP(D2414,Insumos!B:B,Insumos!C:$C)</f>
        <v/>
      </c>
      <c r="F2414" s="14" t="n">
        <v>0.01</v>
      </c>
      <c r="G2414" s="92">
        <f t="array" ref="G2414">IF(B2414="insumo",_xlfn.XLOOKUP($D2414,Insumos!$B$1:$B$996,Insumos!$D$1:$D$996),"")</f>
        <v/>
      </c>
      <c r="H2414" s="92" t="n">
        <v>0.1115</v>
      </c>
      <c r="I2414" s="2162" t="n">
        <v>0</v>
      </c>
      <c r="J2414" s="2162" t="n">
        <v>0</v>
      </c>
      <c r="K2414" s="2162" t="n"/>
    </row>
    <row r="2415" outlineLevel="2" ht="15.75" customHeight="1">
      <c r="A2415" s="1067" t="n">
        <v>1</v>
      </c>
      <c r="B2415" s="1067" t="inlineStr">
        <is>
          <t>Serviço</t>
        </is>
      </c>
      <c r="C2415" s="1067" t="inlineStr">
        <is>
          <t>Revestimento de parede em Porcelanato Portobello – Posto 10 90x90 Externo Retificado - Linha Ipanema - Padrão Alto</t>
        </is>
      </c>
      <c r="D2415" s="1067" t="inlineStr">
        <is>
          <t>Revestimento de parede em Porcelanato Portobello – Posto 10 90x90 Externo Retificado - Linha Ipanema - Padrão Alto</t>
        </is>
      </c>
      <c r="E2415" s="1068" t="inlineStr">
        <is>
          <t>M2</t>
        </is>
      </c>
      <c r="F2415" s="1067" t="n"/>
      <c r="G2415" s="1069">
        <f t="array" ref="G2415">IF(B2415="insumo",_xlfn.XLOOKUP($D2415,Insumos!$B$1:$B$996,Insumos!$D$1:$D$996),"")</f>
        <v/>
      </c>
      <c r="H2415" s="1069" t="n">
        <v>229.8276</v>
      </c>
      <c r="I2415" s="2161" t="e">
        <v>#REF!</v>
      </c>
      <c r="J2415" s="2161" t="e">
        <v>#REF!</v>
      </c>
      <c r="K2415" s="2161" t="n"/>
    </row>
    <row r="2416" outlineLevel="3" ht="15.75" customHeight="1">
      <c r="A2416" s="10" t="n">
        <v>2</v>
      </c>
      <c r="B2416" s="10" t="inlineStr">
        <is>
          <t>Insumo</t>
        </is>
      </c>
      <c r="C2416" s="10" t="inlineStr">
        <is>
          <t>Revestimento de parede em Porcelanato Portobello – Posto 10 90x90 Externo Retificado - Linha Ipanema - Padrão Alto</t>
        </is>
      </c>
      <c r="D2416" s="10" t="inlineStr">
        <is>
          <t>Porcelanato Portobello – Posto 10 90x90 Externo Retificado - Linha Ipanema - Padrão Alto</t>
        </is>
      </c>
      <c r="E2416" s="11">
        <f t="array" ref="E2416">_xlfn.XLOOKUP(D2416,Insumos!B:B,Insumos!C:$C)</f>
        <v/>
      </c>
      <c r="F2416" s="14" t="n">
        <v>1.1</v>
      </c>
      <c r="G2416" s="92">
        <f t="array" ref="G2416">IF(B2416="insumo",_xlfn.XLOOKUP($D2416,Insumos!$B$1:$B$996,Insumos!$D$1:$D$996),"")</f>
        <v/>
      </c>
      <c r="H2416" s="92" t="n">
        <v>220</v>
      </c>
      <c r="I2416" s="2162" t="e">
        <v>#REF!</v>
      </c>
      <c r="J2416" s="2162" t="e">
        <v>#REF!</v>
      </c>
      <c r="K2416" s="2162" t="n"/>
    </row>
    <row r="2417" outlineLevel="3" ht="15.75" customHeight="1">
      <c r="A2417" s="10" t="n">
        <v>191</v>
      </c>
      <c r="B2417" s="10" t="inlineStr">
        <is>
          <t>Insumo</t>
        </is>
      </c>
      <c r="C2417" s="10" t="inlineStr">
        <is>
          <t>Revestimento de parede em Porcelanato Portobello – Posto 10 90x90 Externo Retificado - Linha Ipanema - Padrão Alto</t>
        </is>
      </c>
      <c r="D2417" s="10" t="inlineStr">
        <is>
          <t>Argamassa ACIII</t>
        </is>
      </c>
      <c r="E2417" s="11">
        <f t="array" ref="E2417">_xlfn.XLOOKUP(D2417,Insumos!B:B,Insumos!C:$C)</f>
        <v/>
      </c>
      <c r="F2417" s="14" t="n">
        <v>8.800000000000001</v>
      </c>
      <c r="G2417" s="92">
        <f t="array" ref="G2417">IF(B2417="insumo",_xlfn.XLOOKUP($D2417,Insumos!$B$1:$B$996,Insumos!$D$1:$D$996),"")</f>
        <v/>
      </c>
      <c r="H2417" s="92" t="n">
        <v>9.367599999999999</v>
      </c>
      <c r="I2417" s="2162" t="e">
        <v>#REF!</v>
      </c>
      <c r="J2417" s="2162" t="e">
        <v>#REF!</v>
      </c>
      <c r="K2417" s="2162" t="n"/>
    </row>
    <row r="2418" outlineLevel="3" ht="15.75" customHeight="1">
      <c r="A2418" s="10" t="n">
        <v>142</v>
      </c>
      <c r="B2418" s="10" t="inlineStr">
        <is>
          <t>Insumo</t>
        </is>
      </c>
      <c r="C2418" s="10" t="inlineStr">
        <is>
          <t>Revestimento de parede em Porcelanato Portobello – Posto 10 90x90 Externo Retificado - Linha Ipanema - Padrão Alto</t>
        </is>
      </c>
      <c r="D2418" s="10" t="inlineStr">
        <is>
          <t>Espeçador junta piso 2mm</t>
        </is>
      </c>
      <c r="E2418" s="11">
        <f t="array" ref="E2418">_xlfn.XLOOKUP(D2418,Insumos!B:B,Insumos!C:$C)</f>
        <v/>
      </c>
      <c r="F2418" s="14" t="n">
        <v>1</v>
      </c>
      <c r="G2418" s="92">
        <f t="array" ref="G2418">IF(B2418="insumo",_xlfn.XLOOKUP($D2418,Insumos!$B$1:$B$996,Insumos!$D$1:$D$996),"")</f>
        <v/>
      </c>
      <c r="H2418" s="92" t="n">
        <v>0.08</v>
      </c>
      <c r="I2418" s="2162" t="e">
        <v>#REF!</v>
      </c>
      <c r="J2418" s="2162" t="e">
        <v>#REF!</v>
      </c>
      <c r="K2418" s="2162" t="n"/>
    </row>
    <row r="2419" outlineLevel="3" ht="15.75" customHeight="1">
      <c r="A2419" s="10" t="n">
        <v>36</v>
      </c>
      <c r="B2419" s="10" t="inlineStr">
        <is>
          <t>Insumo</t>
        </is>
      </c>
      <c r="C2419" s="82" t="inlineStr">
        <is>
          <t>Revestimento de parede em Porcelanato Portobello – Posto 10 90x90 Externo Retificado - Linha Ipanema - Padrão Alto</t>
        </is>
      </c>
      <c r="D2419" s="82" t="inlineStr">
        <is>
          <t>Rejunte Acrilico cinza platina</t>
        </is>
      </c>
      <c r="E2419" s="11">
        <f t="array" ref="E2419">_xlfn.XLOOKUP(D2419,Insumos!B:B,Insumos!C:$C)</f>
        <v/>
      </c>
      <c r="F2419" s="14" t="n">
        <v>0.01</v>
      </c>
      <c r="G2419" s="92">
        <f t="array" ref="G2419">IF(B2419="insumo",_xlfn.XLOOKUP($D2419,Insumos!$B$1:$B$996,Insumos!$D$1:$D$996),"")</f>
        <v/>
      </c>
      <c r="H2419" s="92" t="n">
        <v>0.38</v>
      </c>
      <c r="I2419" s="2162" t="e">
        <v>#REF!</v>
      </c>
      <c r="J2419" s="2162" t="e">
        <v>#REF!</v>
      </c>
      <c r="K2419" s="2162" t="n"/>
    </row>
    <row r="2420" outlineLevel="2" ht="15.75" customHeight="1">
      <c r="A2420" s="1067" t="n">
        <v>1</v>
      </c>
      <c r="B2420" s="1067" t="inlineStr">
        <is>
          <t>Serviço</t>
        </is>
      </c>
      <c r="C2420" s="1067" t="inlineStr">
        <is>
          <t>Revestimento de parede em Porcelanato Portobello –  90x90 - Padrão Alto</t>
        </is>
      </c>
      <c r="D2420" s="1067" t="inlineStr">
        <is>
          <t>Revestimento de parede em Porcelanato Portobello –  90x90 - Padrão Alto</t>
        </is>
      </c>
      <c r="E2420" s="1068" t="inlineStr">
        <is>
          <t>M2</t>
        </is>
      </c>
      <c r="F2420" s="1067" t="n"/>
      <c r="G2420" s="1069">
        <f t="array" ref="G2420">IF(B2420="insumo",_xlfn.XLOOKUP($D2420,Insumos!$B$1:$B$996,Insumos!$D$1:$D$996),"")</f>
        <v/>
      </c>
      <c r="H2420" s="1069" t="n">
        <v>141.8276</v>
      </c>
      <c r="I2420" s="2161" t="e">
        <v>#REF!</v>
      </c>
      <c r="J2420" s="2161" t="e">
        <v>#REF!</v>
      </c>
      <c r="K2420" s="2161" t="n"/>
    </row>
    <row r="2421" outlineLevel="3" ht="15.75" customHeight="1">
      <c r="A2421" s="10" t="n">
        <v>3</v>
      </c>
      <c r="B2421" s="10" t="inlineStr">
        <is>
          <t>Insumo</t>
        </is>
      </c>
      <c r="C2421" s="10" t="inlineStr">
        <is>
          <t>Revestimento de parede em Porcelanato Portobello –  90x90 - Padrão Alto</t>
        </is>
      </c>
      <c r="D2421" s="10" t="inlineStr">
        <is>
          <t>Porcelanato Portobello –  90x90 - Padrão Alto</t>
        </is>
      </c>
      <c r="E2421" s="11">
        <f t="array" ref="E2421">_xlfn.XLOOKUP(D2421,Insumos!B:B,Insumos!C:$C)</f>
        <v/>
      </c>
      <c r="F2421" s="14" t="n">
        <v>1.1</v>
      </c>
      <c r="G2421" s="92">
        <f t="array" ref="G2421">IF(B2421="insumo",_xlfn.XLOOKUP($D2421,Insumos!$B$1:$B$996,Insumos!$D$1:$D$996),"")</f>
        <v/>
      </c>
      <c r="H2421" s="92" t="n">
        <v>132</v>
      </c>
      <c r="I2421" s="2162" t="e">
        <v>#REF!</v>
      </c>
      <c r="J2421" s="2162" t="e">
        <v>#REF!</v>
      </c>
      <c r="K2421" s="2162" t="n"/>
    </row>
    <row r="2422" outlineLevel="3" ht="15.75" customHeight="1">
      <c r="A2422" s="10" t="n">
        <v>191</v>
      </c>
      <c r="B2422" s="10" t="inlineStr">
        <is>
          <t>Insumo</t>
        </is>
      </c>
      <c r="C2422" s="10" t="inlineStr">
        <is>
          <t>Revestimento de parede em Porcelanato Portobello –  90x90 - Padrão Alto</t>
        </is>
      </c>
      <c r="D2422" s="10" t="inlineStr">
        <is>
          <t>Argamassa ACIII</t>
        </is>
      </c>
      <c r="E2422" s="11">
        <f t="array" ref="E2422">_xlfn.XLOOKUP(D2422,Insumos!B:B,Insumos!C:$C)</f>
        <v/>
      </c>
      <c r="F2422" s="14" t="n">
        <v>8.800000000000001</v>
      </c>
      <c r="G2422" s="92">
        <f t="array" ref="G2422">IF(B2422="insumo",_xlfn.XLOOKUP($D2422,Insumos!$B$1:$B$996,Insumos!$D$1:$D$996),"")</f>
        <v/>
      </c>
      <c r="H2422" s="92" t="n">
        <v>9.367599999999999</v>
      </c>
      <c r="I2422" s="2162" t="e">
        <v>#REF!</v>
      </c>
      <c r="J2422" s="2162" t="e">
        <v>#REF!</v>
      </c>
      <c r="K2422" s="2162" t="n"/>
    </row>
    <row r="2423" outlineLevel="3" ht="15.75" customHeight="1">
      <c r="A2423" s="10" t="n">
        <v>142</v>
      </c>
      <c r="B2423" s="10" t="inlineStr">
        <is>
          <t>Insumo</t>
        </is>
      </c>
      <c r="C2423" s="10" t="inlineStr">
        <is>
          <t>Revestimento de parede em Porcelanato Portobello –  90x90 - Padrão Alto</t>
        </is>
      </c>
      <c r="D2423" s="10" t="inlineStr">
        <is>
          <t>Espeçador junta piso 2mm</t>
        </is>
      </c>
      <c r="E2423" s="11">
        <f t="array" ref="E2423">_xlfn.XLOOKUP(D2423,Insumos!B:B,Insumos!C:$C)</f>
        <v/>
      </c>
      <c r="F2423" s="14" t="n">
        <v>1</v>
      </c>
      <c r="G2423" s="92">
        <f t="array" ref="G2423">IF(B2423="insumo",_xlfn.XLOOKUP($D2423,Insumos!$B$1:$B$996,Insumos!$D$1:$D$996),"")</f>
        <v/>
      </c>
      <c r="H2423" s="92" t="n">
        <v>0.08</v>
      </c>
      <c r="I2423" s="2162" t="e">
        <v>#REF!</v>
      </c>
      <c r="J2423" s="2162" t="e">
        <v>#REF!</v>
      </c>
      <c r="K2423" s="2162" t="n"/>
    </row>
    <row r="2424" outlineLevel="3" ht="15.75" customHeight="1">
      <c r="A2424" s="10" t="n">
        <v>36</v>
      </c>
      <c r="B2424" s="10" t="inlineStr">
        <is>
          <t>Insumo</t>
        </is>
      </c>
      <c r="C2424" s="82" t="inlineStr">
        <is>
          <t>Revestimento de parede em Porcelanato Portobello –  90x90 - Padrão Alto</t>
        </is>
      </c>
      <c r="D2424" s="82" t="inlineStr">
        <is>
          <t>Rejunte Acrilico cinza platina</t>
        </is>
      </c>
      <c r="E2424" s="11">
        <f t="array" ref="E2424">_xlfn.XLOOKUP(D2424,Insumos!B:B,Insumos!C:$C)</f>
        <v/>
      </c>
      <c r="F2424" s="14" t="n">
        <v>0.01</v>
      </c>
      <c r="G2424" s="92">
        <f t="array" ref="G2424">IF(B2424="insumo",_xlfn.XLOOKUP($D2424,Insumos!$B$1:$B$996,Insumos!$D$1:$D$996),"")</f>
        <v/>
      </c>
      <c r="H2424" s="92" t="n">
        <v>0.38</v>
      </c>
      <c r="I2424" s="2162" t="e">
        <v>#REF!</v>
      </c>
      <c r="J2424" s="2162" t="e">
        <v>#REF!</v>
      </c>
      <c r="K2424" s="2162" t="n"/>
    </row>
    <row r="2425" outlineLevel="2" ht="15.75" customHeight="1">
      <c r="A2425" s="1067" t="n">
        <v>1</v>
      </c>
      <c r="B2425" s="1067" t="inlineStr">
        <is>
          <t>Serviço</t>
        </is>
      </c>
      <c r="C2425" s="1067" t="inlineStr">
        <is>
          <t>Revestimento de parede em Porcelanato Portobello –  90x90 - Padrão Econômico</t>
        </is>
      </c>
      <c r="D2425" s="1067" t="inlineStr">
        <is>
          <t>Revestimento de parede em Porcelanato Portobello –  90x90 - Padrão Econômico</t>
        </is>
      </c>
      <c r="E2425" s="1068" t="inlineStr">
        <is>
          <t>M2</t>
        </is>
      </c>
      <c r="F2425" s="1067" t="n"/>
      <c r="G2425" s="1069">
        <f t="array" ref="G2425">IF(B2425="insumo",_xlfn.XLOOKUP($D2425,Insumos!$B$1:$B$996,Insumos!$D$1:$D$996),"")</f>
        <v/>
      </c>
      <c r="H2425" s="1069" t="n">
        <v>117.6276</v>
      </c>
      <c r="I2425" s="2161" t="n">
        <v>0</v>
      </c>
      <c r="J2425" s="2161" t="n">
        <v>0</v>
      </c>
      <c r="K2425" s="2161" t="n"/>
    </row>
    <row r="2426" outlineLevel="3" ht="15.75" customHeight="1">
      <c r="A2426" s="10" t="n">
        <v>2</v>
      </c>
      <c r="B2426" s="10" t="inlineStr">
        <is>
          <t>Insumo</t>
        </is>
      </c>
      <c r="C2426" s="10" t="inlineStr">
        <is>
          <t>Revestimento de parede em Porcelanato Portobello –  90x90 - Padrão Econômico</t>
        </is>
      </c>
      <c r="D2426" s="10" t="inlineStr">
        <is>
          <t>Porcelanato Portobello –  90x90 - Padrão Econômico</t>
        </is>
      </c>
      <c r="E2426" s="11">
        <f t="array" ref="E2426">_xlfn.XLOOKUP(D2426,Insumos!B:B,Insumos!C:$C)</f>
        <v/>
      </c>
      <c r="F2426" s="14" t="n">
        <v>1.1</v>
      </c>
      <c r="G2426" s="92">
        <f t="array" ref="G2426">IF(B2426="insumo",_xlfn.XLOOKUP($D2426,Insumos!$B$1:$B$996,Insumos!$D$1:$D$996),"")</f>
        <v/>
      </c>
      <c r="H2426" s="92" t="n">
        <v>107.8</v>
      </c>
      <c r="I2426" s="2162" t="n">
        <v>0</v>
      </c>
      <c r="J2426" s="2162" t="n">
        <v>0</v>
      </c>
      <c r="K2426" s="2162" t="n"/>
    </row>
    <row r="2427" outlineLevel="3" ht="15.75" customHeight="1">
      <c r="A2427" s="10" t="n">
        <v>191</v>
      </c>
      <c r="B2427" s="10" t="inlineStr">
        <is>
          <t>Insumo</t>
        </is>
      </c>
      <c r="C2427" s="10" t="inlineStr">
        <is>
          <t>Revestimento de parede em Porcelanato Portobello –  90x90 - Padrão Econômico</t>
        </is>
      </c>
      <c r="D2427" s="10" t="inlineStr">
        <is>
          <t>Argamassa ACIII</t>
        </is>
      </c>
      <c r="E2427" s="11">
        <f t="array" ref="E2427">_xlfn.XLOOKUP(D2427,Insumos!B:B,Insumos!C:$C)</f>
        <v/>
      </c>
      <c r="F2427" s="14" t="n">
        <v>8.800000000000001</v>
      </c>
      <c r="G2427" s="92">
        <f t="array" ref="G2427">IF(B2427="insumo",_xlfn.XLOOKUP($D2427,Insumos!$B$1:$B$996,Insumos!$D$1:$D$996),"")</f>
        <v/>
      </c>
      <c r="H2427" s="92" t="n">
        <v>9.367599999999999</v>
      </c>
      <c r="I2427" s="2162" t="n">
        <v>0</v>
      </c>
      <c r="J2427" s="2162" t="n">
        <v>0</v>
      </c>
      <c r="K2427" s="2162" t="n"/>
    </row>
    <row r="2428" outlineLevel="3" ht="15.75" customHeight="1">
      <c r="A2428" s="10" t="n">
        <v>142</v>
      </c>
      <c r="B2428" s="10" t="inlineStr">
        <is>
          <t>Insumo</t>
        </is>
      </c>
      <c r="C2428" s="10" t="inlineStr">
        <is>
          <t>Revestimento de parede em Porcelanato Portobello –  90x90 - Padrão Econômico</t>
        </is>
      </c>
      <c r="D2428" s="10" t="inlineStr">
        <is>
          <t>Espeçador junta piso 2mm</t>
        </is>
      </c>
      <c r="E2428" s="11">
        <f t="array" ref="E2428">_xlfn.XLOOKUP(D2428,Insumos!B:B,Insumos!C:$C)</f>
        <v/>
      </c>
      <c r="F2428" s="14" t="n">
        <v>1</v>
      </c>
      <c r="G2428" s="92">
        <f t="array" ref="G2428">IF(B2428="insumo",_xlfn.XLOOKUP($D2428,Insumos!$B$1:$B$996,Insumos!$D$1:$D$996),"")</f>
        <v/>
      </c>
      <c r="H2428" s="92" t="n">
        <v>0.08</v>
      </c>
      <c r="I2428" s="2162" t="n">
        <v>0</v>
      </c>
      <c r="J2428" s="2162" t="n">
        <v>0</v>
      </c>
      <c r="K2428" s="2162" t="n"/>
    </row>
    <row r="2429" outlineLevel="3" ht="15.75" customHeight="1">
      <c r="A2429" s="10" t="n">
        <v>36</v>
      </c>
      <c r="B2429" s="10" t="inlineStr">
        <is>
          <t>Insumo</t>
        </is>
      </c>
      <c r="C2429" s="82" t="inlineStr">
        <is>
          <t>Revestimento de parede em Porcelanato Portobello –  90x90 - Padrão Econômico</t>
        </is>
      </c>
      <c r="D2429" s="82" t="inlineStr">
        <is>
          <t>Rejunte Acrilico cinza platina</t>
        </is>
      </c>
      <c r="E2429" s="11">
        <f t="array" ref="E2429">_xlfn.XLOOKUP(D2429,Insumos!B:B,Insumos!C:$C)</f>
        <v/>
      </c>
      <c r="F2429" s="14" t="n">
        <v>0.01</v>
      </c>
      <c r="G2429" s="92">
        <f t="array" ref="G2429">IF(B2429="insumo",_xlfn.XLOOKUP($D2429,Insumos!$B$1:$B$996,Insumos!$D$1:$D$996),"")</f>
        <v/>
      </c>
      <c r="H2429" s="92" t="n">
        <v>0.38</v>
      </c>
      <c r="I2429" s="2162" t="n">
        <v>0</v>
      </c>
      <c r="J2429" s="2162" t="n">
        <v>0</v>
      </c>
      <c r="K2429" s="2162" t="n"/>
    </row>
    <row r="2430" outlineLevel="2" ht="15.75" customHeight="1">
      <c r="A2430" s="1067" t="n">
        <v>1</v>
      </c>
      <c r="B2430" s="1067" t="inlineStr">
        <is>
          <t>Serviço</t>
        </is>
      </c>
      <c r="C2430" s="1067" t="inlineStr">
        <is>
          <t>Revestimento de parede em Porcelanato Marmorizado Polido Borda Reta Interno 90x90cm Avorio di Brescia Portobello</t>
        </is>
      </c>
      <c r="D2430" s="1067" t="inlineStr">
        <is>
          <t>Revestimento de parede em Porcelanato Marmorizado Polido Borda Reta Interno 90x90cm Avorio di Brescia Portobello</t>
        </is>
      </c>
      <c r="E2430" s="1068" t="inlineStr">
        <is>
          <t>M2</t>
        </is>
      </c>
      <c r="F2430" s="1067" t="n"/>
      <c r="G2430" s="1069">
        <f t="array" ref="G2430">IF(B2430="insumo",_xlfn.XLOOKUP($D2430,Insumos!$B$1:$B$996,Insumos!$D$1:$D$996),"")</f>
        <v/>
      </c>
      <c r="H2430" s="1069" t="n">
        <v>231.7701</v>
      </c>
      <c r="I2430" s="2161" t="n">
        <v>0</v>
      </c>
      <c r="J2430" s="2161" t="n">
        <v>0</v>
      </c>
      <c r="K2430" s="2161" t="n"/>
    </row>
    <row r="2431" outlineLevel="3" ht="15.75" customHeight="1">
      <c r="A2431" s="10" t="n">
        <v>1</v>
      </c>
      <c r="B2431" s="10" t="inlineStr">
        <is>
          <t>Insumo</t>
        </is>
      </c>
      <c r="C2431" s="10" t="inlineStr">
        <is>
          <t>Revestimento de parede em Porcelanato Marmorizado Polido Borda Reta Interno 90x90cm Avorio di Brescia Portobello</t>
        </is>
      </c>
      <c r="D2431" s="10" t="inlineStr">
        <is>
          <t>Porcelanato Marmorizado Polido Borda Reta Interno 90x90cm Avorio di Brescia Portobello</t>
        </is>
      </c>
      <c r="E2431" s="11">
        <f t="array" ref="E2431">_xlfn.XLOOKUP(D2431,Insumos!B:B,Insumos!C:$C)</f>
        <v/>
      </c>
      <c r="F2431" s="14" t="n">
        <v>1.1</v>
      </c>
      <c r="G2431" s="92">
        <f t="array" ref="G2431">IF(B2431="insumo",_xlfn.XLOOKUP($D2431,Insumos!$B$1:$B$996,Insumos!$D$1:$D$996),"")</f>
        <v/>
      </c>
      <c r="H2431" s="92" t="n">
        <v>222.211</v>
      </c>
      <c r="I2431" s="2162" t="n">
        <v>0</v>
      </c>
      <c r="J2431" s="2162" t="n">
        <v>0</v>
      </c>
      <c r="K2431" s="2162" t="n"/>
    </row>
    <row r="2432" outlineLevel="3" ht="15.75" customHeight="1">
      <c r="A2432" s="10" t="n">
        <v>191</v>
      </c>
      <c r="B2432" s="10" t="inlineStr">
        <is>
          <t>Insumo</t>
        </is>
      </c>
      <c r="C2432" s="10" t="inlineStr">
        <is>
          <t>Revestimento de parede em Porcelanato Marmorizado Polido Borda Reta Interno 90x90cm Avorio di Brescia Portobello</t>
        </is>
      </c>
      <c r="D2432" s="10" t="inlineStr">
        <is>
          <t>Argamassa ACIII</t>
        </is>
      </c>
      <c r="E2432" s="11">
        <f t="array" ref="E2432">_xlfn.XLOOKUP(D2432,Insumos!B:B,Insumos!C:$C)</f>
        <v/>
      </c>
      <c r="F2432" s="14" t="n">
        <v>8.800000000000001</v>
      </c>
      <c r="G2432" s="92">
        <f t="array" ref="G2432">IF(B2432="insumo",_xlfn.XLOOKUP($D2432,Insumos!$B$1:$B$996,Insumos!$D$1:$D$996),"")</f>
        <v/>
      </c>
      <c r="H2432" s="92" t="n">
        <v>9.367599999999999</v>
      </c>
      <c r="I2432" s="2162" t="n">
        <v>0</v>
      </c>
      <c r="J2432" s="2162" t="n">
        <v>0</v>
      </c>
      <c r="K2432" s="2162" t="n"/>
    </row>
    <row r="2433" outlineLevel="3" ht="15.75" customHeight="1">
      <c r="A2433" s="10" t="n">
        <v>142</v>
      </c>
      <c r="B2433" s="10" t="inlineStr">
        <is>
          <t>Insumo</t>
        </is>
      </c>
      <c r="C2433" s="10" t="inlineStr">
        <is>
          <t>Revestimento de parede em Porcelanato Marmorizado Polido Borda Reta Interno 90x90cm Avorio di Brescia Portobello</t>
        </is>
      </c>
      <c r="D2433" s="10" t="inlineStr">
        <is>
          <t>Espeçador junta piso 2mm</t>
        </is>
      </c>
      <c r="E2433" s="11">
        <f t="array" ref="E2433">_xlfn.XLOOKUP(D2433,Insumos!B:B,Insumos!C:$C)</f>
        <v/>
      </c>
      <c r="F2433" s="14" t="n">
        <v>1</v>
      </c>
      <c r="G2433" s="92">
        <f t="array" ref="G2433">IF(B2433="insumo",_xlfn.XLOOKUP($D2433,Insumos!$B$1:$B$996,Insumos!$D$1:$D$996),"")</f>
        <v/>
      </c>
      <c r="H2433" s="92" t="n">
        <v>0.08</v>
      </c>
      <c r="I2433" s="2162" t="n">
        <v>0</v>
      </c>
      <c r="J2433" s="2162" t="n">
        <v>0</v>
      </c>
      <c r="K2433" s="2162" t="n"/>
    </row>
    <row r="2434" outlineLevel="3" ht="15.75" customHeight="1">
      <c r="A2434" s="10" t="n">
        <v>101</v>
      </c>
      <c r="B2434" s="10" t="inlineStr">
        <is>
          <t>Insumo</t>
        </is>
      </c>
      <c r="C2434" s="10" t="inlineStr">
        <is>
          <t>Revestimento de parede em Porcelanato Marmorizado Polido Borda Reta Interno 90x90cm Avorio di Brescia Portobello</t>
        </is>
      </c>
      <c r="D2434" s="10" t="inlineStr">
        <is>
          <t>Rejunte Cimentício</t>
        </is>
      </c>
      <c r="E2434" s="11">
        <f t="array" ref="E2434">_xlfn.XLOOKUP(D2434,Insumos!B:B,Insumos!C:$C)</f>
        <v/>
      </c>
      <c r="F2434" s="14" t="n">
        <v>0.01</v>
      </c>
      <c r="G2434" s="92">
        <f t="array" ref="G2434">IF(B2434="insumo",_xlfn.XLOOKUP($D2434,Insumos!$B$1:$B$996,Insumos!$D$1:$D$996),"")</f>
        <v/>
      </c>
      <c r="H2434" s="92" t="n">
        <v>0.1115</v>
      </c>
      <c r="I2434" s="2162" t="n">
        <v>0</v>
      </c>
      <c r="J2434" s="2162" t="n">
        <v>0</v>
      </c>
      <c r="K2434" s="2162" t="n"/>
    </row>
    <row r="2435" outlineLevel="2" ht="15.75" customHeight="1">
      <c r="A2435" s="1067" t="n">
        <v>1</v>
      </c>
      <c r="B2435" s="1067" t="inlineStr">
        <is>
          <t>Serviço</t>
        </is>
      </c>
      <c r="C2435" s="1067" t="inlineStr">
        <is>
          <t>Revestimento em Paredes,  Porcelanato Superquadra Cru 60X120 Nat Ret</t>
        </is>
      </c>
      <c r="D2435" s="1067" t="inlineStr">
        <is>
          <t>Revestimento em Paredes,  Porcelanato Superquadra Cru 60X120 Nat Ret</t>
        </is>
      </c>
      <c r="E2435" s="1068" t="inlineStr">
        <is>
          <t>M2</t>
        </is>
      </c>
      <c r="F2435" s="1067" t="n"/>
      <c r="G2435" s="1069">
        <f t="array" ref="G2435">IF(B2435="insumo",_xlfn.XLOOKUP($D2435,Insumos!$B$1:$B$996,Insumos!$D$1:$D$996),"")</f>
        <v/>
      </c>
      <c r="H2435" s="1069" t="n">
        <v>131.1091</v>
      </c>
      <c r="I2435" s="2161" t="n">
        <v>0</v>
      </c>
      <c r="J2435" s="2161" t="n">
        <v>0</v>
      </c>
      <c r="K2435" s="2161" t="n"/>
    </row>
    <row r="2436" outlineLevel="3" ht="15.75" customHeight="1">
      <c r="A2436" s="10" t="n">
        <v>3</v>
      </c>
      <c r="B2436" s="10" t="inlineStr">
        <is>
          <t>Insumo</t>
        </is>
      </c>
      <c r="C2436" s="10" t="inlineStr">
        <is>
          <t>Revestimento em Paredes,  Porcelanato Superquadra Cru 60X120 Nat Ret</t>
        </is>
      </c>
      <c r="D2436" s="10" t="inlineStr">
        <is>
          <t>Porcelanato Superquadra Cru 60X120 Nat Ret</t>
        </is>
      </c>
      <c r="E2436" s="11">
        <f t="array" ref="E2436">_xlfn.XLOOKUP(D2436,Insumos!B:B,Insumos!C:$C)</f>
        <v/>
      </c>
      <c r="F2436" s="14" t="n">
        <v>1.1</v>
      </c>
      <c r="G2436" s="92">
        <f t="array" ref="G2436">IF(B2436="insumo",_xlfn.XLOOKUP($D2436,Insumos!$B$1:$B$996,Insumos!$D$1:$D$996),"")</f>
        <v/>
      </c>
      <c r="H2436" s="92" t="n">
        <v>121.55</v>
      </c>
      <c r="I2436" s="2162" t="n">
        <v>0</v>
      </c>
      <c r="J2436" s="2162" t="n">
        <v>0</v>
      </c>
      <c r="K2436" s="2162" t="n"/>
    </row>
    <row r="2437" outlineLevel="3" ht="15.75" customHeight="1">
      <c r="A2437" s="10" t="n">
        <v>191</v>
      </c>
      <c r="B2437" s="10" t="inlineStr">
        <is>
          <t>Insumo</t>
        </is>
      </c>
      <c r="C2437" s="10" t="inlineStr">
        <is>
          <t>Revestimento em Paredes,  Porcelanato Superquadra Cru 60X120 Nat Ret</t>
        </is>
      </c>
      <c r="D2437" s="10" t="inlineStr">
        <is>
          <t>Argamassa ACIII</t>
        </is>
      </c>
      <c r="E2437" s="11">
        <f t="array" ref="E2437">_xlfn.XLOOKUP(D2437,Insumos!B:B,Insumos!C:$C)</f>
        <v/>
      </c>
      <c r="F2437" s="14" t="n">
        <v>8.800000000000001</v>
      </c>
      <c r="G2437" s="92">
        <f t="array" ref="G2437">IF(B2437="insumo",_xlfn.XLOOKUP($D2437,Insumos!$B$1:$B$996,Insumos!$D$1:$D$996),"")</f>
        <v/>
      </c>
      <c r="H2437" s="92" t="n">
        <v>9.367599999999999</v>
      </c>
      <c r="I2437" s="2162" t="n">
        <v>0</v>
      </c>
      <c r="J2437" s="2162" t="n">
        <v>0</v>
      </c>
      <c r="K2437" s="2162" t="n"/>
    </row>
    <row r="2438" outlineLevel="3" ht="15.75" customHeight="1">
      <c r="A2438" s="10" t="n">
        <v>142</v>
      </c>
      <c r="B2438" s="10" t="inlineStr">
        <is>
          <t>Insumo</t>
        </is>
      </c>
      <c r="C2438" s="10" t="inlineStr">
        <is>
          <t>Revestimento em Paredes,  Porcelanato Superquadra Cru 60X120 Nat Ret</t>
        </is>
      </c>
      <c r="D2438" s="10" t="inlineStr">
        <is>
          <t>Espeçador junta piso 2mm</t>
        </is>
      </c>
      <c r="E2438" s="11">
        <f t="array" ref="E2438">_xlfn.XLOOKUP(D2438,Insumos!B:B,Insumos!C:$C)</f>
        <v/>
      </c>
      <c r="F2438" s="14" t="n">
        <v>1</v>
      </c>
      <c r="G2438" s="92">
        <f t="array" ref="G2438">IF(B2438="insumo",_xlfn.XLOOKUP($D2438,Insumos!$B$1:$B$996,Insumos!$D$1:$D$996),"")</f>
        <v/>
      </c>
      <c r="H2438" s="92" t="n">
        <v>0.08</v>
      </c>
      <c r="I2438" s="2162" t="n">
        <v>0</v>
      </c>
      <c r="J2438" s="2162" t="n">
        <v>0</v>
      </c>
      <c r="K2438" s="2162" t="n"/>
    </row>
    <row r="2439" outlineLevel="3" ht="15.75" customHeight="1">
      <c r="A2439" s="10" t="n">
        <v>101</v>
      </c>
      <c r="B2439" s="10" t="inlineStr">
        <is>
          <t>Insumo</t>
        </is>
      </c>
      <c r="C2439" s="10" t="inlineStr">
        <is>
          <t>Revestimento em Paredes,  Porcelanato Superquadra Cru 60X120 Nat Ret</t>
        </is>
      </c>
      <c r="D2439" s="10" t="inlineStr">
        <is>
          <t>Rejunte Cimentício</t>
        </is>
      </c>
      <c r="E2439" s="11">
        <f t="array" ref="E2439">_xlfn.XLOOKUP(D2439,Insumos!B:B,Insumos!C:$C)</f>
        <v/>
      </c>
      <c r="F2439" s="14" t="n">
        <v>0.01</v>
      </c>
      <c r="G2439" s="92">
        <f t="array" ref="G2439">IF(B2439="insumo",_xlfn.XLOOKUP($D2439,Insumos!$B$1:$B$996,Insumos!$D$1:$D$996),"")</f>
        <v/>
      </c>
      <c r="H2439" s="92" t="n">
        <v>0.1115</v>
      </c>
      <c r="I2439" s="2162" t="n">
        <v>0</v>
      </c>
      <c r="J2439" s="2162" t="n">
        <v>0</v>
      </c>
      <c r="K2439" s="2162" t="n"/>
    </row>
    <row r="2440" outlineLevel="2" ht="15.75" customHeight="1">
      <c r="A2440" s="1067" t="n">
        <v>1</v>
      </c>
      <c r="B2440" s="1067" t="inlineStr">
        <is>
          <t>Serviço</t>
        </is>
      </c>
      <c r="C2440" s="1067" t="inlineStr">
        <is>
          <t>Revestimento em Paredes,  Porcelanato Superquadra 60X120 - Portobelo</t>
        </is>
      </c>
      <c r="D2440" s="1067" t="inlineStr">
        <is>
          <t>Revestimento em Paredes,  Porcelanato Superquadra 60X120 - Portobelo</t>
        </is>
      </c>
      <c r="E2440" s="1068" t="inlineStr">
        <is>
          <t>M2</t>
        </is>
      </c>
      <c r="F2440" s="1067" t="n"/>
      <c r="G2440" s="1069">
        <f t="array" ref="G2440">IF(B2440="insumo",_xlfn.XLOOKUP($D2440,Insumos!$B$1:$B$996,Insumos!$D$1:$D$996),"")</f>
        <v/>
      </c>
      <c r="H2440" s="1069" t="n">
        <v>131.1091</v>
      </c>
      <c r="I2440" s="2161" t="n">
        <v>0</v>
      </c>
      <c r="J2440" s="2161" t="n">
        <v>0</v>
      </c>
      <c r="K2440" s="2161" t="n"/>
    </row>
    <row r="2441" outlineLevel="3" ht="15.75" customHeight="1">
      <c r="A2441" s="10" t="n">
        <v>1</v>
      </c>
      <c r="B2441" s="10" t="inlineStr">
        <is>
          <t>Insumo</t>
        </is>
      </c>
      <c r="C2441" s="10" t="inlineStr">
        <is>
          <t>Revestimento em Paredes,  Porcelanato Superquadra 60X120 - Portobelo</t>
        </is>
      </c>
      <c r="D2441" s="10" t="inlineStr">
        <is>
          <t>Porcelanato Superquadra 60X120 - Portobelo</t>
        </is>
      </c>
      <c r="E2441" s="11">
        <f t="array" ref="E2441">_xlfn.XLOOKUP(D2441,Insumos!B:B,Insumos!C:$C)</f>
        <v/>
      </c>
      <c r="F2441" s="14" t="n">
        <v>1.1</v>
      </c>
      <c r="G2441" s="92">
        <f t="array" ref="G2441">IF(B2441="insumo",_xlfn.XLOOKUP($D2441,Insumos!$B$1:$B$996,Insumos!$D$1:$D$996),"")</f>
        <v/>
      </c>
      <c r="H2441" s="92" t="n">
        <v>121.55</v>
      </c>
      <c r="I2441" s="2162" t="n">
        <v>0</v>
      </c>
      <c r="J2441" s="2162" t="n">
        <v>0</v>
      </c>
      <c r="K2441" s="2162" t="n"/>
    </row>
    <row r="2442" outlineLevel="3" ht="15.75" customHeight="1">
      <c r="A2442" s="10" t="n">
        <v>191</v>
      </c>
      <c r="B2442" s="10" t="inlineStr">
        <is>
          <t>Insumo</t>
        </is>
      </c>
      <c r="C2442" s="10" t="inlineStr">
        <is>
          <t>Revestimento em Paredes,  Porcelanato Superquadra 60X120 - Portobelo</t>
        </is>
      </c>
      <c r="D2442" s="10" t="inlineStr">
        <is>
          <t>Argamassa ACIII</t>
        </is>
      </c>
      <c r="E2442" s="11">
        <f t="array" ref="E2442">_xlfn.XLOOKUP(D2442,Insumos!B:B,Insumos!C:$C)</f>
        <v/>
      </c>
      <c r="F2442" s="14" t="n">
        <v>8.800000000000001</v>
      </c>
      <c r="G2442" s="92">
        <f t="array" ref="G2442">IF(B2442="insumo",_xlfn.XLOOKUP($D2442,Insumos!$B$1:$B$996,Insumos!$D$1:$D$996),"")</f>
        <v/>
      </c>
      <c r="H2442" s="92" t="n">
        <v>9.367599999999999</v>
      </c>
      <c r="I2442" s="2162" t="n">
        <v>0</v>
      </c>
      <c r="J2442" s="2162" t="n">
        <v>0</v>
      </c>
      <c r="K2442" s="2162" t="n"/>
    </row>
    <row r="2443" outlineLevel="3" ht="15.75" customHeight="1">
      <c r="A2443" s="10" t="n">
        <v>142</v>
      </c>
      <c r="B2443" s="10" t="inlineStr">
        <is>
          <t>Insumo</t>
        </is>
      </c>
      <c r="C2443" s="10" t="inlineStr">
        <is>
          <t>Revestimento em Paredes,  Porcelanato Superquadra 60X120 - Portobelo</t>
        </is>
      </c>
      <c r="D2443" s="10" t="inlineStr">
        <is>
          <t>Espeçador junta piso 2mm</t>
        </is>
      </c>
      <c r="E2443" s="11">
        <f t="array" ref="E2443">_xlfn.XLOOKUP(D2443,Insumos!B:B,Insumos!C:$C)</f>
        <v/>
      </c>
      <c r="F2443" s="14" t="n">
        <v>1</v>
      </c>
      <c r="G2443" s="92">
        <f t="array" ref="G2443">IF(B2443="insumo",_xlfn.XLOOKUP($D2443,Insumos!$B$1:$B$996,Insumos!$D$1:$D$996),"")</f>
        <v/>
      </c>
      <c r="H2443" s="92" t="n">
        <v>0.08</v>
      </c>
      <c r="I2443" s="2162" t="n">
        <v>0</v>
      </c>
      <c r="J2443" s="2162" t="n">
        <v>0</v>
      </c>
      <c r="K2443" s="2162" t="n"/>
    </row>
    <row r="2444" outlineLevel="3" ht="15.75" customHeight="1">
      <c r="A2444" s="10" t="n">
        <v>101</v>
      </c>
      <c r="B2444" s="10" t="inlineStr">
        <is>
          <t>Insumo</t>
        </is>
      </c>
      <c r="C2444" s="10" t="inlineStr">
        <is>
          <t>Revestimento em Paredes,  Porcelanato Superquadra 60X120 - Portobelo</t>
        </is>
      </c>
      <c r="D2444" s="10" t="inlineStr">
        <is>
          <t>Rejunte Cimentício</t>
        </is>
      </c>
      <c r="E2444" s="11">
        <f t="array" ref="E2444">_xlfn.XLOOKUP(D2444,Insumos!B:B,Insumos!C:$C)</f>
        <v/>
      </c>
      <c r="F2444" s="14" t="n">
        <v>0.01</v>
      </c>
      <c r="G2444" s="92">
        <f t="array" ref="G2444">IF(B2444="insumo",_xlfn.XLOOKUP($D2444,Insumos!$B$1:$B$996,Insumos!$D$1:$D$996),"")</f>
        <v/>
      </c>
      <c r="H2444" s="92" t="n">
        <v>0.1115</v>
      </c>
      <c r="I2444" s="2162" t="n">
        <v>0</v>
      </c>
      <c r="J2444" s="2162" t="n">
        <v>0</v>
      </c>
      <c r="K2444" s="2162" t="n"/>
    </row>
    <row r="2445" outlineLevel="2" ht="15.75" customHeight="1">
      <c r="A2445" s="1067" t="n">
        <v>1</v>
      </c>
      <c r="B2445" s="1067" t="inlineStr">
        <is>
          <t>Serviço</t>
        </is>
      </c>
      <c r="C2445" s="1067" t="inlineStr">
        <is>
          <t>Revestimento em Paredes,  Porcelanato Ártico Alpe 60X120Cm Ret. Ac. Eliane</t>
        </is>
      </c>
      <c r="D2445" s="1067" t="inlineStr">
        <is>
          <t>Revestimento em Paredes,  Porcelanato Ártico Alpe 60X120Cm Ret. Ac. Eliane</t>
        </is>
      </c>
      <c r="E2445" s="1068" t="inlineStr">
        <is>
          <t>M2</t>
        </is>
      </c>
      <c r="F2445" s="1067" t="n"/>
      <c r="G2445" s="1069">
        <f t="array" ref="G2445">IF(B2445="insumo",_xlfn.XLOOKUP($D2445,Insumos!$B$1:$B$996,Insumos!$D$1:$D$996),"")</f>
        <v/>
      </c>
      <c r="H2445" s="1069" t="n">
        <v>83.1491</v>
      </c>
      <c r="I2445" s="2161" t="n">
        <v>0</v>
      </c>
      <c r="J2445" s="2161" t="n">
        <v>0</v>
      </c>
      <c r="K2445" s="2161" t="n"/>
    </row>
    <row r="2446" outlineLevel="3" ht="15.75" customHeight="1">
      <c r="A2446" s="10" t="n">
        <v>1</v>
      </c>
      <c r="B2446" s="10" t="inlineStr">
        <is>
          <t>Insumo</t>
        </is>
      </c>
      <c r="C2446" s="10" t="inlineStr">
        <is>
          <t>Revestimento em Paredes,  Porcelanato Ártico Alpe 60X120Cm Ret. Ac. Eliane</t>
        </is>
      </c>
      <c r="D2446" s="10" t="inlineStr">
        <is>
          <t>Porcelanato Ártico Alpe 60X120Cm Ret. Ac. Eliane</t>
        </is>
      </c>
      <c r="E2446" s="11">
        <f t="array" ref="E2446">_xlfn.XLOOKUP(D2446,Insumos!B:B,Insumos!C:$C)</f>
        <v/>
      </c>
      <c r="F2446" s="14" t="n">
        <v>1.1</v>
      </c>
      <c r="G2446" s="92">
        <f t="array" ref="G2446">IF(B2446="insumo",_xlfn.XLOOKUP($D2446,Insumos!$B$1:$B$996,Insumos!$D$1:$D$996),"")</f>
        <v/>
      </c>
      <c r="H2446" s="92" t="n">
        <v>73.59</v>
      </c>
      <c r="I2446" s="2162" t="n">
        <v>0</v>
      </c>
      <c r="J2446" s="2162" t="n">
        <v>0</v>
      </c>
      <c r="K2446" s="2162" t="n"/>
    </row>
    <row r="2447" outlineLevel="3" ht="15.75" customHeight="1">
      <c r="A2447" s="10" t="n">
        <v>191</v>
      </c>
      <c r="B2447" s="10" t="inlineStr">
        <is>
          <t>Insumo</t>
        </is>
      </c>
      <c r="C2447" s="10" t="inlineStr">
        <is>
          <t>Revestimento em Paredes,  Porcelanato Ártico Alpe 60X120Cm Ret. Ac. Eliane</t>
        </is>
      </c>
      <c r="D2447" s="10" t="inlineStr">
        <is>
          <t>Argamassa ACIII</t>
        </is>
      </c>
      <c r="E2447" s="11">
        <f t="array" ref="E2447">_xlfn.XLOOKUP(D2447,Insumos!B:B,Insumos!C:$C)</f>
        <v/>
      </c>
      <c r="F2447" s="14" t="n">
        <v>8.800000000000001</v>
      </c>
      <c r="G2447" s="92">
        <f t="array" ref="G2447">IF(B2447="insumo",_xlfn.XLOOKUP($D2447,Insumos!$B$1:$B$996,Insumos!$D$1:$D$996),"")</f>
        <v/>
      </c>
      <c r="H2447" s="92" t="n">
        <v>9.367599999999999</v>
      </c>
      <c r="I2447" s="2162" t="n">
        <v>0</v>
      </c>
      <c r="J2447" s="2162" t="n">
        <v>0</v>
      </c>
      <c r="K2447" s="2162" t="n"/>
    </row>
    <row r="2448" outlineLevel="3" ht="15.75" customHeight="1">
      <c r="A2448" s="10" t="n">
        <v>142</v>
      </c>
      <c r="B2448" s="10" t="inlineStr">
        <is>
          <t>Insumo</t>
        </is>
      </c>
      <c r="C2448" s="10" t="inlineStr">
        <is>
          <t>Revestimento em Paredes,  Porcelanato Ártico Alpe 60X120Cm Ret. Ac. Eliane</t>
        </is>
      </c>
      <c r="D2448" s="10" t="inlineStr">
        <is>
          <t>Espeçador junta piso 2mm</t>
        </is>
      </c>
      <c r="E2448" s="11">
        <f t="array" ref="E2448">_xlfn.XLOOKUP(D2448,Insumos!B:B,Insumos!C:$C)</f>
        <v/>
      </c>
      <c r="F2448" s="14" t="n">
        <v>1</v>
      </c>
      <c r="G2448" s="92">
        <f t="array" ref="G2448">IF(B2448="insumo",_xlfn.XLOOKUP($D2448,Insumos!$B$1:$B$996,Insumos!$D$1:$D$996),"")</f>
        <v/>
      </c>
      <c r="H2448" s="92" t="n">
        <v>0.08</v>
      </c>
      <c r="I2448" s="2162" t="n">
        <v>0</v>
      </c>
      <c r="J2448" s="2162" t="n">
        <v>0</v>
      </c>
      <c r="K2448" s="2162" t="n"/>
    </row>
    <row r="2449" outlineLevel="3" ht="15.75" customHeight="1">
      <c r="A2449" s="10" t="n">
        <v>101</v>
      </c>
      <c r="B2449" s="10" t="inlineStr">
        <is>
          <t>Insumo</t>
        </is>
      </c>
      <c r="C2449" s="10" t="inlineStr">
        <is>
          <t>Revestimento em Paredes,  Porcelanato Ártico Alpe 60X120Cm Ret. Ac. Eliane</t>
        </is>
      </c>
      <c r="D2449" s="10" t="inlineStr">
        <is>
          <t>Rejunte Cimentício</t>
        </is>
      </c>
      <c r="E2449" s="11">
        <f t="array" ref="E2449">_xlfn.XLOOKUP(D2449,Insumos!B:B,Insumos!C:$C)</f>
        <v/>
      </c>
      <c r="F2449" s="14" t="n">
        <v>0.01</v>
      </c>
      <c r="G2449" s="92">
        <f t="array" ref="G2449">IF(B2449="insumo",_xlfn.XLOOKUP($D2449,Insumos!$B$1:$B$996,Insumos!$D$1:$D$996),"")</f>
        <v/>
      </c>
      <c r="H2449" s="92" t="n">
        <v>0.1115</v>
      </c>
      <c r="I2449" s="2162" t="n">
        <v>0</v>
      </c>
      <c r="J2449" s="2162" t="n">
        <v>0</v>
      </c>
      <c r="K2449" s="2162" t="n"/>
    </row>
    <row r="2450" outlineLevel="2" ht="15.75" customHeight="1">
      <c r="A2450" s="1067" t="n">
        <v>1</v>
      </c>
      <c r="B2450" s="1067" t="inlineStr">
        <is>
          <t>Serviço</t>
        </is>
      </c>
      <c r="C2450" s="1067" t="inlineStr">
        <is>
          <t>Revestimento em Paredes,  Porcelanato Onyx Unique Ret. Acetinado 120X120Cm - Portobello</t>
        </is>
      </c>
      <c r="D2450" s="1067" t="inlineStr">
        <is>
          <t>Revestimento em Paredes,  Porcelanato Onyx Unique Ret. Acetinado 120X120Cm - Portobello</t>
        </is>
      </c>
      <c r="E2450" s="1068" t="inlineStr">
        <is>
          <t>M2</t>
        </is>
      </c>
      <c r="F2450" s="1067" t="n"/>
      <c r="G2450" s="1069">
        <f t="array" ref="G2450">IF(B2450="insumo",_xlfn.XLOOKUP($D2450,Insumos!$B$1:$B$996,Insumos!$D$1:$D$996),"")</f>
        <v/>
      </c>
      <c r="H2450" s="1069" t="n">
        <v>156.7391</v>
      </c>
      <c r="I2450" s="2161" t="n">
        <v>0</v>
      </c>
      <c r="J2450" s="2161" t="n">
        <v>0</v>
      </c>
      <c r="K2450" s="2161" t="n"/>
    </row>
    <row r="2451" outlineLevel="3" ht="15.75" customHeight="1">
      <c r="A2451" s="10" t="n">
        <v>2</v>
      </c>
      <c r="B2451" s="10" t="inlineStr">
        <is>
          <t>Insumo</t>
        </is>
      </c>
      <c r="C2451" s="10" t="inlineStr">
        <is>
          <t>Revestimento em Paredes,  Porcelanato Onyx Unique Ret. Acetinado 120X120Cm - Portobello</t>
        </is>
      </c>
      <c r="D2451" s="10" t="inlineStr">
        <is>
          <t>Porcelanato Onyx Unique Ret. Acetinado 120X120Cm - Portobello</t>
        </is>
      </c>
      <c r="E2451" s="11">
        <f t="array" ref="E2451">_xlfn.XLOOKUP(D2451,Insumos!B:B,Insumos!C:$C)</f>
        <v/>
      </c>
      <c r="F2451" s="14" t="n">
        <v>1.1</v>
      </c>
      <c r="G2451" s="92">
        <f t="array" ref="G2451">IF(B2451="insumo",_xlfn.XLOOKUP($D2451,Insumos!$B$1:$B$996,Insumos!$D$1:$D$996),"")</f>
        <v/>
      </c>
      <c r="H2451" s="92" t="n">
        <v>147.18</v>
      </c>
      <c r="I2451" s="2162" t="n">
        <v>0</v>
      </c>
      <c r="J2451" s="2162" t="n">
        <v>0</v>
      </c>
      <c r="K2451" s="2162" t="n"/>
    </row>
    <row r="2452" outlineLevel="3" ht="15.75" customHeight="1">
      <c r="A2452" s="10" t="n">
        <v>191</v>
      </c>
      <c r="B2452" s="10" t="inlineStr">
        <is>
          <t>Insumo</t>
        </is>
      </c>
      <c r="C2452" s="10" t="inlineStr">
        <is>
          <t>Revestimento em Paredes,  Porcelanato Onyx Unique Ret. Acetinado 120X120Cm - Portobello</t>
        </is>
      </c>
      <c r="D2452" s="10" t="inlineStr">
        <is>
          <t>Argamassa ACIII</t>
        </is>
      </c>
      <c r="E2452" s="11">
        <f t="array" ref="E2452">_xlfn.XLOOKUP(D2452,Insumos!B:B,Insumos!C:$C)</f>
        <v/>
      </c>
      <c r="F2452" s="14" t="n">
        <v>8.800000000000001</v>
      </c>
      <c r="G2452" s="92">
        <f t="array" ref="G2452">IF(B2452="insumo",_xlfn.XLOOKUP($D2452,Insumos!$B$1:$B$996,Insumos!$D$1:$D$996),"")</f>
        <v/>
      </c>
      <c r="H2452" s="92" t="n">
        <v>9.367599999999999</v>
      </c>
      <c r="I2452" s="2162" t="n">
        <v>0</v>
      </c>
      <c r="J2452" s="2162" t="n">
        <v>0</v>
      </c>
      <c r="K2452" s="2162" t="n"/>
    </row>
    <row r="2453" outlineLevel="3" ht="15.75" customHeight="1">
      <c r="A2453" s="10" t="n">
        <v>142</v>
      </c>
      <c r="B2453" s="10" t="inlineStr">
        <is>
          <t>Insumo</t>
        </is>
      </c>
      <c r="C2453" s="10" t="inlineStr">
        <is>
          <t>Revestimento em Paredes,  Porcelanato Onyx Unique Ret. Acetinado 120X120Cm - Portobello</t>
        </is>
      </c>
      <c r="D2453" s="10" t="inlineStr">
        <is>
          <t>Espeçador junta piso 2mm</t>
        </is>
      </c>
      <c r="E2453" s="11">
        <f t="array" ref="E2453">_xlfn.XLOOKUP(D2453,Insumos!B:B,Insumos!C:$C)</f>
        <v/>
      </c>
      <c r="F2453" s="14" t="n">
        <v>1</v>
      </c>
      <c r="G2453" s="92">
        <f t="array" ref="G2453">IF(B2453="insumo",_xlfn.XLOOKUP($D2453,Insumos!$B$1:$B$996,Insumos!$D$1:$D$996),"")</f>
        <v/>
      </c>
      <c r="H2453" s="92" t="n">
        <v>0.08</v>
      </c>
      <c r="I2453" s="2162" t="n">
        <v>0</v>
      </c>
      <c r="J2453" s="2162" t="n">
        <v>0</v>
      </c>
      <c r="K2453" s="2162" t="n"/>
    </row>
    <row r="2454" outlineLevel="3" ht="15.75" customHeight="1">
      <c r="A2454" s="10" t="n">
        <v>101</v>
      </c>
      <c r="B2454" s="10" t="inlineStr">
        <is>
          <t>Insumo</t>
        </is>
      </c>
      <c r="C2454" s="10" t="inlineStr">
        <is>
          <t>Revestimento em Paredes,  Porcelanato Onyx Unique Ret. Acetinado 120X120Cm - Portobello</t>
        </is>
      </c>
      <c r="D2454" s="10" t="inlineStr">
        <is>
          <t>Rejunte Cimentício</t>
        </is>
      </c>
      <c r="E2454" s="11">
        <f t="array" ref="E2454">_xlfn.XLOOKUP(D2454,Insumos!B:B,Insumos!C:$C)</f>
        <v/>
      </c>
      <c r="F2454" s="14" t="n">
        <v>0.01</v>
      </c>
      <c r="G2454" s="92">
        <f t="array" ref="G2454">IF(B2454="insumo",_xlfn.XLOOKUP($D2454,Insumos!$B$1:$B$996,Insumos!$D$1:$D$996),"")</f>
        <v/>
      </c>
      <c r="H2454" s="92" t="n">
        <v>0.1115</v>
      </c>
      <c r="I2454" s="2162" t="n">
        <v>0</v>
      </c>
      <c r="J2454" s="2162" t="n">
        <v>0</v>
      </c>
      <c r="K2454" s="2162" t="n"/>
    </row>
    <row r="2455" outlineLevel="2" ht="15.75" customHeight="1">
      <c r="A2455" s="1067" t="n">
        <v>1</v>
      </c>
      <c r="B2455" s="1067" t="inlineStr">
        <is>
          <t>Serviço</t>
        </is>
      </c>
      <c r="C2455" s="1067" t="inlineStr">
        <is>
          <t>Revestimento em Paredes,  Porcelanato Onyx Unique Ret. Polido 120X120Cm - Portobello</t>
        </is>
      </c>
      <c r="D2455" s="1067" t="inlineStr">
        <is>
          <t>Revestimento em Paredes,  Porcelanato Onyx Unique Ret. Polido 120X120Cm - Portobello</t>
        </is>
      </c>
      <c r="E2455" s="1068" t="inlineStr">
        <is>
          <t>M2</t>
        </is>
      </c>
      <c r="F2455" s="1067" t="n"/>
      <c r="G2455" s="1069">
        <f t="array" ref="G2455">IF(B2455="insumo",_xlfn.XLOOKUP($D2455,Insumos!$B$1:$B$996,Insumos!$D$1:$D$996),"")</f>
        <v/>
      </c>
      <c r="H2455" s="1069" t="n">
        <v>156.7391</v>
      </c>
      <c r="I2455" s="2161" t="n">
        <v>0</v>
      </c>
      <c r="J2455" s="2161" t="n">
        <v>0</v>
      </c>
      <c r="K2455" s="2161" t="n"/>
    </row>
    <row r="2456" outlineLevel="3" ht="15.75" customHeight="1">
      <c r="A2456" s="10" t="n">
        <v>2</v>
      </c>
      <c r="B2456" s="10" t="inlineStr">
        <is>
          <t>Insumo</t>
        </is>
      </c>
      <c r="C2456" s="10" t="inlineStr">
        <is>
          <t>Revestimento em Paredes,  Porcelanato Onyx Unique Ret. Polido 120X120Cm - Portobello</t>
        </is>
      </c>
      <c r="D2456" s="10" t="inlineStr">
        <is>
          <t>Porcelanato Onyx Unique Ret. Polido 120X120Cm - Portobello</t>
        </is>
      </c>
      <c r="E2456" s="11">
        <f t="array" ref="E2456">_xlfn.XLOOKUP(D2456,Insumos!B:B,Insumos!C:$C)</f>
        <v/>
      </c>
      <c r="F2456" s="14" t="n">
        <v>1.1</v>
      </c>
      <c r="G2456" s="92">
        <f t="array" ref="G2456">IF(B2456="insumo",_xlfn.XLOOKUP($D2456,Insumos!$B$1:$B$996,Insumos!$D$1:$D$996),"")</f>
        <v/>
      </c>
      <c r="H2456" s="92" t="n">
        <v>147.18</v>
      </c>
      <c r="I2456" s="2162" t="n">
        <v>0</v>
      </c>
      <c r="J2456" s="2162" t="n">
        <v>0</v>
      </c>
      <c r="K2456" s="2162" t="n"/>
    </row>
    <row r="2457" outlineLevel="3" ht="15.75" customHeight="1">
      <c r="A2457" s="10" t="n">
        <v>191</v>
      </c>
      <c r="B2457" s="10" t="inlineStr">
        <is>
          <t>Insumo</t>
        </is>
      </c>
      <c r="C2457" s="10" t="inlineStr">
        <is>
          <t>Revestimento em Paredes,  Porcelanato Onyx Unique Ret. Polido 120X120Cm - Portobello</t>
        </is>
      </c>
      <c r="D2457" s="10" t="inlineStr">
        <is>
          <t>Argamassa ACIII</t>
        </is>
      </c>
      <c r="E2457" s="11">
        <f t="array" ref="E2457">_xlfn.XLOOKUP(D2457,Insumos!B:B,Insumos!C:$C)</f>
        <v/>
      </c>
      <c r="F2457" s="14" t="n">
        <v>8.800000000000001</v>
      </c>
      <c r="G2457" s="92">
        <f t="array" ref="G2457">IF(B2457="insumo",_xlfn.XLOOKUP($D2457,Insumos!$B$1:$B$996,Insumos!$D$1:$D$996),"")</f>
        <v/>
      </c>
      <c r="H2457" s="92" t="n">
        <v>9.367599999999999</v>
      </c>
      <c r="I2457" s="2162" t="n">
        <v>0</v>
      </c>
      <c r="J2457" s="2162" t="n">
        <v>0</v>
      </c>
      <c r="K2457" s="2162" t="n"/>
    </row>
    <row r="2458" outlineLevel="3" ht="15.75" customHeight="1">
      <c r="A2458" s="10" t="n">
        <v>142</v>
      </c>
      <c r="B2458" s="10" t="inlineStr">
        <is>
          <t>Insumo</t>
        </is>
      </c>
      <c r="C2458" s="10" t="inlineStr">
        <is>
          <t>Revestimento em Paredes,  Porcelanato Onyx Unique Ret. Polido 120X120Cm - Portobello</t>
        </is>
      </c>
      <c r="D2458" s="10" t="inlineStr">
        <is>
          <t>Espeçador junta piso 2mm</t>
        </is>
      </c>
      <c r="E2458" s="11">
        <f t="array" ref="E2458">_xlfn.XLOOKUP(D2458,Insumos!B:B,Insumos!C:$C)</f>
        <v/>
      </c>
      <c r="F2458" s="14" t="n">
        <v>1</v>
      </c>
      <c r="G2458" s="92">
        <f t="array" ref="G2458">IF(B2458="insumo",_xlfn.XLOOKUP($D2458,Insumos!$B$1:$B$996,Insumos!$D$1:$D$996),"")</f>
        <v/>
      </c>
      <c r="H2458" s="92" t="n">
        <v>0.08</v>
      </c>
      <c r="I2458" s="2162" t="n">
        <v>0</v>
      </c>
      <c r="J2458" s="2162" t="n">
        <v>0</v>
      </c>
      <c r="K2458" s="2162" t="n"/>
    </row>
    <row r="2459" outlineLevel="3" ht="15.75" customHeight="1">
      <c r="A2459" s="10" t="n">
        <v>101</v>
      </c>
      <c r="B2459" s="10" t="inlineStr">
        <is>
          <t>Insumo</t>
        </is>
      </c>
      <c r="C2459" s="10" t="inlineStr">
        <is>
          <t>Revestimento em Paredes,  Porcelanato Onyx Unique Ret. Polido 120X120Cm - Portobello</t>
        </is>
      </c>
      <c r="D2459" s="10" t="inlineStr">
        <is>
          <t>Rejunte Cimentício</t>
        </is>
      </c>
      <c r="E2459" s="11">
        <f t="array" ref="E2459">_xlfn.XLOOKUP(D2459,Insumos!B:B,Insumos!C:$C)</f>
        <v/>
      </c>
      <c r="F2459" s="14" t="n">
        <v>0.01</v>
      </c>
      <c r="G2459" s="92">
        <f t="array" ref="G2459">IF(B2459="insumo",_xlfn.XLOOKUP($D2459,Insumos!$B$1:$B$996,Insumos!$D$1:$D$996),"")</f>
        <v/>
      </c>
      <c r="H2459" s="92" t="n">
        <v>0.1115</v>
      </c>
      <c r="I2459" s="2162" t="n">
        <v>0</v>
      </c>
      <c r="J2459" s="2162" t="n">
        <v>0</v>
      </c>
      <c r="K2459" s="2162" t="n"/>
    </row>
    <row r="2460" outlineLevel="2" ht="15.75" customHeight="1">
      <c r="A2460" s="1067" t="n">
        <v>1</v>
      </c>
      <c r="B2460" s="1067" t="inlineStr">
        <is>
          <t>Serviço</t>
        </is>
      </c>
      <c r="C2460" s="1067" t="inlineStr">
        <is>
          <t>Revestimento em Paredes,  Porcelanato Travertino Navona Bianco 120X120Cm Ret. Natural Portobello</t>
        </is>
      </c>
      <c r="D2460" s="1067" t="inlineStr">
        <is>
          <t>Revestimento em Paredes,  Porcelanato Travertino Navona Bianco 120X120Cm Ret. Natural Portobello</t>
        </is>
      </c>
      <c r="E2460" s="1068" t="inlineStr">
        <is>
          <t>M2</t>
        </is>
      </c>
      <c r="F2460" s="1067" t="n"/>
      <c r="G2460" s="1069">
        <f t="array" ref="G2460">IF(B2460="insumo",_xlfn.XLOOKUP($D2460,Insumos!$B$1:$B$996,Insumos!$D$1:$D$996),"")</f>
        <v/>
      </c>
      <c r="H2460" s="1069" t="n">
        <v>156.7391</v>
      </c>
      <c r="I2460" s="2161" t="n">
        <v>0</v>
      </c>
      <c r="J2460" s="2161" t="n">
        <v>0</v>
      </c>
      <c r="K2460" s="2161" t="n"/>
    </row>
    <row r="2461" outlineLevel="3" ht="15.75" customHeight="1">
      <c r="A2461" s="10" t="n">
        <v>2</v>
      </c>
      <c r="B2461" s="10" t="inlineStr">
        <is>
          <t>Insumo</t>
        </is>
      </c>
      <c r="C2461" s="10" t="inlineStr">
        <is>
          <t>Revestimento em Paredes,  Porcelanato Travertino Navona Bianco 120X120Cm Ret. Natural Portobello</t>
        </is>
      </c>
      <c r="D2461" s="10" t="inlineStr">
        <is>
          <t>Porcelanato Travertino Navona Bianco 120X120Cm Ret. Natural Portobello</t>
        </is>
      </c>
      <c r="E2461" s="11">
        <f t="array" ref="E2461">_xlfn.XLOOKUP(D2461,Insumos!B:B,Insumos!C:$C)</f>
        <v/>
      </c>
      <c r="F2461" s="14" t="n">
        <v>1.1</v>
      </c>
      <c r="G2461" s="92">
        <f t="array" ref="G2461">IF(B2461="insumo",_xlfn.XLOOKUP($D2461,Insumos!$B$1:$B$996,Insumos!$D$1:$D$996),"")</f>
        <v/>
      </c>
      <c r="H2461" s="92" t="n">
        <v>147.18</v>
      </c>
      <c r="I2461" s="2162" t="n">
        <v>0</v>
      </c>
      <c r="J2461" s="2162" t="n">
        <v>0</v>
      </c>
      <c r="K2461" s="2162" t="n"/>
    </row>
    <row r="2462" outlineLevel="3" ht="15.75" customHeight="1">
      <c r="A2462" s="10" t="n">
        <v>191</v>
      </c>
      <c r="B2462" s="10" t="inlineStr">
        <is>
          <t>Insumo</t>
        </is>
      </c>
      <c r="C2462" s="10" t="inlineStr">
        <is>
          <t>Revestimento em Paredes,  Porcelanato Travertino Navona Bianco 120X120Cm Ret. Natural Portobello</t>
        </is>
      </c>
      <c r="D2462" s="10" t="inlineStr">
        <is>
          <t>Argamassa ACIII</t>
        </is>
      </c>
      <c r="E2462" s="11">
        <f t="array" ref="E2462">_xlfn.XLOOKUP(D2462,Insumos!B:B,Insumos!C:$C)</f>
        <v/>
      </c>
      <c r="F2462" s="14" t="n">
        <v>8.800000000000001</v>
      </c>
      <c r="G2462" s="92">
        <f t="array" ref="G2462">IF(B2462="insumo",_xlfn.XLOOKUP($D2462,Insumos!$B$1:$B$996,Insumos!$D$1:$D$996),"")</f>
        <v/>
      </c>
      <c r="H2462" s="92" t="n">
        <v>9.367599999999999</v>
      </c>
      <c r="I2462" s="2162" t="n">
        <v>0</v>
      </c>
      <c r="J2462" s="2162" t="n">
        <v>0</v>
      </c>
      <c r="K2462" s="2162" t="n"/>
    </row>
    <row r="2463" outlineLevel="3" ht="15.75" customHeight="1">
      <c r="A2463" s="10" t="n">
        <v>142</v>
      </c>
      <c r="B2463" s="10" t="inlineStr">
        <is>
          <t>Insumo</t>
        </is>
      </c>
      <c r="C2463" s="10" t="inlineStr">
        <is>
          <t>Revestimento em Paredes,  Porcelanato Travertino Navona Bianco 120X120Cm Ret. Natural Portobello</t>
        </is>
      </c>
      <c r="D2463" s="10" t="inlineStr">
        <is>
          <t>Espeçador junta piso 2mm</t>
        </is>
      </c>
      <c r="E2463" s="11">
        <f t="array" ref="E2463">_xlfn.XLOOKUP(D2463,Insumos!B:B,Insumos!C:$C)</f>
        <v/>
      </c>
      <c r="F2463" s="14" t="n">
        <v>1</v>
      </c>
      <c r="G2463" s="92">
        <f t="array" ref="G2463">IF(B2463="insumo",_xlfn.XLOOKUP($D2463,Insumos!$B$1:$B$996,Insumos!$D$1:$D$996),"")</f>
        <v/>
      </c>
      <c r="H2463" s="92" t="n">
        <v>0.08</v>
      </c>
      <c r="I2463" s="2162" t="n">
        <v>0</v>
      </c>
      <c r="J2463" s="2162" t="n">
        <v>0</v>
      </c>
      <c r="K2463" s="2162" t="n"/>
    </row>
    <row r="2464" outlineLevel="3" ht="15.75" customHeight="1">
      <c r="A2464" s="10" t="n">
        <v>101</v>
      </c>
      <c r="B2464" s="10" t="inlineStr">
        <is>
          <t>Insumo</t>
        </is>
      </c>
      <c r="C2464" s="10" t="inlineStr">
        <is>
          <t>Revestimento em Paredes,  Porcelanato Travertino Navona Bianco 120X120Cm Ret. Natural Portobello</t>
        </is>
      </c>
      <c r="D2464" s="10" t="inlineStr">
        <is>
          <t>Rejunte Cimentício</t>
        </is>
      </c>
      <c r="E2464" s="11">
        <f t="array" ref="E2464">_xlfn.XLOOKUP(D2464,Insumos!B:B,Insumos!C:$C)</f>
        <v/>
      </c>
      <c r="F2464" s="14" t="n">
        <v>0.01</v>
      </c>
      <c r="G2464" s="92">
        <f t="array" ref="G2464">IF(B2464="insumo",_xlfn.XLOOKUP($D2464,Insumos!$B$1:$B$996,Insumos!$D$1:$D$996),"")</f>
        <v/>
      </c>
      <c r="H2464" s="92" t="n">
        <v>0.1115</v>
      </c>
      <c r="I2464" s="2162" t="n">
        <v>0</v>
      </c>
      <c r="J2464" s="2162" t="n">
        <v>0</v>
      </c>
      <c r="K2464" s="2162" t="n"/>
    </row>
    <row r="2465" outlineLevel="2" ht="15.75" customHeight="1">
      <c r="A2465" s="1067" t="n">
        <v>1</v>
      </c>
      <c r="B2465" s="1067" t="inlineStr">
        <is>
          <t>Serviço</t>
        </is>
      </c>
      <c r="C2465" s="1067" t="inlineStr">
        <is>
          <t>Revestimento em Paredes,  Porcelanato Pp Pro Nude Gp 60X60Cm Retificado</t>
        </is>
      </c>
      <c r="D2465" s="1067" t="inlineStr">
        <is>
          <t>Revestimento em Paredes,  Porcelanato Pp Pro Nude Gp 60X60Cm Retificado</t>
        </is>
      </c>
      <c r="E2465" s="1068" t="inlineStr">
        <is>
          <t>M2</t>
        </is>
      </c>
      <c r="F2465" s="1067" t="n"/>
      <c r="G2465" s="1069">
        <f t="array" ref="G2465">IF(B2465="insumo",_xlfn.XLOOKUP($D2465,Insumos!$B$1:$B$996,Insumos!$D$1:$D$996),"")</f>
        <v/>
      </c>
      <c r="H2465" s="1069" t="n">
        <v>57.8051</v>
      </c>
      <c r="I2465" s="2161" t="n">
        <v>0</v>
      </c>
      <c r="J2465" s="2161" t="n">
        <v>0</v>
      </c>
      <c r="K2465" s="2161" t="n"/>
    </row>
    <row r="2466" outlineLevel="3" ht="15.75" customHeight="1">
      <c r="A2466" s="10" t="n">
        <v>3</v>
      </c>
      <c r="B2466" s="10" t="inlineStr">
        <is>
          <t>Insumo</t>
        </is>
      </c>
      <c r="C2466" s="10" t="inlineStr">
        <is>
          <t>Revestimento em Paredes,  Porcelanato Pp Pro Nude Gp 60X60Cm Retificado</t>
        </is>
      </c>
      <c r="D2466" s="10" t="inlineStr">
        <is>
          <t>Porcelanato Pp Pro Nude Gp 60X60Cm Retificado</t>
        </is>
      </c>
      <c r="E2466" s="11">
        <f t="array" ref="E2466">_xlfn.XLOOKUP(D2466,Insumos!B:B,Insumos!C:$C)</f>
        <v/>
      </c>
      <c r="F2466" s="14" t="n">
        <v>1.1</v>
      </c>
      <c r="G2466" s="92">
        <f t="array" ref="G2466">IF(B2466="insumo",_xlfn.XLOOKUP($D2466,Insumos!$B$1:$B$996,Insumos!$D$1:$D$996),"")</f>
        <v/>
      </c>
      <c r="H2466" s="92" t="n">
        <v>48.246</v>
      </c>
      <c r="I2466" s="2162" t="n">
        <v>0</v>
      </c>
      <c r="J2466" s="2162" t="n">
        <v>0</v>
      </c>
      <c r="K2466" s="2162" t="n"/>
    </row>
    <row r="2467" outlineLevel="3" ht="15.75" customHeight="1">
      <c r="A2467" s="10" t="n">
        <v>191</v>
      </c>
      <c r="B2467" s="10" t="inlineStr">
        <is>
          <t>Insumo</t>
        </is>
      </c>
      <c r="C2467" s="10" t="inlineStr">
        <is>
          <t>Revestimento em Paredes,  Porcelanato Pp Pro Nude Gp 60X60Cm Retificado</t>
        </is>
      </c>
      <c r="D2467" s="10" t="inlineStr">
        <is>
          <t>Argamassa ACIII</t>
        </is>
      </c>
      <c r="E2467" s="11">
        <f t="array" ref="E2467">_xlfn.XLOOKUP(D2467,Insumos!B:B,Insumos!C:$C)</f>
        <v/>
      </c>
      <c r="F2467" s="14" t="n">
        <v>8.800000000000001</v>
      </c>
      <c r="G2467" s="92">
        <f t="array" ref="G2467">IF(B2467="insumo",_xlfn.XLOOKUP($D2467,Insumos!$B$1:$B$996,Insumos!$D$1:$D$996),"")</f>
        <v/>
      </c>
      <c r="H2467" s="92" t="n">
        <v>9.367599999999999</v>
      </c>
      <c r="I2467" s="2162" t="n">
        <v>0</v>
      </c>
      <c r="J2467" s="2162" t="n">
        <v>0</v>
      </c>
      <c r="K2467" s="2162" t="n"/>
    </row>
    <row r="2468" outlineLevel="3" ht="15.75" customHeight="1">
      <c r="A2468" s="10" t="n">
        <v>142</v>
      </c>
      <c r="B2468" s="10" t="inlineStr">
        <is>
          <t>Insumo</t>
        </is>
      </c>
      <c r="C2468" s="10" t="inlineStr">
        <is>
          <t>Revestimento em Paredes,  Porcelanato Pp Pro Nude Gp 60X60Cm Retificado</t>
        </is>
      </c>
      <c r="D2468" s="10" t="inlineStr">
        <is>
          <t>Espeçador junta piso 2mm</t>
        </is>
      </c>
      <c r="E2468" s="11">
        <f t="array" ref="E2468">_xlfn.XLOOKUP(D2468,Insumos!B:B,Insumos!C:$C)</f>
        <v/>
      </c>
      <c r="F2468" s="14" t="n">
        <v>1</v>
      </c>
      <c r="G2468" s="92">
        <f t="array" ref="G2468">IF(B2468="insumo",_xlfn.XLOOKUP($D2468,Insumos!$B$1:$B$996,Insumos!$D$1:$D$996),"")</f>
        <v/>
      </c>
      <c r="H2468" s="92" t="n">
        <v>0.08</v>
      </c>
      <c r="I2468" s="2162" t="n">
        <v>0</v>
      </c>
      <c r="J2468" s="2162" t="n">
        <v>0</v>
      </c>
      <c r="K2468" s="2162" t="n"/>
    </row>
    <row r="2469" outlineLevel="3" ht="15.75" customHeight="1">
      <c r="A2469" s="10" t="n">
        <v>101</v>
      </c>
      <c r="B2469" s="10" t="inlineStr">
        <is>
          <t>Insumo</t>
        </is>
      </c>
      <c r="C2469" s="10" t="inlineStr">
        <is>
          <t>Revestimento em Paredes,  Porcelanato Pp Pro Nude Gp 60X60Cm Retificado</t>
        </is>
      </c>
      <c r="D2469" s="10" t="inlineStr">
        <is>
          <t>Rejunte Cimentício</t>
        </is>
      </c>
      <c r="E2469" s="11">
        <f t="array" ref="E2469">_xlfn.XLOOKUP(D2469,Insumos!B:B,Insumos!C:$C)</f>
        <v/>
      </c>
      <c r="F2469" s="14" t="n">
        <v>0.01</v>
      </c>
      <c r="G2469" s="92">
        <f t="array" ref="G2469">IF(B2469="insumo",_xlfn.XLOOKUP($D2469,Insumos!$B$1:$B$996,Insumos!$D$1:$D$996),"")</f>
        <v/>
      </c>
      <c r="H2469" s="92" t="n">
        <v>0.1115</v>
      </c>
      <c r="I2469" s="2162" t="n">
        <v>0</v>
      </c>
      <c r="J2469" s="2162" t="n">
        <v>0</v>
      </c>
      <c r="K2469" s="2162" t="n"/>
    </row>
    <row r="2470" outlineLevel="2" ht="12.75" customHeight="1">
      <c r="A2470" s="1071" t="n">
        <v>1</v>
      </c>
      <c r="B2470" s="1071" t="inlineStr">
        <is>
          <t>Serviço</t>
        </is>
      </c>
      <c r="C2470" s="1071" t="inlineStr">
        <is>
          <t>Revestimento em paredes, 61x 61cm com Junta de 3mm</t>
        </is>
      </c>
      <c r="D2470" s="1071" t="inlineStr">
        <is>
          <t>Revestimento em paredes, 61x 61cm com Junta de 3mm</t>
        </is>
      </c>
      <c r="E2470" s="1072" t="inlineStr">
        <is>
          <t>M2</t>
        </is>
      </c>
      <c r="F2470" s="1071" t="n"/>
      <c r="G2470" s="1073">
        <f t="array" ref="G2470">IF(B2470="insumo",_xlfn.XLOOKUP($D2470,Insumos!$B$1:$B$996,Insumos!$D$1:$D$996),"")</f>
        <v/>
      </c>
      <c r="H2470" s="1073" t="n">
        <v>78.58199999999999</v>
      </c>
      <c r="I2470" s="2163" t="n">
        <v>0</v>
      </c>
      <c r="J2470" s="2163" t="n">
        <v>0</v>
      </c>
      <c r="K2470" s="2163" t="n"/>
    </row>
    <row r="2471" outlineLevel="3" ht="12.75" customHeight="1">
      <c r="A2471" s="82" t="n">
        <v>6</v>
      </c>
      <c r="B2471" s="82" t="inlineStr">
        <is>
          <t>Insumo</t>
        </is>
      </c>
      <c r="C2471" s="82" t="inlineStr">
        <is>
          <t>Revestimento em paredes, 61x 61cm com Junta de 3mm</t>
        </is>
      </c>
      <c r="D2471" s="82" t="inlineStr">
        <is>
          <t>Cerâmica Vulcano Cinza 61x61</t>
        </is>
      </c>
      <c r="E2471" s="11">
        <f t="array" ref="E2471">_xlfn.XLOOKUP(D2471,Insumos!B:B,Insumos!C:$C)</f>
        <v/>
      </c>
      <c r="F2471" s="2169" t="n">
        <v>1.1</v>
      </c>
      <c r="G2471" s="92">
        <f t="array" ref="G2471">IF(B2471="insumo",_xlfn.XLOOKUP($D2471,Insumos!$B$1:$B$996,Insumos!$D$1:$D$996),"")</f>
        <v/>
      </c>
      <c r="H2471" s="92" t="n">
        <v>69.949</v>
      </c>
      <c r="I2471" s="2165" t="n">
        <v>0</v>
      </c>
      <c r="J2471" s="2165" t="n">
        <v>0</v>
      </c>
      <c r="K2471" s="2165" t="n"/>
    </row>
    <row r="2472" outlineLevel="3" ht="12.75" customHeight="1">
      <c r="A2472" s="82" t="n">
        <v>16</v>
      </c>
      <c r="B2472" s="82" t="inlineStr">
        <is>
          <t>Insumo</t>
        </is>
      </c>
      <c r="C2472" s="82" t="inlineStr">
        <is>
          <t>Revestimento em paredes, 61x 61cm com Junta de 3mm</t>
        </is>
      </c>
      <c r="D2472" s="82" t="inlineStr">
        <is>
          <t>Argamassa ACII</t>
        </is>
      </c>
      <c r="E2472" s="11">
        <f t="array" ref="E2472">_xlfn.XLOOKUP(D2472,Insumos!B:B,Insumos!C:$C)</f>
        <v/>
      </c>
      <c r="F2472" s="2169" t="n">
        <v>8.800000000000001</v>
      </c>
      <c r="G2472" s="92">
        <f t="array" ref="G2472">IF(B2472="insumo",_xlfn.XLOOKUP($D2472,Insumos!$B$1:$B$996,Insumos!$D$1:$D$996),"")</f>
        <v/>
      </c>
      <c r="H2472" s="92" t="n">
        <v>8.359999999999999</v>
      </c>
      <c r="I2472" s="2165" t="n">
        <v>0</v>
      </c>
      <c r="J2472" s="2165" t="n">
        <v>0</v>
      </c>
      <c r="K2472" s="2165" t="n"/>
    </row>
    <row r="2473" outlineLevel="3" ht="12.75" customHeight="1">
      <c r="A2473" s="82" t="n">
        <v>17</v>
      </c>
      <c r="B2473" s="82" t="inlineStr">
        <is>
          <t>Insumo</t>
        </is>
      </c>
      <c r="C2473" s="82" t="inlineStr">
        <is>
          <t>Revestimento em paredes, 61x 61cm com Junta de 3mm</t>
        </is>
      </c>
      <c r="D2473" s="82" t="inlineStr">
        <is>
          <t>Espeçador junta piso 3mm</t>
        </is>
      </c>
      <c r="E2473" s="11">
        <f t="array" ref="E2473">_xlfn.XLOOKUP(D2473,Insumos!B:B,Insumos!C:$C)</f>
        <v/>
      </c>
      <c r="F2473" s="2169" t="n">
        <v>1</v>
      </c>
      <c r="G2473" s="92">
        <f t="array" ref="G2473">IF(B2473="insumo",_xlfn.XLOOKUP($D2473,Insumos!$B$1:$B$996,Insumos!$D$1:$D$996),"")</f>
        <v/>
      </c>
      <c r="H2473" s="92" t="n">
        <v>0.05</v>
      </c>
      <c r="I2473" s="2165" t="n">
        <v>0</v>
      </c>
      <c r="J2473" s="2165" t="n">
        <v>0</v>
      </c>
      <c r="K2473" s="2165" t="n"/>
    </row>
    <row r="2474" outlineLevel="3" ht="12.75" customHeight="1">
      <c r="A2474" s="82" t="n">
        <v>101</v>
      </c>
      <c r="B2474" s="82" t="inlineStr">
        <is>
          <t>Insumo</t>
        </is>
      </c>
      <c r="C2474" s="82" t="inlineStr">
        <is>
          <t>Revestimento em paredes, 61x 61cm com Junta de 3mm</t>
        </is>
      </c>
      <c r="D2474" s="82" t="inlineStr">
        <is>
          <t>Rejunte Cimentício</t>
        </is>
      </c>
      <c r="E2474" s="11">
        <f t="array" ref="E2474">_xlfn.XLOOKUP(D2474,Insumos!B:B,Insumos!C:$C)</f>
        <v/>
      </c>
      <c r="F2474" s="2169" t="n">
        <v>0.02</v>
      </c>
      <c r="G2474" s="92">
        <f t="array" ref="G2474">IF(B2474="insumo",_xlfn.XLOOKUP($D2474,Insumos!$B$1:$B$996,Insumos!$D$1:$D$996),"")</f>
        <v/>
      </c>
      <c r="H2474" s="92" t="n">
        <v>0.223</v>
      </c>
      <c r="I2474" s="2165" t="n">
        <v>0</v>
      </c>
      <c r="J2474" s="2165" t="n">
        <v>0</v>
      </c>
      <c r="K2474" s="2165" t="n"/>
    </row>
    <row r="2475" outlineLevel="2" ht="12.75" customHeight="1">
      <c r="A2475" s="1071" t="n">
        <v>1</v>
      </c>
      <c r="B2475" s="1071" t="inlineStr">
        <is>
          <t>Serviço</t>
        </is>
      </c>
      <c r="C2475" s="1071" t="inlineStr">
        <is>
          <t>Revestimento em Parede de Azulejo JK Solid | Estúdio Mosaico</t>
        </is>
      </c>
      <c r="D2475" s="1071" t="inlineStr">
        <is>
          <t>Revestimento em Parede de Azulejo JK Solid | Estúdio Mosaico</t>
        </is>
      </c>
      <c r="E2475" s="1072" t="inlineStr">
        <is>
          <t>M2</t>
        </is>
      </c>
      <c r="F2475" s="1071" t="n"/>
      <c r="G2475" s="1073">
        <f t="array" ref="G2475">IF(B2475="insumo",_xlfn.XLOOKUP($D2475,Insumos!$B$1:$B$996,Insumos!$D$1:$D$996),"")</f>
        <v/>
      </c>
      <c r="H2475" s="1073" t="n">
        <v>700.779275</v>
      </c>
      <c r="I2475" s="2163" t="n">
        <v>0</v>
      </c>
      <c r="J2475" s="2163" t="n">
        <v>0</v>
      </c>
      <c r="K2475" s="2163" t="n"/>
    </row>
    <row r="2476" outlineLevel="3" ht="12.75" customHeight="1">
      <c r="A2476" s="82" t="n">
        <v>1</v>
      </c>
      <c r="B2476" s="82" t="inlineStr">
        <is>
          <t>Insumo</t>
        </is>
      </c>
      <c r="C2476" s="82" t="inlineStr">
        <is>
          <t>Revestimento em Parede de Azulejo JK Solid | Estúdio Mosaico</t>
        </is>
      </c>
      <c r="D2476" s="82" t="inlineStr">
        <is>
          <t>Revestimento em Parede de Azulejo JK Solid | Estúdio Mosaico</t>
        </is>
      </c>
      <c r="E2476" s="11">
        <f t="array" ref="E2476">_xlfn.XLOOKUP(D2476,Insumos!B:B,Insumos!C:$C)</f>
        <v/>
      </c>
      <c r="F2476" s="2169" t="n">
        <v>1.1</v>
      </c>
      <c r="G2476" s="92">
        <f t="array" ref="G2476">IF(B2476="insumo",_xlfn.XLOOKUP($D2476,Insumos!$B$1:$B$996,Insumos!$D$1:$D$996),"")</f>
        <v/>
      </c>
      <c r="H2476" s="92" t="n">
        <v>693</v>
      </c>
      <c r="I2476" s="2165" t="n">
        <v>0</v>
      </c>
      <c r="J2476" s="2165" t="n">
        <v>0</v>
      </c>
      <c r="K2476" s="2165" t="n"/>
    </row>
    <row r="2477" outlineLevel="3" ht="12.75" customHeight="1">
      <c r="A2477" s="82" t="n">
        <v>191</v>
      </c>
      <c r="B2477" s="82" t="inlineStr">
        <is>
          <t>Insumo</t>
        </is>
      </c>
      <c r="C2477" s="82" t="inlineStr">
        <is>
          <t>Revestimento em Parede de Azulejo JK Solid | Estúdio Mosaico</t>
        </is>
      </c>
      <c r="D2477" s="82" t="inlineStr">
        <is>
          <t>Argamassa ACIII</t>
        </is>
      </c>
      <c r="E2477" s="11">
        <f t="array" ref="E2477">_xlfn.XLOOKUP(D2477,Insumos!B:B,Insumos!C:$C)</f>
        <v/>
      </c>
      <c r="F2477" s="2169" t="n">
        <v>4.95</v>
      </c>
      <c r="G2477" s="92">
        <f t="array" ref="G2477">IF(B2477="insumo",_xlfn.XLOOKUP($D2477,Insumos!$B$1:$B$996,Insumos!$D$1:$D$996),"")</f>
        <v/>
      </c>
      <c r="H2477" s="92" t="n">
        <v>5.269275</v>
      </c>
      <c r="I2477" s="2165" t="n">
        <v>0</v>
      </c>
      <c r="J2477" s="2165" t="n">
        <v>0</v>
      </c>
      <c r="K2477" s="2165" t="n"/>
    </row>
    <row r="2478" outlineLevel="3" ht="12.75" customHeight="1">
      <c r="A2478" s="82" t="n">
        <v>142</v>
      </c>
      <c r="B2478" s="82" t="inlineStr">
        <is>
          <t>Insumo</t>
        </is>
      </c>
      <c r="C2478" s="82" t="inlineStr">
        <is>
          <t>Revestimento em Parede de Azulejo JK Solid | Estúdio Mosaico</t>
        </is>
      </c>
      <c r="D2478" s="82" t="inlineStr">
        <is>
          <t>Espeçador junta piso 2mm</t>
        </is>
      </c>
      <c r="E2478" s="11">
        <f t="array" ref="E2478">_xlfn.XLOOKUP(D2478,Insumos!B:B,Insumos!C:$C)</f>
        <v/>
      </c>
      <c r="F2478" s="2169" t="n">
        <v>4</v>
      </c>
      <c r="G2478" s="92">
        <f t="array" ref="G2478">IF(B2478="insumo",_xlfn.XLOOKUP($D2478,Insumos!$B$1:$B$996,Insumos!$D$1:$D$996),"")</f>
        <v/>
      </c>
      <c r="H2478" s="92" t="n">
        <v>0.32</v>
      </c>
      <c r="I2478" s="2165" t="n">
        <v>0</v>
      </c>
      <c r="J2478" s="2165" t="n">
        <v>0</v>
      </c>
      <c r="K2478" s="2165" t="n"/>
    </row>
    <row r="2479" outlineLevel="3" ht="12.75" customHeight="1">
      <c r="A2479" s="82" t="n">
        <v>22</v>
      </c>
      <c r="B2479" s="82" t="inlineStr">
        <is>
          <t>Insumo</t>
        </is>
      </c>
      <c r="C2479" s="82" t="inlineStr">
        <is>
          <t>Revestimento em Parede de Azulejo JK Solid | Estúdio Mosaico</t>
        </is>
      </c>
      <c r="D2479" s="82" t="inlineStr">
        <is>
          <t>Rejunte acrilico</t>
        </is>
      </c>
      <c r="E2479" s="11">
        <f t="array" ref="E2479">_xlfn.XLOOKUP(D2479,Insumos!B:B,Insumos!C:$C)</f>
        <v/>
      </c>
      <c r="F2479" s="2169" t="n">
        <v>0.05</v>
      </c>
      <c r="G2479" s="92">
        <f t="array" ref="G2479">IF(B2479="insumo",_xlfn.XLOOKUP($D2479,Insumos!$B$1:$B$996,Insumos!$D$1:$D$996),"")</f>
        <v/>
      </c>
      <c r="H2479" s="92" t="n">
        <v>2.19</v>
      </c>
      <c r="I2479" s="2165" t="n">
        <v>0</v>
      </c>
      <c r="J2479" s="2165" t="n">
        <v>0</v>
      </c>
      <c r="K2479" s="2165" t="n"/>
    </row>
    <row r="2480" outlineLevel="2" ht="12.75" customHeight="1">
      <c r="A2480" s="1071" t="n">
        <v>1</v>
      </c>
      <c r="B2480" s="1071" t="inlineStr">
        <is>
          <t>Serviço</t>
        </is>
      </c>
      <c r="C2480" s="1071" t="inlineStr">
        <is>
          <t>Revestimento em Parede de porcelanato hexagonal branco</t>
        </is>
      </c>
      <c r="D2480" s="1071" t="inlineStr">
        <is>
          <t>Revestimento em Parede de porcelanato hexagonal branco</t>
        </is>
      </c>
      <c r="E2480" s="1072" t="inlineStr">
        <is>
          <t>M2</t>
        </is>
      </c>
      <c r="F2480" s="1071" t="n"/>
      <c r="G2480" s="1073">
        <f t="array" ref="G2480">IF(B2480="insumo",_xlfn.XLOOKUP($D2480,Insumos!$B$1:$B$996,Insumos!$D$1:$D$996),"")</f>
        <v/>
      </c>
      <c r="H2480" s="1073" t="n">
        <v>239.879275</v>
      </c>
      <c r="I2480" s="2163" t="n">
        <v>0</v>
      </c>
      <c r="J2480" s="2163" t="n">
        <v>0</v>
      </c>
      <c r="K2480" s="2163" t="n"/>
    </row>
    <row r="2481" outlineLevel="3" ht="12.75" customHeight="1">
      <c r="A2481" s="82" t="n">
        <v>2</v>
      </c>
      <c r="B2481" s="82" t="inlineStr">
        <is>
          <t>Insumo</t>
        </is>
      </c>
      <c r="C2481" s="82" t="inlineStr">
        <is>
          <t>Revestimento em Parede de porcelanato hexagonal branco</t>
        </is>
      </c>
      <c r="D2481" s="82" t="inlineStr">
        <is>
          <t>Revestimento para Parede Hexa Blue 22,8x22,8cm Ceral</t>
        </is>
      </c>
      <c r="E2481" s="11">
        <f t="array" ref="E2481">_xlfn.XLOOKUP(D2481,Insumos!B:B,Insumos!C:$C)</f>
        <v/>
      </c>
      <c r="F2481" s="2169" t="n">
        <v>1.1</v>
      </c>
      <c r="G2481" s="92">
        <f t="array" ref="G2481">IF(B2481="insumo",_xlfn.XLOOKUP($D2481,Insumos!$B$1:$B$996,Insumos!$D$1:$D$996),"")</f>
        <v/>
      </c>
      <c r="H2481" s="92" t="n">
        <v>232.1</v>
      </c>
      <c r="I2481" s="2165" t="n">
        <v>0</v>
      </c>
      <c r="J2481" s="2165" t="n">
        <v>0</v>
      </c>
      <c r="K2481" s="2165" t="n"/>
    </row>
    <row r="2482" outlineLevel="3" ht="12.75" customHeight="1">
      <c r="A2482" s="82" t="n">
        <v>191</v>
      </c>
      <c r="B2482" s="82" t="inlineStr">
        <is>
          <t>Insumo</t>
        </is>
      </c>
      <c r="C2482" s="82" t="inlineStr">
        <is>
          <t>Revestimento em Parede de porcelanato hexagonal branco</t>
        </is>
      </c>
      <c r="D2482" s="82" t="inlineStr">
        <is>
          <t>Argamassa ACIII</t>
        </is>
      </c>
      <c r="E2482" s="11">
        <f t="array" ref="E2482">_xlfn.XLOOKUP(D2482,Insumos!B:B,Insumos!C:$C)</f>
        <v/>
      </c>
      <c r="F2482" s="2169" t="n">
        <v>4.95</v>
      </c>
      <c r="G2482" s="92">
        <f t="array" ref="G2482">IF(B2482="insumo",_xlfn.XLOOKUP($D2482,Insumos!$B$1:$B$996,Insumos!$D$1:$D$996),"")</f>
        <v/>
      </c>
      <c r="H2482" s="92" t="n">
        <v>5.269275</v>
      </c>
      <c r="I2482" s="2165" t="n">
        <v>0</v>
      </c>
      <c r="J2482" s="2165" t="n">
        <v>0</v>
      </c>
      <c r="K2482" s="2165" t="n"/>
    </row>
    <row r="2483" outlineLevel="3" ht="12.75" customHeight="1">
      <c r="A2483" s="82" t="n">
        <v>142</v>
      </c>
      <c r="B2483" s="82" t="inlineStr">
        <is>
          <t>Insumo</t>
        </is>
      </c>
      <c r="C2483" s="82" t="inlineStr">
        <is>
          <t>Revestimento em Parede de porcelanato hexagonal branco</t>
        </is>
      </c>
      <c r="D2483" s="82" t="inlineStr">
        <is>
          <t>Espeçador junta piso 2mm</t>
        </is>
      </c>
      <c r="E2483" s="11">
        <f t="array" ref="E2483">_xlfn.XLOOKUP(D2483,Insumos!B:B,Insumos!C:$C)</f>
        <v/>
      </c>
      <c r="F2483" s="2169" t="n">
        <v>4</v>
      </c>
      <c r="G2483" s="92">
        <f t="array" ref="G2483">IF(B2483="insumo",_xlfn.XLOOKUP($D2483,Insumos!$B$1:$B$996,Insumos!$D$1:$D$996),"")</f>
        <v/>
      </c>
      <c r="H2483" s="92" t="n">
        <v>0.32</v>
      </c>
      <c r="I2483" s="2165" t="n">
        <v>0</v>
      </c>
      <c r="J2483" s="2165" t="n">
        <v>0</v>
      </c>
      <c r="K2483" s="2165" t="n"/>
    </row>
    <row r="2484" outlineLevel="3" ht="12.75" customHeight="1">
      <c r="A2484" s="82" t="n">
        <v>22</v>
      </c>
      <c r="B2484" s="82" t="inlineStr">
        <is>
          <t>Insumo</t>
        </is>
      </c>
      <c r="C2484" s="82" t="inlineStr">
        <is>
          <t>Revestimento em Parede de porcelanato hexagonal branco</t>
        </is>
      </c>
      <c r="D2484" s="82" t="inlineStr">
        <is>
          <t>Rejunte acrilico</t>
        </is>
      </c>
      <c r="E2484" s="11">
        <f t="array" ref="E2484">_xlfn.XLOOKUP(D2484,Insumos!B:B,Insumos!C:$C)</f>
        <v/>
      </c>
      <c r="F2484" s="2169" t="n">
        <v>0.05</v>
      </c>
      <c r="G2484" s="92">
        <f t="array" ref="G2484">IF(B2484="insumo",_xlfn.XLOOKUP($D2484,Insumos!$B$1:$B$996,Insumos!$D$1:$D$996),"")</f>
        <v/>
      </c>
      <c r="H2484" s="92" t="n">
        <v>2.19</v>
      </c>
      <c r="I2484" s="2165" t="n">
        <v>0</v>
      </c>
      <c r="J2484" s="2165" t="n">
        <v>0</v>
      </c>
      <c r="K2484" s="2165" t="n"/>
    </row>
    <row r="2485" outlineLevel="2" ht="12.75" customHeight="1">
      <c r="A2485" s="1071" t="n">
        <v>1</v>
      </c>
      <c r="B2485" s="1071" t="inlineStr">
        <is>
          <t>Serviço</t>
        </is>
      </c>
      <c r="C2485" s="1071" t="inlineStr">
        <is>
          <t>Revestimento em Parede de porcelanato hexagonal azul</t>
        </is>
      </c>
      <c r="D2485" s="1071" t="inlineStr">
        <is>
          <t>Revestimento em Parede de porcelanato hexagonal azul</t>
        </is>
      </c>
      <c r="E2485" s="1072" t="inlineStr">
        <is>
          <t>M2</t>
        </is>
      </c>
      <c r="F2485" s="1071" t="n"/>
      <c r="G2485" s="1073">
        <f t="array" ref="G2485">IF(B2485="insumo",_xlfn.XLOOKUP($D2485,Insumos!$B$1:$B$996,Insumos!$D$1:$D$996),"")</f>
        <v/>
      </c>
      <c r="H2485" s="1073" t="n">
        <v>239.879275</v>
      </c>
      <c r="I2485" s="2163" t="n">
        <v>0</v>
      </c>
      <c r="J2485" s="2163" t="n">
        <v>0</v>
      </c>
      <c r="K2485" s="2163" t="n"/>
    </row>
    <row r="2486" outlineLevel="3" ht="12.75" customHeight="1">
      <c r="A2486" s="82" t="n">
        <v>2</v>
      </c>
      <c r="B2486" s="82" t="inlineStr">
        <is>
          <t>Insumo</t>
        </is>
      </c>
      <c r="C2486" s="82" t="inlineStr">
        <is>
          <t>Revestimento em Parede de porcelanato hexagonal azul</t>
        </is>
      </c>
      <c r="D2486" s="82" t="inlineStr">
        <is>
          <t>Revestimento para Parede Hexa Blue 22,8x22,8cm Ceral</t>
        </is>
      </c>
      <c r="E2486" s="11">
        <f t="array" ref="E2486">_xlfn.XLOOKUP(D2486,Insumos!B:B,Insumos!C:$C)</f>
        <v/>
      </c>
      <c r="F2486" s="2169" t="n">
        <v>1.1</v>
      </c>
      <c r="G2486" s="92">
        <f t="array" ref="G2486">IF(B2486="insumo",_xlfn.XLOOKUP($D2486,Insumos!$B$1:$B$996,Insumos!$D$1:$D$996),"")</f>
        <v/>
      </c>
      <c r="H2486" s="92" t="n">
        <v>232.1</v>
      </c>
      <c r="I2486" s="2165" t="n">
        <v>0</v>
      </c>
      <c r="J2486" s="2165" t="n">
        <v>0</v>
      </c>
      <c r="K2486" s="2165" t="n"/>
    </row>
    <row r="2487" outlineLevel="3" ht="12.75" customHeight="1">
      <c r="A2487" s="82" t="n">
        <v>191</v>
      </c>
      <c r="B2487" s="82" t="inlineStr">
        <is>
          <t>Insumo</t>
        </is>
      </c>
      <c r="C2487" s="82" t="inlineStr">
        <is>
          <t>Revestimento em Parede de porcelanato hexagonal azul</t>
        </is>
      </c>
      <c r="D2487" s="82" t="inlineStr">
        <is>
          <t>Argamassa ACIII</t>
        </is>
      </c>
      <c r="E2487" s="11">
        <f t="array" ref="E2487">_xlfn.XLOOKUP(D2487,Insumos!B:B,Insumos!C:$C)</f>
        <v/>
      </c>
      <c r="F2487" s="2169" t="n">
        <v>4.95</v>
      </c>
      <c r="G2487" s="92">
        <f t="array" ref="G2487">IF(B2487="insumo",_xlfn.XLOOKUP($D2487,Insumos!$B$1:$B$996,Insumos!$D$1:$D$996),"")</f>
        <v/>
      </c>
      <c r="H2487" s="92" t="n">
        <v>5.269275</v>
      </c>
      <c r="I2487" s="2165" t="n">
        <v>0</v>
      </c>
      <c r="J2487" s="2165" t="n">
        <v>0</v>
      </c>
      <c r="K2487" s="2165" t="n"/>
    </row>
    <row r="2488" outlineLevel="3" ht="12.75" customHeight="1">
      <c r="A2488" s="82" t="n">
        <v>142</v>
      </c>
      <c r="B2488" s="82" t="inlineStr">
        <is>
          <t>Insumo</t>
        </is>
      </c>
      <c r="C2488" s="82" t="inlineStr">
        <is>
          <t>Revestimento em Parede de porcelanato hexagonal azul</t>
        </is>
      </c>
      <c r="D2488" s="82" t="inlineStr">
        <is>
          <t>Espeçador junta piso 2mm</t>
        </is>
      </c>
      <c r="E2488" s="11">
        <f t="array" ref="E2488">_xlfn.XLOOKUP(D2488,Insumos!B:B,Insumos!C:$C)</f>
        <v/>
      </c>
      <c r="F2488" s="2169" t="n">
        <v>4</v>
      </c>
      <c r="G2488" s="92">
        <f t="array" ref="G2488">IF(B2488="insumo",_xlfn.XLOOKUP($D2488,Insumos!$B$1:$B$996,Insumos!$D$1:$D$996),"")</f>
        <v/>
      </c>
      <c r="H2488" s="92" t="n">
        <v>0.32</v>
      </c>
      <c r="I2488" s="2165" t="n">
        <v>0</v>
      </c>
      <c r="J2488" s="2165" t="n">
        <v>0</v>
      </c>
      <c r="K2488" s="2165" t="n"/>
    </row>
    <row r="2489" outlineLevel="3" ht="12.75" customHeight="1">
      <c r="A2489" s="82" t="n">
        <v>22</v>
      </c>
      <c r="B2489" s="82" t="inlineStr">
        <is>
          <t>Insumo</t>
        </is>
      </c>
      <c r="C2489" s="82" t="inlineStr">
        <is>
          <t>Revestimento em Parede de porcelanato hexagonal azul</t>
        </is>
      </c>
      <c r="D2489" s="82" t="inlineStr">
        <is>
          <t>Rejunte acrilico</t>
        </is>
      </c>
      <c r="E2489" s="11">
        <f t="array" ref="E2489">_xlfn.XLOOKUP(D2489,Insumos!B:B,Insumos!C:$C)</f>
        <v/>
      </c>
      <c r="F2489" s="2169" t="n">
        <v>0.05</v>
      </c>
      <c r="G2489" s="92">
        <f t="array" ref="G2489">IF(B2489="insumo",_xlfn.XLOOKUP($D2489,Insumos!$B$1:$B$996,Insumos!$D$1:$D$996),"")</f>
        <v/>
      </c>
      <c r="H2489" s="92" t="n">
        <v>2.19</v>
      </c>
      <c r="I2489" s="2165" t="n">
        <v>0</v>
      </c>
      <c r="J2489" s="2165" t="n">
        <v>0</v>
      </c>
      <c r="K2489" s="2165" t="n"/>
    </row>
    <row r="2490" outlineLevel="2" ht="12.75" customHeight="1">
      <c r="A2490" s="1071" t="n">
        <v>1</v>
      </c>
      <c r="B2490" s="1071" t="inlineStr">
        <is>
          <t>Serviço</t>
        </is>
      </c>
      <c r="C2490" s="1071" t="inlineStr">
        <is>
          <t>Revestimento de Parede Porcelanato Eliane Revestimentos – Linha Lumina Areia 20x20</t>
        </is>
      </c>
      <c r="D2490" s="1071" t="inlineStr">
        <is>
          <t>Revestimento de Parede Porcelanato Eliane Revestimentos – Linha Lumina Areia 20x20</t>
        </is>
      </c>
      <c r="E2490" s="1072" t="inlineStr">
        <is>
          <t>M2</t>
        </is>
      </c>
      <c r="F2490" s="1071" t="n"/>
      <c r="G2490" s="1073">
        <f t="array" ref="G2490">IF(B2490="insumo",_xlfn.XLOOKUP($D2490,Insumos!$B$1:$B$996,Insumos!$D$1:$D$996),"")</f>
        <v/>
      </c>
      <c r="H2490" s="1073" t="n">
        <v>136.0591</v>
      </c>
      <c r="I2490" s="2163" t="n">
        <v>0</v>
      </c>
      <c r="J2490" s="2163" t="n">
        <v>0</v>
      </c>
      <c r="K2490" s="2163" t="n"/>
    </row>
    <row r="2491" outlineLevel="3" ht="12.75" customHeight="1">
      <c r="A2491" s="82" t="n">
        <v>1</v>
      </c>
      <c r="B2491" s="82" t="inlineStr">
        <is>
          <t>Insumo</t>
        </is>
      </c>
      <c r="C2491" s="82" t="inlineStr">
        <is>
          <t>Revestimento de Parede Porcelanato Eliane Revestimentos – Linha Lumina Areia 20x20</t>
        </is>
      </c>
      <c r="D2491" s="82" t="inlineStr">
        <is>
          <t>Porcelanato Eliane Revestimentos – Linha Lumina Areia 20x20</t>
        </is>
      </c>
      <c r="E2491" s="11">
        <f t="array" ref="E2491">_xlfn.XLOOKUP(D2491,Insumos!B:B,Insumos!C:$C)</f>
        <v/>
      </c>
      <c r="F2491" s="2169" t="n">
        <v>1.1</v>
      </c>
      <c r="G2491" s="92">
        <f t="array" ref="G2491">IF(B2491="insumo",_xlfn.XLOOKUP($D2491,Insumos!$B$1:$B$996,Insumos!$D$1:$D$996),"")</f>
        <v/>
      </c>
      <c r="H2491" s="92" t="n">
        <v>126.5</v>
      </c>
      <c r="I2491" s="2165" t="n">
        <v>0</v>
      </c>
      <c r="J2491" s="2165" t="n">
        <v>0</v>
      </c>
      <c r="K2491" s="2165" t="n"/>
    </row>
    <row r="2492" outlineLevel="3" ht="12.75" customHeight="1">
      <c r="A2492" s="82" t="n">
        <v>191</v>
      </c>
      <c r="B2492" s="82" t="inlineStr">
        <is>
          <t>Insumo</t>
        </is>
      </c>
      <c r="C2492" s="82" t="inlineStr">
        <is>
          <t>Revestimento de Parede Porcelanato Eliane Revestimentos – Linha Lumina Areia 20x20</t>
        </is>
      </c>
      <c r="D2492" s="82" t="inlineStr">
        <is>
          <t>Argamassa ACIII</t>
        </is>
      </c>
      <c r="E2492" s="11">
        <f t="array" ref="E2492">_xlfn.XLOOKUP(D2492,Insumos!B:B,Insumos!C:$C)</f>
        <v/>
      </c>
      <c r="F2492" s="2169" t="n">
        <v>8.800000000000001</v>
      </c>
      <c r="G2492" s="92">
        <f t="array" ref="G2492">IF(B2492="insumo",_xlfn.XLOOKUP($D2492,Insumos!$B$1:$B$996,Insumos!$D$1:$D$996),"")</f>
        <v/>
      </c>
      <c r="H2492" s="92" t="n">
        <v>9.367599999999999</v>
      </c>
      <c r="I2492" s="2165" t="n">
        <v>0</v>
      </c>
      <c r="J2492" s="2165" t="n">
        <v>0</v>
      </c>
      <c r="K2492" s="2165" t="n"/>
    </row>
    <row r="2493" outlineLevel="3" ht="12.75" customHeight="1">
      <c r="A2493" s="82" t="n">
        <v>142</v>
      </c>
      <c r="B2493" s="82" t="inlineStr">
        <is>
          <t>Insumo</t>
        </is>
      </c>
      <c r="C2493" s="82" t="inlineStr">
        <is>
          <t>Revestimento de Parede Porcelanato Eliane Revestimentos – Linha Lumina Areia 20x20</t>
        </is>
      </c>
      <c r="D2493" s="82" t="inlineStr">
        <is>
          <t>Espeçador junta piso 2mm</t>
        </is>
      </c>
      <c r="E2493" s="11">
        <f t="array" ref="E2493">_xlfn.XLOOKUP(D2493,Insumos!B:B,Insumos!C:$C)</f>
        <v/>
      </c>
      <c r="F2493" s="2169" t="n">
        <v>1</v>
      </c>
      <c r="G2493" s="92">
        <f t="array" ref="G2493">IF(B2493="insumo",_xlfn.XLOOKUP($D2493,Insumos!$B$1:$B$996,Insumos!$D$1:$D$996),"")</f>
        <v/>
      </c>
      <c r="H2493" s="92" t="n">
        <v>0.08</v>
      </c>
      <c r="I2493" s="2165" t="n">
        <v>0</v>
      </c>
      <c r="J2493" s="2165" t="n">
        <v>0</v>
      </c>
      <c r="K2493" s="2165" t="n"/>
    </row>
    <row r="2494" outlineLevel="3" ht="12.75" customHeight="1">
      <c r="A2494" s="82" t="n">
        <v>101</v>
      </c>
      <c r="B2494" s="82" t="inlineStr">
        <is>
          <t>Insumo</t>
        </is>
      </c>
      <c r="C2494" s="82" t="inlineStr">
        <is>
          <t>Revestimento de Parede Porcelanato Eliane Revestimentos – Linha Lumina Areia 20x20</t>
        </is>
      </c>
      <c r="D2494" s="82" t="inlineStr">
        <is>
          <t>Rejunte Cimentício</t>
        </is>
      </c>
      <c r="E2494" s="11">
        <f t="array" ref="E2494">_xlfn.XLOOKUP(D2494,Insumos!B:B,Insumos!C:$C)</f>
        <v/>
      </c>
      <c r="F2494" s="2169" t="n">
        <v>0.01</v>
      </c>
      <c r="G2494" s="92">
        <f t="array" ref="G2494">IF(B2494="insumo",_xlfn.XLOOKUP($D2494,Insumos!$B$1:$B$996,Insumos!$D$1:$D$996),"")</f>
        <v/>
      </c>
      <c r="H2494" s="92" t="n">
        <v>0.1115</v>
      </c>
      <c r="I2494" s="2165" t="n">
        <v>0</v>
      </c>
      <c r="J2494" s="2165" t="n">
        <v>0</v>
      </c>
      <c r="K2494" s="2165" t="n"/>
    </row>
    <row r="2495" outlineLevel="2" ht="12.75" customHeight="1">
      <c r="A2495" s="1071" t="n">
        <v>1</v>
      </c>
      <c r="B2495" s="1071" t="inlineStr">
        <is>
          <t>Serviço</t>
        </is>
      </c>
      <c r="C2495" s="1071" t="inlineStr">
        <is>
          <t>Revestimento de Parede Porcelanato Portobello – Coleção “Graphite Retro Geo”</t>
        </is>
      </c>
      <c r="D2495" s="1071" t="inlineStr">
        <is>
          <t>Revestimento de Parede Porcelanato Portobello – Coleção “Graphite Retro Geo”</t>
        </is>
      </c>
      <c r="E2495" s="1072" t="inlineStr">
        <is>
          <t>M2</t>
        </is>
      </c>
      <c r="F2495" s="1071" t="n"/>
      <c r="G2495" s="1073">
        <f t="array" ref="G2495">IF(B2495="insumo",_xlfn.XLOOKUP($D2495,Insumos!$B$1:$B$996,Insumos!$D$1:$D$996),"")</f>
        <v/>
      </c>
      <c r="H2495" s="1073" t="n">
        <v>158.0591</v>
      </c>
      <c r="I2495" s="2163" t="n">
        <v>0</v>
      </c>
      <c r="J2495" s="2163" t="n">
        <v>0</v>
      </c>
      <c r="K2495" s="2163" t="n"/>
    </row>
    <row r="2496" outlineLevel="3" ht="12.75" customHeight="1">
      <c r="A2496" s="82" t="n">
        <v>1</v>
      </c>
      <c r="B2496" s="82" t="inlineStr">
        <is>
          <t>Insumo</t>
        </is>
      </c>
      <c r="C2496" s="82" t="inlineStr">
        <is>
          <t>Revestimento de Parede Porcelanato Portobello – Coleção “Graphite Retro Geo”</t>
        </is>
      </c>
      <c r="D2496" s="82" t="inlineStr">
        <is>
          <t xml:space="preserve"> Porcelanato Portobello – Coleção “Graphite Retro Geo”</t>
        </is>
      </c>
      <c r="E2496" s="11">
        <f t="array" ref="E2496">_xlfn.XLOOKUP(D2496,Insumos!B:B,Insumos!C:$C)</f>
        <v/>
      </c>
      <c r="F2496" s="2169" t="n">
        <v>1.1</v>
      </c>
      <c r="G2496" s="92">
        <f t="array" ref="G2496">IF(B2496="insumo",_xlfn.XLOOKUP($D2496,Insumos!$B$1:$B$996,Insumos!$D$1:$D$996),"")</f>
        <v/>
      </c>
      <c r="H2496" s="92" t="n">
        <v>148.5</v>
      </c>
      <c r="I2496" s="2165" t="n">
        <v>0</v>
      </c>
      <c r="J2496" s="2165" t="n">
        <v>0</v>
      </c>
      <c r="K2496" s="2165" t="n"/>
    </row>
    <row r="2497" outlineLevel="3" ht="12.75" customHeight="1">
      <c r="A2497" s="82" t="n">
        <v>191</v>
      </c>
      <c r="B2497" s="82" t="inlineStr">
        <is>
          <t>Insumo</t>
        </is>
      </c>
      <c r="C2497" s="82" t="inlineStr">
        <is>
          <t>Revestimento de Parede Porcelanato Portobello – Coleção “Graphite Retro Geo”</t>
        </is>
      </c>
      <c r="D2497" s="82" t="inlineStr">
        <is>
          <t>Argamassa ACIII</t>
        </is>
      </c>
      <c r="E2497" s="11">
        <f t="array" ref="E2497">_xlfn.XLOOKUP(D2497,Insumos!B:B,Insumos!C:$C)</f>
        <v/>
      </c>
      <c r="F2497" s="2169" t="n">
        <v>8.800000000000001</v>
      </c>
      <c r="G2497" s="92">
        <f t="array" ref="G2497">IF(B2497="insumo",_xlfn.XLOOKUP($D2497,Insumos!$B$1:$B$996,Insumos!$D$1:$D$996),"")</f>
        <v/>
      </c>
      <c r="H2497" s="92" t="n">
        <v>9.367599999999999</v>
      </c>
      <c r="I2497" s="2165" t="n">
        <v>0</v>
      </c>
      <c r="J2497" s="2165" t="n">
        <v>0</v>
      </c>
      <c r="K2497" s="2165" t="n"/>
    </row>
    <row r="2498" outlineLevel="3" ht="12.75" customHeight="1">
      <c r="A2498" s="82" t="n">
        <v>142</v>
      </c>
      <c r="B2498" s="82" t="inlineStr">
        <is>
          <t>Insumo</t>
        </is>
      </c>
      <c r="C2498" s="82" t="inlineStr">
        <is>
          <t>Revestimento de Parede Porcelanato Portobello – Coleção “Graphite Retro Geo”</t>
        </is>
      </c>
      <c r="D2498" s="82" t="inlineStr">
        <is>
          <t>Espeçador junta piso 2mm</t>
        </is>
      </c>
      <c r="E2498" s="11">
        <f t="array" ref="E2498">_xlfn.XLOOKUP(D2498,Insumos!B:B,Insumos!C:$C)</f>
        <v/>
      </c>
      <c r="F2498" s="2169" t="n">
        <v>1</v>
      </c>
      <c r="G2498" s="92">
        <f t="array" ref="G2498">IF(B2498="insumo",_xlfn.XLOOKUP($D2498,Insumos!$B$1:$B$996,Insumos!$D$1:$D$996),"")</f>
        <v/>
      </c>
      <c r="H2498" s="92" t="n">
        <v>0.08</v>
      </c>
      <c r="I2498" s="2165" t="n">
        <v>0</v>
      </c>
      <c r="J2498" s="2165" t="n">
        <v>0</v>
      </c>
      <c r="K2498" s="2165" t="n"/>
    </row>
    <row r="2499" outlineLevel="3" ht="12.75" customHeight="1">
      <c r="A2499" s="82" t="n">
        <v>101</v>
      </c>
      <c r="B2499" s="82" t="inlineStr">
        <is>
          <t>Insumo</t>
        </is>
      </c>
      <c r="C2499" s="82" t="inlineStr">
        <is>
          <t>Revestimento de Parede Porcelanato Portobello – Coleção “Graphite Retro Geo”</t>
        </is>
      </c>
      <c r="D2499" s="82" t="inlineStr">
        <is>
          <t>Rejunte Cimentício</t>
        </is>
      </c>
      <c r="E2499" s="11">
        <f t="array" ref="E2499">_xlfn.XLOOKUP(D2499,Insumos!B:B,Insumos!C:$C)</f>
        <v/>
      </c>
      <c r="F2499" s="2169" t="n">
        <v>0.01</v>
      </c>
      <c r="G2499" s="92">
        <f t="array" ref="G2499">IF(B2499="insumo",_xlfn.XLOOKUP($D2499,Insumos!$B$1:$B$996,Insumos!$D$1:$D$996),"")</f>
        <v/>
      </c>
      <c r="H2499" s="92" t="n">
        <v>0.1115</v>
      </c>
      <c r="I2499" s="2165" t="n">
        <v>0</v>
      </c>
      <c r="J2499" s="2165" t="n">
        <v>0</v>
      </c>
      <c r="K2499" s="2165" t="n"/>
    </row>
    <row r="2500" outlineLevel="2" ht="12.75" customHeight="1">
      <c r="A2500" s="1071" t="n">
        <v>1</v>
      </c>
      <c r="B2500" s="1071" t="inlineStr">
        <is>
          <t>Serviço</t>
        </is>
      </c>
      <c r="C2500" s="1071" t="inlineStr">
        <is>
          <t>Revestimento de parede em Cerâmica esmaltada listras</t>
        </is>
      </c>
      <c r="D2500" s="1071" t="inlineStr">
        <is>
          <t>Revestimento de parede em Cerâmica esmaltada listras</t>
        </is>
      </c>
      <c r="E2500" s="1072" t="inlineStr">
        <is>
          <t>M2</t>
        </is>
      </c>
      <c r="F2500" s="1071" t="n"/>
      <c r="G2500" s="1073">
        <f t="array" ref="G2500">IF(B2500="insumo",_xlfn.XLOOKUP($D2500,Insumos!$B$1:$B$996,Insumos!$D$1:$D$996),"")</f>
        <v/>
      </c>
      <c r="H2500" s="1073" t="n">
        <v>169.0591</v>
      </c>
      <c r="I2500" s="2163" t="n">
        <v>0</v>
      </c>
      <c r="J2500" s="2163" t="n">
        <v>0</v>
      </c>
      <c r="K2500" s="2163" t="n"/>
    </row>
    <row r="2501" outlineLevel="3" ht="12.75" customHeight="1">
      <c r="A2501" s="82" t="n">
        <v>1</v>
      </c>
      <c r="B2501" s="82" t="inlineStr">
        <is>
          <t>Insumo</t>
        </is>
      </c>
      <c r="C2501" s="82" t="inlineStr">
        <is>
          <t>Revestimento de parede em Cerâmica esmaltada listras</t>
        </is>
      </c>
      <c r="D2501" s="82" t="inlineStr">
        <is>
          <t>Cerâmica Tradição 23x23cm esmaltado listrado</t>
        </is>
      </c>
      <c r="E2501" s="11">
        <f t="array" ref="E2501">_xlfn.XLOOKUP(D2501,Insumos!B:B,Insumos!C:$C)</f>
        <v/>
      </c>
      <c r="F2501" s="2169" t="n">
        <v>1.1</v>
      </c>
      <c r="G2501" s="92">
        <f t="array" ref="G2501">IF(B2501="insumo",_xlfn.XLOOKUP($D2501,Insumos!$B$1:$B$996,Insumos!$D$1:$D$996),"")</f>
        <v/>
      </c>
      <c r="H2501" s="92" t="n">
        <v>159.5</v>
      </c>
      <c r="I2501" s="2165" t="n">
        <v>0</v>
      </c>
      <c r="J2501" s="2165" t="n">
        <v>0</v>
      </c>
      <c r="K2501" s="2165" t="n"/>
    </row>
    <row r="2502" outlineLevel="3" ht="12.75" customHeight="1">
      <c r="A2502" s="82" t="n">
        <v>191</v>
      </c>
      <c r="B2502" s="82" t="inlineStr">
        <is>
          <t>Insumo</t>
        </is>
      </c>
      <c r="C2502" s="82" t="inlineStr">
        <is>
          <t>Revestimento de parede em Cerâmica esmaltada listras</t>
        </is>
      </c>
      <c r="D2502" s="82" t="inlineStr">
        <is>
          <t>Argamassa ACIII</t>
        </is>
      </c>
      <c r="E2502" s="11">
        <f t="array" ref="E2502">_xlfn.XLOOKUP(D2502,Insumos!B:B,Insumos!C:$C)</f>
        <v/>
      </c>
      <c r="F2502" s="2169" t="n">
        <v>8.800000000000001</v>
      </c>
      <c r="G2502" s="92">
        <f t="array" ref="G2502">IF(B2502="insumo",_xlfn.XLOOKUP($D2502,Insumos!$B$1:$B$996,Insumos!$D$1:$D$996),"")</f>
        <v/>
      </c>
      <c r="H2502" s="92" t="n">
        <v>9.367599999999999</v>
      </c>
      <c r="I2502" s="2165" t="n">
        <v>0</v>
      </c>
      <c r="J2502" s="2165" t="n">
        <v>0</v>
      </c>
      <c r="K2502" s="2165" t="n"/>
    </row>
    <row r="2503" outlineLevel="3" ht="12.75" customHeight="1">
      <c r="A2503" s="82" t="n">
        <v>142</v>
      </c>
      <c r="B2503" s="82" t="inlineStr">
        <is>
          <t>Insumo</t>
        </is>
      </c>
      <c r="C2503" s="82" t="inlineStr">
        <is>
          <t>Revestimento de parede em Cerâmica esmaltada listras</t>
        </is>
      </c>
      <c r="D2503" s="82" t="inlineStr">
        <is>
          <t>Espeçador junta piso 2mm</t>
        </is>
      </c>
      <c r="E2503" s="11">
        <f t="array" ref="E2503">_xlfn.XLOOKUP(D2503,Insumos!B:B,Insumos!C:$C)</f>
        <v/>
      </c>
      <c r="F2503" s="2169" t="n">
        <v>1</v>
      </c>
      <c r="G2503" s="92">
        <f t="array" ref="G2503">IF(B2503="insumo",_xlfn.XLOOKUP($D2503,Insumos!$B$1:$B$996,Insumos!$D$1:$D$996),"")</f>
        <v/>
      </c>
      <c r="H2503" s="92" t="n">
        <v>0.08</v>
      </c>
      <c r="I2503" s="2165" t="n">
        <v>0</v>
      </c>
      <c r="J2503" s="2165" t="n">
        <v>0</v>
      </c>
      <c r="K2503" s="2165" t="n"/>
    </row>
    <row r="2504" outlineLevel="3" ht="12.75" customHeight="1">
      <c r="A2504" s="82" t="n">
        <v>101</v>
      </c>
      <c r="B2504" s="82" t="inlineStr">
        <is>
          <t>Insumo</t>
        </is>
      </c>
      <c r="C2504" s="82" t="inlineStr">
        <is>
          <t>Revestimento de parede em Cerâmica esmaltada listras</t>
        </is>
      </c>
      <c r="D2504" s="82" t="inlineStr">
        <is>
          <t>Rejunte Cimentício</t>
        </is>
      </c>
      <c r="E2504" s="11">
        <f t="array" ref="E2504">_xlfn.XLOOKUP(D2504,Insumos!B:B,Insumos!C:$C)</f>
        <v/>
      </c>
      <c r="F2504" s="2169" t="n">
        <v>0.01</v>
      </c>
      <c r="G2504" s="92">
        <f t="array" ref="G2504">IF(B2504="insumo",_xlfn.XLOOKUP($D2504,Insumos!$B$1:$B$996,Insumos!$D$1:$D$996),"")</f>
        <v/>
      </c>
      <c r="H2504" s="92" t="n">
        <v>0.1115</v>
      </c>
      <c r="I2504" s="2165" t="n">
        <v>0</v>
      </c>
      <c r="J2504" s="2165" t="n">
        <v>0</v>
      </c>
      <c r="K2504" s="2165" t="n"/>
    </row>
    <row r="2505" outlineLevel="2" ht="12.75" customHeight="1">
      <c r="A2505" s="1071" t="n">
        <v>1</v>
      </c>
      <c r="B2505" s="1071" t="inlineStr">
        <is>
          <t>Serviço</t>
        </is>
      </c>
      <c r="C2505" s="1071" t="inlineStr">
        <is>
          <t>Revestimento de parede em Cerâmica Tradição 23x23cm Verde claro</t>
        </is>
      </c>
      <c r="D2505" s="1071" t="inlineStr">
        <is>
          <t>Revestimento de parede em Cerâmica Tradição 23x23cm Verde claro</t>
        </is>
      </c>
      <c r="E2505" s="1072" t="inlineStr">
        <is>
          <t>M2</t>
        </is>
      </c>
      <c r="F2505" s="1071" t="n"/>
      <c r="G2505" s="1073">
        <f t="array" ref="G2505">IF(B2505="insumo",_xlfn.XLOOKUP($D2505,Insumos!$B$1:$B$996,Insumos!$D$1:$D$996),"")</f>
        <v/>
      </c>
      <c r="H2505" s="1073" t="n">
        <v>130.5591</v>
      </c>
      <c r="I2505" s="2163" t="n">
        <v>0</v>
      </c>
      <c r="J2505" s="2163" t="n">
        <v>0</v>
      </c>
      <c r="K2505" s="2163" t="n"/>
    </row>
    <row r="2506" outlineLevel="3" ht="12.75" customHeight="1">
      <c r="A2506" s="82" t="n">
        <v>1</v>
      </c>
      <c r="B2506" s="82" t="inlineStr">
        <is>
          <t>Insumo</t>
        </is>
      </c>
      <c r="C2506" s="82" t="inlineStr">
        <is>
          <t>Revestimento de parede em Cerâmica Tradição 23x23cm Verde claro</t>
        </is>
      </c>
      <c r="D2506" s="82" t="inlineStr">
        <is>
          <t>Cerâmica Tradição 23x23cm verde claro</t>
        </is>
      </c>
      <c r="E2506" s="11">
        <f t="array" ref="E2506">_xlfn.XLOOKUP(D2506,Insumos!B:B,Insumos!C:$C)</f>
        <v/>
      </c>
      <c r="F2506" s="2169" t="n">
        <v>1.1</v>
      </c>
      <c r="G2506" s="92">
        <f t="array" ref="G2506">IF(B2506="insumo",_xlfn.XLOOKUP($D2506,Insumos!$B$1:$B$996,Insumos!$D$1:$D$996),"")</f>
        <v/>
      </c>
      <c r="H2506" s="92" t="n">
        <v>121</v>
      </c>
      <c r="I2506" s="2165" t="n">
        <v>0</v>
      </c>
      <c r="J2506" s="2165" t="n">
        <v>0</v>
      </c>
      <c r="K2506" s="2165" t="n"/>
    </row>
    <row r="2507" outlineLevel="3" ht="12.75" customHeight="1">
      <c r="A2507" s="82" t="n">
        <v>191</v>
      </c>
      <c r="B2507" s="82" t="inlineStr">
        <is>
          <t>Insumo</t>
        </is>
      </c>
      <c r="C2507" s="82" t="inlineStr">
        <is>
          <t>Revestimento de parede em Cerâmica Tradição 23x23cm Verde claro</t>
        </is>
      </c>
      <c r="D2507" s="82" t="inlineStr">
        <is>
          <t>Argamassa ACIII</t>
        </is>
      </c>
      <c r="E2507" s="11">
        <f t="array" ref="E2507">_xlfn.XLOOKUP(D2507,Insumos!B:B,Insumos!C:$C)</f>
        <v/>
      </c>
      <c r="F2507" s="2169" t="n">
        <v>8.800000000000001</v>
      </c>
      <c r="G2507" s="92">
        <f t="array" ref="G2507">IF(B2507="insumo",_xlfn.XLOOKUP($D2507,Insumos!$B$1:$B$996,Insumos!$D$1:$D$996),"")</f>
        <v/>
      </c>
      <c r="H2507" s="92" t="n">
        <v>9.367599999999999</v>
      </c>
      <c r="I2507" s="2165" t="n">
        <v>0</v>
      </c>
      <c r="J2507" s="2165" t="n">
        <v>0</v>
      </c>
      <c r="K2507" s="2165" t="n"/>
    </row>
    <row r="2508" outlineLevel="3" ht="12.75" customHeight="1">
      <c r="A2508" s="82" t="n">
        <v>142</v>
      </c>
      <c r="B2508" s="82" t="inlineStr">
        <is>
          <t>Insumo</t>
        </is>
      </c>
      <c r="C2508" s="82" t="inlineStr">
        <is>
          <t>Revestimento de parede em Cerâmica Tradição 23x23cm Verde claro</t>
        </is>
      </c>
      <c r="D2508" s="82" t="inlineStr">
        <is>
          <t>Espeçador junta piso 2mm</t>
        </is>
      </c>
      <c r="E2508" s="11">
        <f t="array" ref="E2508">_xlfn.XLOOKUP(D2508,Insumos!B:B,Insumos!C:$C)</f>
        <v/>
      </c>
      <c r="F2508" s="2169" t="n">
        <v>1</v>
      </c>
      <c r="G2508" s="92">
        <f t="array" ref="G2508">IF(B2508="insumo",_xlfn.XLOOKUP($D2508,Insumos!$B$1:$B$996,Insumos!$D$1:$D$996),"")</f>
        <v/>
      </c>
      <c r="H2508" s="92" t="n">
        <v>0.08</v>
      </c>
      <c r="I2508" s="2165" t="n">
        <v>0</v>
      </c>
      <c r="J2508" s="2165" t="n">
        <v>0</v>
      </c>
      <c r="K2508" s="2165" t="n"/>
    </row>
    <row r="2509" outlineLevel="3" ht="12.75" customHeight="1">
      <c r="A2509" s="82" t="n">
        <v>101</v>
      </c>
      <c r="B2509" s="82" t="inlineStr">
        <is>
          <t>Insumo</t>
        </is>
      </c>
      <c r="C2509" s="82" t="inlineStr">
        <is>
          <t>Revestimento de parede em Cerâmica Tradição 23x23cm Verde claro</t>
        </is>
      </c>
      <c r="D2509" s="82" t="inlineStr">
        <is>
          <t>Rejunte Cimentício</t>
        </is>
      </c>
      <c r="E2509" s="11">
        <f t="array" ref="E2509">_xlfn.XLOOKUP(D2509,Insumos!B:B,Insumos!C:$C)</f>
        <v/>
      </c>
      <c r="F2509" s="2169" t="n">
        <v>0.01</v>
      </c>
      <c r="G2509" s="92">
        <f t="array" ref="G2509">IF(B2509="insumo",_xlfn.XLOOKUP($D2509,Insumos!$B$1:$B$996,Insumos!$D$1:$D$996),"")</f>
        <v/>
      </c>
      <c r="H2509" s="92" t="n">
        <v>0.1115</v>
      </c>
      <c r="I2509" s="2165" t="n">
        <v>0</v>
      </c>
      <c r="J2509" s="2165" t="n">
        <v>0</v>
      </c>
      <c r="K2509" s="2165" t="n"/>
    </row>
    <row r="2510" outlineLevel="2" ht="12.75" customHeight="1">
      <c r="A2510" s="1071" t="n">
        <v>1</v>
      </c>
      <c r="B2510" s="1071" t="inlineStr">
        <is>
          <t>Serviço</t>
        </is>
      </c>
      <c r="C2510" s="1071" t="inlineStr">
        <is>
          <t xml:space="preserve">Revestimento de parede em Cerâmica Tradição 23x23cm Lepri </t>
        </is>
      </c>
      <c r="D2510" s="1071" t="inlineStr">
        <is>
          <t xml:space="preserve">Revestimento de parede em Cerâmica Tradição 23x23cm Lepri </t>
        </is>
      </c>
      <c r="E2510" s="1072" t="inlineStr">
        <is>
          <t>M2</t>
        </is>
      </c>
      <c r="F2510" s="1071" t="n"/>
      <c r="G2510" s="1073">
        <f t="array" ref="G2510">IF(B2510="insumo",_xlfn.XLOOKUP($D2510,Insumos!$B$1:$B$996,Insumos!$D$1:$D$996),"")</f>
        <v/>
      </c>
      <c r="H2510" s="1073" t="n">
        <v>164.6591</v>
      </c>
      <c r="I2510" s="2163" t="n">
        <v>0</v>
      </c>
      <c r="J2510" s="2163" t="n">
        <v>0</v>
      </c>
      <c r="K2510" s="2163" t="n"/>
    </row>
    <row r="2511" outlineLevel="3" ht="12.75" customHeight="1">
      <c r="A2511" s="82" t="n">
        <v>1</v>
      </c>
      <c r="B2511" s="82" t="inlineStr">
        <is>
          <t>Insumo</t>
        </is>
      </c>
      <c r="C2511" s="82" t="inlineStr">
        <is>
          <t xml:space="preserve">Revestimento de parede em Cerâmica Tradição 23x23cm Lepri </t>
        </is>
      </c>
      <c r="D2511" s="82" t="inlineStr">
        <is>
          <t xml:space="preserve">Cerâmica Tradição 23x23cm Lepri </t>
        </is>
      </c>
      <c r="E2511" s="11">
        <f t="array" ref="E2511">_xlfn.XLOOKUP(D2511,Insumos!B:B,Insumos!C:$C)</f>
        <v/>
      </c>
      <c r="F2511" s="2169" t="n">
        <v>1.1</v>
      </c>
      <c r="G2511" s="92">
        <f t="array" ref="G2511">IF(B2511="insumo",_xlfn.XLOOKUP($D2511,Insumos!$B$1:$B$996,Insumos!$D$1:$D$996),"")</f>
        <v/>
      </c>
      <c r="H2511" s="92" t="n">
        <v>155.1</v>
      </c>
      <c r="I2511" s="2165" t="n">
        <v>0</v>
      </c>
      <c r="J2511" s="2165" t="n">
        <v>0</v>
      </c>
      <c r="K2511" s="2165" t="n"/>
    </row>
    <row r="2512" outlineLevel="3" ht="12.75" customHeight="1">
      <c r="A2512" s="82" t="n">
        <v>191</v>
      </c>
      <c r="B2512" s="82" t="inlineStr">
        <is>
          <t>Insumo</t>
        </is>
      </c>
      <c r="C2512" s="82" t="inlineStr">
        <is>
          <t xml:space="preserve">Revestimento de parede em Cerâmica Tradição 23x23cm Lepri </t>
        </is>
      </c>
      <c r="D2512" s="82" t="inlineStr">
        <is>
          <t>Argamassa ACIII</t>
        </is>
      </c>
      <c r="E2512" s="11">
        <f t="array" ref="E2512">_xlfn.XLOOKUP(D2512,Insumos!B:B,Insumos!C:$C)</f>
        <v/>
      </c>
      <c r="F2512" s="2169" t="n">
        <v>8.800000000000001</v>
      </c>
      <c r="G2512" s="92">
        <f t="array" ref="G2512">IF(B2512="insumo",_xlfn.XLOOKUP($D2512,Insumos!$B$1:$B$996,Insumos!$D$1:$D$996),"")</f>
        <v/>
      </c>
      <c r="H2512" s="92" t="n">
        <v>9.367599999999999</v>
      </c>
      <c r="I2512" s="2165" t="n">
        <v>0</v>
      </c>
      <c r="J2512" s="2165" t="n">
        <v>0</v>
      </c>
      <c r="K2512" s="2165" t="n"/>
    </row>
    <row r="2513" outlineLevel="3" ht="12.75" customHeight="1">
      <c r="A2513" s="82" t="n">
        <v>142</v>
      </c>
      <c r="B2513" s="82" t="inlineStr">
        <is>
          <t>Insumo</t>
        </is>
      </c>
      <c r="C2513" s="82" t="inlineStr">
        <is>
          <t xml:space="preserve">Revestimento de parede em Cerâmica Tradição 23x23cm Lepri </t>
        </is>
      </c>
      <c r="D2513" s="82" t="inlineStr">
        <is>
          <t>Espeçador junta piso 2mm</t>
        </is>
      </c>
      <c r="E2513" s="11">
        <f t="array" ref="E2513">_xlfn.XLOOKUP(D2513,Insumos!B:B,Insumos!C:$C)</f>
        <v/>
      </c>
      <c r="F2513" s="2169" t="n">
        <v>1</v>
      </c>
      <c r="G2513" s="92">
        <f t="array" ref="G2513">IF(B2513="insumo",_xlfn.XLOOKUP($D2513,Insumos!$B$1:$B$996,Insumos!$D$1:$D$996),"")</f>
        <v/>
      </c>
      <c r="H2513" s="92" t="n">
        <v>0.08</v>
      </c>
      <c r="I2513" s="2165" t="n">
        <v>0</v>
      </c>
      <c r="J2513" s="2165" t="n">
        <v>0</v>
      </c>
      <c r="K2513" s="2165" t="n"/>
    </row>
    <row r="2514" outlineLevel="3" ht="12.75" customHeight="1">
      <c r="A2514" s="82" t="n">
        <v>101</v>
      </c>
      <c r="B2514" s="82" t="inlineStr">
        <is>
          <t>Insumo</t>
        </is>
      </c>
      <c r="C2514" s="82" t="inlineStr">
        <is>
          <t xml:space="preserve">Revestimento de parede em Cerâmica Tradição 23x23cm Lepri </t>
        </is>
      </c>
      <c r="D2514" s="82" t="inlineStr">
        <is>
          <t>Rejunte Cimentício</t>
        </is>
      </c>
      <c r="E2514" s="11">
        <f t="array" ref="E2514">_xlfn.XLOOKUP(D2514,Insumos!B:B,Insumos!C:$C)</f>
        <v/>
      </c>
      <c r="F2514" s="2169" t="n">
        <v>0.01</v>
      </c>
      <c r="G2514" s="92">
        <f t="array" ref="G2514">IF(B2514="insumo",_xlfn.XLOOKUP($D2514,Insumos!$B$1:$B$996,Insumos!$D$1:$D$996),"")</f>
        <v/>
      </c>
      <c r="H2514" s="92" t="n">
        <v>0.1115</v>
      </c>
      <c r="I2514" s="2165" t="n">
        <v>0</v>
      </c>
      <c r="J2514" s="2165" t="n">
        <v>0</v>
      </c>
      <c r="K2514" s="2165" t="n"/>
    </row>
    <row r="2515" outlineLevel="2" ht="12.75" customHeight="1">
      <c r="A2515" s="1071" t="n">
        <v>1</v>
      </c>
      <c r="B2515" s="1071" t="inlineStr">
        <is>
          <t>Serviço</t>
        </is>
      </c>
      <c r="C2515" s="1071" t="inlineStr">
        <is>
          <t>Revestimento de parede em Porcelanato Eliane Silex 90x90</t>
        </is>
      </c>
      <c r="D2515" s="1071" t="inlineStr">
        <is>
          <t>Revestimento de parede em Porcelanato Eliane Silex 90x90</t>
        </is>
      </c>
      <c r="E2515" s="1072" t="inlineStr">
        <is>
          <t>M2</t>
        </is>
      </c>
      <c r="F2515" s="1071" t="n"/>
      <c r="G2515" s="1073">
        <f t="array" ref="G2515">IF(B2515="insumo",_xlfn.XLOOKUP($D2515,Insumos!$B$1:$B$996,Insumos!$D$1:$D$996),"")</f>
        <v/>
      </c>
      <c r="H2515" s="1073" t="n">
        <v>634.3591</v>
      </c>
      <c r="I2515" s="2163" t="n">
        <v>0</v>
      </c>
      <c r="J2515" s="2163" t="n">
        <v>0</v>
      </c>
      <c r="K2515" s="2163" t="n"/>
    </row>
    <row r="2516" outlineLevel="3" ht="12.75" customHeight="1">
      <c r="A2516" s="82" t="n">
        <v>1</v>
      </c>
      <c r="B2516" s="82" t="inlineStr">
        <is>
          <t>Insumo</t>
        </is>
      </c>
      <c r="C2516" s="82" t="inlineStr">
        <is>
          <t>Revestimento de parede em Porcelanato Eliane Silex 90x90</t>
        </is>
      </c>
      <c r="D2516" s="82" t="inlineStr">
        <is>
          <t xml:space="preserve">Porcelanato Eliane Silex 90x90 Branco Nat </t>
        </is>
      </c>
      <c r="E2516" s="11">
        <f t="array" ref="E2516">_xlfn.XLOOKUP(D2516,Insumos!B:B,Insumos!C:$C)</f>
        <v/>
      </c>
      <c r="F2516" s="2169" t="n">
        <v>1.1</v>
      </c>
      <c r="G2516" s="92">
        <f t="array" ref="G2516">IF(B2516="insumo",_xlfn.XLOOKUP($D2516,Insumos!$B$1:$B$996,Insumos!$D$1:$D$996),"")</f>
        <v/>
      </c>
      <c r="H2516" s="92" t="n">
        <v>624.8</v>
      </c>
      <c r="I2516" s="2165" t="n">
        <v>0</v>
      </c>
      <c r="J2516" s="2165" t="n">
        <v>0</v>
      </c>
      <c r="K2516" s="2165" t="n"/>
    </row>
    <row r="2517" outlineLevel="3" ht="12.75" customHeight="1">
      <c r="A2517" s="82" t="n">
        <v>191</v>
      </c>
      <c r="B2517" s="82" t="inlineStr">
        <is>
          <t>Insumo</t>
        </is>
      </c>
      <c r="C2517" s="82" t="inlineStr">
        <is>
          <t>Revestimento de parede em Porcelanato Eliane Silex 90x90</t>
        </is>
      </c>
      <c r="D2517" s="82" t="inlineStr">
        <is>
          <t>Argamassa ACIII</t>
        </is>
      </c>
      <c r="E2517" s="11">
        <f t="array" ref="E2517">_xlfn.XLOOKUP(D2517,Insumos!B:B,Insumos!C:$C)</f>
        <v/>
      </c>
      <c r="F2517" s="2169" t="n">
        <v>8.800000000000001</v>
      </c>
      <c r="G2517" s="92">
        <f t="array" ref="G2517">IF(B2517="insumo",_xlfn.XLOOKUP($D2517,Insumos!$B$1:$B$996,Insumos!$D$1:$D$996),"")</f>
        <v/>
      </c>
      <c r="H2517" s="92" t="n">
        <v>9.367599999999999</v>
      </c>
      <c r="I2517" s="2165" t="n">
        <v>0</v>
      </c>
      <c r="J2517" s="2165" t="n">
        <v>0</v>
      </c>
      <c r="K2517" s="2165" t="n"/>
    </row>
    <row r="2518" outlineLevel="3" ht="12.75" customHeight="1">
      <c r="A2518" s="82" t="n">
        <v>142</v>
      </c>
      <c r="B2518" s="82" t="inlineStr">
        <is>
          <t>Insumo</t>
        </is>
      </c>
      <c r="C2518" s="82" t="inlineStr">
        <is>
          <t>Revestimento de parede em Porcelanato Eliane Silex 90x90</t>
        </is>
      </c>
      <c r="D2518" s="82" t="inlineStr">
        <is>
          <t>Espeçador junta piso 2mm</t>
        </is>
      </c>
      <c r="E2518" s="11">
        <f t="array" ref="E2518">_xlfn.XLOOKUP(D2518,Insumos!B:B,Insumos!C:$C)</f>
        <v/>
      </c>
      <c r="F2518" s="2169" t="n">
        <v>1</v>
      </c>
      <c r="G2518" s="92">
        <f t="array" ref="G2518">IF(B2518="insumo",_xlfn.XLOOKUP($D2518,Insumos!$B$1:$B$996,Insumos!$D$1:$D$996),"")</f>
        <v/>
      </c>
      <c r="H2518" s="92" t="n">
        <v>0.08</v>
      </c>
      <c r="I2518" s="2165" t="n">
        <v>0</v>
      </c>
      <c r="J2518" s="2165" t="n">
        <v>0</v>
      </c>
      <c r="K2518" s="2165" t="n"/>
    </row>
    <row r="2519" outlineLevel="3" ht="12.75" customHeight="1">
      <c r="A2519" s="82" t="n">
        <v>101</v>
      </c>
      <c r="B2519" s="82" t="inlineStr">
        <is>
          <t>Insumo</t>
        </is>
      </c>
      <c r="C2519" s="82" t="inlineStr">
        <is>
          <t>Revestimento de parede em Porcelanato Eliane Silex 90x90</t>
        </is>
      </c>
      <c r="D2519" s="82" t="inlineStr">
        <is>
          <t>Rejunte Cimentício</t>
        </is>
      </c>
      <c r="E2519" s="11">
        <f t="array" ref="E2519">_xlfn.XLOOKUP(D2519,Insumos!B:B,Insumos!C:$C)</f>
        <v/>
      </c>
      <c r="F2519" s="2169" t="n">
        <v>0.01</v>
      </c>
      <c r="G2519" s="92">
        <f t="array" ref="G2519">IF(B2519="insumo",_xlfn.XLOOKUP($D2519,Insumos!$B$1:$B$996,Insumos!$D$1:$D$996),"")</f>
        <v/>
      </c>
      <c r="H2519" s="92" t="n">
        <v>0.1115</v>
      </c>
      <c r="I2519" s="2165" t="n">
        <v>0</v>
      </c>
      <c r="J2519" s="2165" t="n">
        <v>0</v>
      </c>
      <c r="K2519" s="2165" t="n"/>
    </row>
    <row r="2520" outlineLevel="2" ht="12.75" customHeight="1">
      <c r="A2520" s="1071" t="n">
        <v>1</v>
      </c>
      <c r="B2520" s="1071" t="inlineStr">
        <is>
          <t>Serviço</t>
        </is>
      </c>
      <c r="C2520" s="1071" t="inlineStr">
        <is>
          <t>Revestimento em Parede Azulejo Milos - Vila Sintra Azulejos</t>
        </is>
      </c>
      <c r="D2520" s="1071" t="inlineStr">
        <is>
          <t>Revestimento em Parede Azulejo Milos - Vila Sintra Azulejos</t>
        </is>
      </c>
      <c r="E2520" s="1072" t="inlineStr">
        <is>
          <t>M2</t>
        </is>
      </c>
      <c r="F2520" s="1071" t="n"/>
      <c r="G2520" s="1073">
        <f t="array" ref="G2520">IF(B2520="insumo",_xlfn.XLOOKUP($D2520,Insumos!$B$1:$B$996,Insumos!$D$1:$D$996),"")</f>
        <v/>
      </c>
      <c r="H2520" s="1073" t="n">
        <v>529.179275</v>
      </c>
      <c r="I2520" s="2163" t="n">
        <v>0</v>
      </c>
      <c r="J2520" s="2163" t="n">
        <v>0</v>
      </c>
      <c r="K2520" s="2163" t="n"/>
    </row>
    <row r="2521" outlineLevel="3" ht="12.75" customHeight="1">
      <c r="A2521" s="82" t="n">
        <v>1</v>
      </c>
      <c r="B2521" s="82" t="inlineStr">
        <is>
          <t>Insumo</t>
        </is>
      </c>
      <c r="C2521" s="82" t="inlineStr">
        <is>
          <t>Revestimento em Parede Azulejo Milos - Vila Sintra Azulejos</t>
        </is>
      </c>
      <c r="D2521" s="82" t="inlineStr">
        <is>
          <t>Revestimento para Azulejo Milos - Vila Sintra Azulejos</t>
        </is>
      </c>
      <c r="E2521" s="11">
        <f t="array" ref="E2521">_xlfn.XLOOKUP(D2521,Insumos!B:B,Insumos!C:$C)</f>
        <v/>
      </c>
      <c r="F2521" s="2169" t="n">
        <v>1.1</v>
      </c>
      <c r="G2521" s="92">
        <f t="array" ref="G2521">IF(B2521="insumo",_xlfn.XLOOKUP($D2521,Insumos!$B$1:$B$996,Insumos!$D$1:$D$996),"")</f>
        <v/>
      </c>
      <c r="H2521" s="92" t="n">
        <v>521.4</v>
      </c>
      <c r="I2521" s="2165" t="n">
        <v>0</v>
      </c>
      <c r="J2521" s="2165" t="n">
        <v>0</v>
      </c>
      <c r="K2521" s="2165" t="n"/>
    </row>
    <row r="2522" outlineLevel="3" ht="12.75" customHeight="1">
      <c r="A2522" s="82" t="n">
        <v>191</v>
      </c>
      <c r="B2522" s="82" t="inlineStr">
        <is>
          <t>Insumo</t>
        </is>
      </c>
      <c r="C2522" s="82" t="inlineStr">
        <is>
          <t>Revestimento em Parede Azulejo Milos - Vila Sintra Azulejos</t>
        </is>
      </c>
      <c r="D2522" s="82" t="inlineStr">
        <is>
          <t>Argamassa ACIII</t>
        </is>
      </c>
      <c r="E2522" s="11">
        <f t="array" ref="E2522">_xlfn.XLOOKUP(D2522,Insumos!B:B,Insumos!C:$C)</f>
        <v/>
      </c>
      <c r="F2522" s="2169" t="n">
        <v>4.95</v>
      </c>
      <c r="G2522" s="92">
        <f t="array" ref="G2522">IF(B2522="insumo",_xlfn.XLOOKUP($D2522,Insumos!$B$1:$B$996,Insumos!$D$1:$D$996),"")</f>
        <v/>
      </c>
      <c r="H2522" s="92" t="n">
        <v>5.269275</v>
      </c>
      <c r="I2522" s="2165" t="n">
        <v>0</v>
      </c>
      <c r="J2522" s="2165" t="n">
        <v>0</v>
      </c>
      <c r="K2522" s="2165" t="n"/>
    </row>
    <row r="2523" outlineLevel="3" ht="12.75" customHeight="1">
      <c r="A2523" s="82" t="n">
        <v>142</v>
      </c>
      <c r="B2523" s="82" t="inlineStr">
        <is>
          <t>Insumo</t>
        </is>
      </c>
      <c r="C2523" s="82" t="inlineStr">
        <is>
          <t>Revestimento em Parede Azulejo Milos - Vila Sintra Azulejos</t>
        </is>
      </c>
      <c r="D2523" s="82" t="inlineStr">
        <is>
          <t>Espeçador junta piso 2mm</t>
        </is>
      </c>
      <c r="E2523" s="11">
        <f t="array" ref="E2523">_xlfn.XLOOKUP(D2523,Insumos!B:B,Insumos!C:$C)</f>
        <v/>
      </c>
      <c r="F2523" s="2169" t="n">
        <v>4</v>
      </c>
      <c r="G2523" s="92">
        <f t="array" ref="G2523">IF(B2523="insumo",_xlfn.XLOOKUP($D2523,Insumos!$B$1:$B$996,Insumos!$D$1:$D$996),"")</f>
        <v/>
      </c>
      <c r="H2523" s="92" t="n">
        <v>0.32</v>
      </c>
      <c r="I2523" s="2165" t="n">
        <v>0</v>
      </c>
      <c r="J2523" s="2165" t="n">
        <v>0</v>
      </c>
      <c r="K2523" s="2165" t="n"/>
    </row>
    <row r="2524" outlineLevel="3" ht="12.75" customHeight="1">
      <c r="A2524" s="82" t="n">
        <v>22</v>
      </c>
      <c r="B2524" s="82" t="inlineStr">
        <is>
          <t>Insumo</t>
        </is>
      </c>
      <c r="C2524" s="82" t="inlineStr">
        <is>
          <t>Revestimento em Parede Azulejo Milos - Vila Sintra Azulejos</t>
        </is>
      </c>
      <c r="D2524" s="82" t="inlineStr">
        <is>
          <t>Rejunte acrilico</t>
        </is>
      </c>
      <c r="E2524" s="11">
        <f t="array" ref="E2524">_xlfn.XLOOKUP(D2524,Insumos!B:B,Insumos!C:$C)</f>
        <v/>
      </c>
      <c r="F2524" s="2169" t="n">
        <v>0.05</v>
      </c>
      <c r="G2524" s="92">
        <f t="array" ref="G2524">IF(B2524="insumo",_xlfn.XLOOKUP($D2524,Insumos!$B$1:$B$996,Insumos!$D$1:$D$996),"")</f>
        <v/>
      </c>
      <c r="H2524" s="92" t="n">
        <v>2.19</v>
      </c>
      <c r="I2524" s="2165" t="n">
        <v>0</v>
      </c>
      <c r="J2524" s="2165" t="n">
        <v>0</v>
      </c>
      <c r="K2524" s="2165" t="n"/>
    </row>
    <row r="2525" outlineLevel="1" ht="15.75" customHeight="1">
      <c r="A2525" s="1090" t="n">
        <v>1</v>
      </c>
      <c r="B2525" s="1090" t="inlineStr">
        <is>
          <t>Subetapa</t>
        </is>
      </c>
      <c r="C2525" s="1090" t="inlineStr">
        <is>
          <t>Revestimento em Parede Azulejo Milos - Vila Sintra Azulejos</t>
        </is>
      </c>
      <c r="D2525" s="1090" t="inlineStr">
        <is>
          <t>PASTILHAS LADRILHO PAREDE</t>
        </is>
      </c>
      <c r="E2525" s="1091" t="n"/>
      <c r="F2525" s="2160" t="n"/>
      <c r="G2525" s="1091" t="n"/>
      <c r="H2525" s="1091" t="n">
        <v>0</v>
      </c>
      <c r="I2525" s="2160" t="n">
        <v>0</v>
      </c>
      <c r="J2525" s="2160" t="n">
        <v>0</v>
      </c>
      <c r="K2525" s="2160" t="n"/>
    </row>
    <row r="2526" outlineLevel="2" ht="15.75" customHeight="1">
      <c r="A2526" s="1067" t="n">
        <v>1</v>
      </c>
      <c r="B2526" s="1067" t="inlineStr">
        <is>
          <t>Serviço</t>
        </is>
      </c>
      <c r="C2526" s="1067" t="inlineStr">
        <is>
          <t>Revestimento em Pastilhas Cerâmicas Paredes Interna, 6 x 24cm com Junta de 3mm</t>
        </is>
      </c>
      <c r="D2526" s="1067" t="inlineStr">
        <is>
          <t>Revestimento em Pastilhas Cerâmicas Paredes Interna, 6 x 24cm com Junta de 3mm</t>
        </is>
      </c>
      <c r="E2526" s="1068" t="inlineStr">
        <is>
          <t>M2</t>
        </is>
      </c>
      <c r="F2526" s="1067" t="n"/>
      <c r="G2526" s="1069">
        <f t="array" ref="G2526">IF(B2526="insumo",_xlfn.XLOOKUP($D2526,Insumos!$B$1:$B$996,Insumos!$D$1:$D$996),"")</f>
        <v/>
      </c>
      <c r="H2526" s="1069" t="n">
        <v>98.979275</v>
      </c>
      <c r="I2526" s="2161" t="n">
        <v>0</v>
      </c>
      <c r="J2526" s="2161" t="n">
        <v>0</v>
      </c>
      <c r="K2526" s="2161" t="n"/>
    </row>
    <row r="2527" outlineLevel="3" ht="15.75" customHeight="1">
      <c r="A2527" s="10" t="n">
        <v>1</v>
      </c>
      <c r="B2527" s="10" t="inlineStr">
        <is>
          <t>Insumo</t>
        </is>
      </c>
      <c r="C2527" s="10" t="inlineStr">
        <is>
          <t>Revestimento em Pastilhas Cerâmicas Paredes Interna, 6 x 24cm com Junta de 3mm</t>
        </is>
      </c>
      <c r="D2527" s="10" t="inlineStr">
        <is>
          <t>Revestimento Pastilha 07x24cm</t>
        </is>
      </c>
      <c r="E2527" s="11">
        <f t="array" ref="E2527">_xlfn.XLOOKUP(D2527,Insumos!B:B,Insumos!C:$C)</f>
        <v/>
      </c>
      <c r="F2527" s="14" t="n">
        <v>1.1</v>
      </c>
      <c r="G2527" s="92">
        <f t="array" ref="G2527">IF(B2527="insumo",_xlfn.XLOOKUP($D2527,Insumos!$B$1:$B$996,Insumos!$D$1:$D$996),"")</f>
        <v/>
      </c>
      <c r="H2527" s="92" t="n">
        <v>92.345</v>
      </c>
      <c r="I2527" s="2162" t="n">
        <v>0</v>
      </c>
      <c r="J2527" s="2162" t="n">
        <v>0</v>
      </c>
      <c r="K2527" s="2162" t="n"/>
    </row>
    <row r="2528" outlineLevel="3" ht="15.75" customHeight="1">
      <c r="A2528" s="10" t="n">
        <v>191</v>
      </c>
      <c r="B2528" s="10" t="inlineStr">
        <is>
          <t>Insumo</t>
        </is>
      </c>
      <c r="C2528" s="10" t="inlineStr">
        <is>
          <t>Revestimento em Pastilhas Cerâmicas Paredes Interna, 6 x 24cm com Junta de 3mm</t>
        </is>
      </c>
      <c r="D2528" s="10" t="inlineStr">
        <is>
          <t>Argamassa ACIII</t>
        </is>
      </c>
      <c r="E2528" s="11">
        <f t="array" ref="E2528">_xlfn.XLOOKUP(D2528,Insumos!B:B,Insumos!C:$C)</f>
        <v/>
      </c>
      <c r="F2528" s="14" t="n">
        <v>4.95</v>
      </c>
      <c r="G2528" s="92">
        <f t="array" ref="G2528">IF(B2528="insumo",_xlfn.XLOOKUP($D2528,Insumos!$B$1:$B$996,Insumos!$D$1:$D$996),"")</f>
        <v/>
      </c>
      <c r="H2528" s="92" t="n">
        <v>5.269275</v>
      </c>
      <c r="I2528" s="2162" t="n">
        <v>0</v>
      </c>
      <c r="J2528" s="2162" t="n">
        <v>0</v>
      </c>
      <c r="K2528" s="2162" t="n"/>
    </row>
    <row r="2529" outlineLevel="3" ht="15.75" customHeight="1">
      <c r="A2529" s="10" t="n">
        <v>17</v>
      </c>
      <c r="B2529" s="10" t="inlineStr">
        <is>
          <t>Insumo</t>
        </is>
      </c>
      <c r="C2529" s="10" t="inlineStr">
        <is>
          <t>Revestimento em Pastilhas Cerâmicas Paredes Interna, 6 x 24cm com Junta de 3mm</t>
        </is>
      </c>
      <c r="D2529" s="10" t="inlineStr">
        <is>
          <t>Espeçador junta piso 3mm</t>
        </is>
      </c>
      <c r="E2529" s="11">
        <f t="array" ref="E2529">_xlfn.XLOOKUP(D2529,Insumos!B:B,Insumos!C:$C)</f>
        <v/>
      </c>
      <c r="F2529" s="14" t="n">
        <v>5</v>
      </c>
      <c r="G2529" s="92">
        <f t="array" ref="G2529">IF(B2529="insumo",_xlfn.XLOOKUP($D2529,Insumos!$B$1:$B$996,Insumos!$D$1:$D$996),"")</f>
        <v/>
      </c>
      <c r="H2529" s="92" t="n">
        <v>0.25</v>
      </c>
      <c r="I2529" s="2162" t="n">
        <v>0</v>
      </c>
      <c r="J2529" s="2162" t="n">
        <v>0</v>
      </c>
      <c r="K2529" s="2162" t="n"/>
    </row>
    <row r="2530" outlineLevel="3" ht="15.75" customHeight="1">
      <c r="A2530" s="10" t="n">
        <v>101</v>
      </c>
      <c r="B2530" s="10" t="inlineStr">
        <is>
          <t>Insumo</t>
        </is>
      </c>
      <c r="C2530" s="10" t="inlineStr">
        <is>
          <t>Revestimento em Pastilhas Cerâmicas Paredes Interna, 6 x 24cm com Junta de 3mm</t>
        </is>
      </c>
      <c r="D2530" s="10" t="inlineStr">
        <is>
          <t>Rejunte Cimentício</t>
        </is>
      </c>
      <c r="E2530" s="11">
        <f t="array" ref="E2530">_xlfn.XLOOKUP(D2530,Insumos!B:B,Insumos!C:$C)</f>
        <v/>
      </c>
      <c r="F2530" s="14" t="n">
        <v>0.1</v>
      </c>
      <c r="G2530" s="92">
        <f t="array" ref="G2530">IF(B2530="insumo",_xlfn.XLOOKUP($D2530,Insumos!$B$1:$B$996,Insumos!$D$1:$D$996),"")</f>
        <v/>
      </c>
      <c r="H2530" s="92" t="n">
        <v>1.115</v>
      </c>
      <c r="I2530" s="2162" t="n">
        <v>0</v>
      </c>
      <c r="J2530" s="2162" t="n">
        <v>0</v>
      </c>
      <c r="K2530" s="2162" t="n"/>
    </row>
    <row r="2531" outlineLevel="2" ht="15.75" customHeight="1">
      <c r="A2531" s="1067" t="n">
        <v>1</v>
      </c>
      <c r="B2531" s="1067" t="inlineStr">
        <is>
          <t>Serviço</t>
        </is>
      </c>
      <c r="C2531" s="1067" t="inlineStr">
        <is>
          <t>Revestimento em Ladrilho Hidráulico 20x20cm - Cores: craft claro - Marca: Dalle Piagge, com junta de 2 cm e rejunte acrilico cinza platina</t>
        </is>
      </c>
      <c r="D2531" s="1067" t="inlineStr">
        <is>
          <t>Revestimento em Ladrilho Hidráulico 20x20cm - Cores: craft claro - Marca: Dalle Piagge, com junta de 2 cm e rejunte acrilico cinza platina</t>
        </is>
      </c>
      <c r="E2531" s="1068" t="inlineStr">
        <is>
          <t>M2</t>
        </is>
      </c>
      <c r="F2531" s="1067" t="n"/>
      <c r="G2531" s="1069">
        <f t="array" ref="G2531">IF(B2531="insumo",_xlfn.XLOOKUP($D2531,Insumos!$B$1:$B$996,Insumos!$D$1:$D$996),"")</f>
        <v/>
      </c>
      <c r="H2531" s="1069" t="n">
        <v>282.489275</v>
      </c>
      <c r="I2531" s="2161" t="e">
        <v>#REF!</v>
      </c>
      <c r="J2531" s="2161" t="e">
        <v>#REF!</v>
      </c>
      <c r="K2531" s="2161" t="n"/>
    </row>
    <row r="2532" outlineLevel="3" ht="15.75" customHeight="1">
      <c r="A2532" s="10" t="n">
        <v>1</v>
      </c>
      <c r="B2532" s="10" t="inlineStr">
        <is>
          <t>Insumo</t>
        </is>
      </c>
      <c r="C2532" s="10" t="inlineStr">
        <is>
          <t>Revestimento em Ladrilho Hidráulico 20x20cm - Cores: craft claro - Marca: Dalle Piagge, com junta de 2 cm e rejunte acrilico cinza platina</t>
        </is>
      </c>
      <c r="D2532" s="10" t="inlineStr">
        <is>
          <t>Ladrilho Hidráulico 20x20cm - Cor: craft claro - Marca: Dalle Piagge</t>
        </is>
      </c>
      <c r="E2532" s="11">
        <f t="array" ref="E2532">_xlfn.XLOOKUP(D2532,Insumos!B:B,Insumos!C:$C)</f>
        <v/>
      </c>
      <c r="F2532" s="14">
        <f>1.1</f>
        <v/>
      </c>
      <c r="G2532" s="92">
        <f t="array" ref="G2532">IF(B2532="insumo",_xlfn.XLOOKUP($D2532,Insumos!$B$1:$B$996,Insumos!$D$1:$D$996),"")</f>
        <v/>
      </c>
      <c r="H2532" s="92" t="n">
        <v>275</v>
      </c>
      <c r="I2532" s="2162" t="e">
        <v>#REF!</v>
      </c>
      <c r="J2532" s="2162" t="e">
        <v>#REF!</v>
      </c>
      <c r="K2532" s="2162" t="n"/>
    </row>
    <row r="2533" outlineLevel="3" ht="15.75" customHeight="1">
      <c r="A2533" s="10" t="n">
        <v>191</v>
      </c>
      <c r="B2533" s="10" t="inlineStr">
        <is>
          <t>Insumo</t>
        </is>
      </c>
      <c r="C2533" s="10" t="inlineStr">
        <is>
          <t>Revestimento em Ladrilho Hidráulico 20x20cm - Cores: craft claro - Marca: Dalle Piagge, com junta de 2 cm e rejunte acrilico cinza platina</t>
        </is>
      </c>
      <c r="D2533" s="10" t="inlineStr">
        <is>
          <t>Argamassa ACIII</t>
        </is>
      </c>
      <c r="E2533" s="11">
        <f t="array" ref="E2533">_xlfn.XLOOKUP(D2533,Insumos!B:B,Insumos!C:$C)</f>
        <v/>
      </c>
      <c r="F2533" s="14" t="n">
        <v>4.95</v>
      </c>
      <c r="G2533" s="92">
        <f t="array" ref="G2533">IF(B2533="insumo",_xlfn.XLOOKUP($D2533,Insumos!$B$1:$B$996,Insumos!$D$1:$D$996),"")</f>
        <v/>
      </c>
      <c r="H2533" s="92" t="n">
        <v>5.269275</v>
      </c>
      <c r="I2533" s="2162" t="e">
        <v>#REF!</v>
      </c>
      <c r="J2533" s="2162" t="e">
        <v>#REF!</v>
      </c>
      <c r="K2533" s="2162" t="n"/>
    </row>
    <row r="2534" outlineLevel="3" ht="15.75" customHeight="1">
      <c r="A2534" s="10" t="n">
        <v>142</v>
      </c>
      <c r="B2534" s="10" t="inlineStr">
        <is>
          <t>Insumo</t>
        </is>
      </c>
      <c r="C2534" s="10" t="inlineStr">
        <is>
          <t>Revestimento em Ladrilho Hidráulico 20x20cm - Cores: craft claro - Marca: Dalle Piagge, com junta de 2 cm e rejunte acrilico cinza platina</t>
        </is>
      </c>
      <c r="D2534" s="10" t="inlineStr">
        <is>
          <t>Espeçador junta piso 2mm</t>
        </is>
      </c>
      <c r="E2534" s="11">
        <f t="array" ref="E2534">_xlfn.XLOOKUP(D2534,Insumos!B:B,Insumos!C:$C)</f>
        <v/>
      </c>
      <c r="F2534" s="14" t="n">
        <v>4</v>
      </c>
      <c r="G2534" s="92">
        <f t="array" ref="G2534">IF(B2534="insumo",_xlfn.XLOOKUP($D2534,Insumos!$B$1:$B$996,Insumos!$D$1:$D$996),"")</f>
        <v/>
      </c>
      <c r="H2534" s="92" t="n">
        <v>0.32</v>
      </c>
      <c r="I2534" s="2162" t="e">
        <v>#REF!</v>
      </c>
      <c r="J2534" s="2162" t="e">
        <v>#REF!</v>
      </c>
      <c r="K2534" s="2162" t="n"/>
    </row>
    <row r="2535" outlineLevel="3" ht="15.75" customHeight="1">
      <c r="A2535" s="10" t="n">
        <v>36</v>
      </c>
      <c r="B2535" s="10" t="inlineStr">
        <is>
          <t>Insumo</t>
        </is>
      </c>
      <c r="C2535" s="82" t="inlineStr">
        <is>
          <t>Revestimento em Ladrilho Hidráulico 20x20cm - Cores: craft claro - Marca: Dalle Piagge, com junta de 2 cm e rejunte acrilico cinza platina</t>
        </is>
      </c>
      <c r="D2535" s="82" t="inlineStr">
        <is>
          <t>Rejunte Acrilico cinza platina</t>
        </is>
      </c>
      <c r="E2535" s="11">
        <f t="array" ref="E2535">_xlfn.XLOOKUP(D2535,Insumos!B:B,Insumos!C:$C)</f>
        <v/>
      </c>
      <c r="F2535" s="14" t="n">
        <v>0.05</v>
      </c>
      <c r="G2535" s="92">
        <f t="array" ref="G2535">IF(B2535="insumo",_xlfn.XLOOKUP($D2535,Insumos!$B$1:$B$996,Insumos!$D$1:$D$996),"")</f>
        <v/>
      </c>
      <c r="H2535" s="92" t="n">
        <v>1.9</v>
      </c>
      <c r="I2535" s="2162" t="e">
        <v>#REF!</v>
      </c>
      <c r="J2535" s="2162" t="e">
        <v>#REF!</v>
      </c>
      <c r="K2535" s="2162" t="n"/>
    </row>
    <row r="2536" outlineLevel="2" ht="15.75" customHeight="1">
      <c r="A2536" s="1067" t="n">
        <v>1</v>
      </c>
      <c r="B2536" s="1067" t="inlineStr">
        <is>
          <t>Serviço</t>
        </is>
      </c>
      <c r="C2536" s="1067" t="inlineStr">
        <is>
          <t>Revestimento em Ladrilho Hidráulico 20x20cm - Cores: craft claro - Marca: Ladrilar, com junta de 2 cm e rejunte acrilico cinza platina</t>
        </is>
      </c>
      <c r="D2536" s="1067" t="inlineStr">
        <is>
          <t>Revestimento em Ladrilho Hidráulico 20x20cm - Cores: craft claro - Marca: Ladrilar, com junta de 2 cm e rejunte acrilico cinza platina</t>
        </is>
      </c>
      <c r="E2536" s="1068" t="inlineStr">
        <is>
          <t>M2</t>
        </is>
      </c>
      <c r="F2536" s="1067" t="n"/>
      <c r="G2536" s="1069">
        <f t="array" ref="G2536">IF(B2536="insumo",_xlfn.XLOOKUP($D2536,Insumos!$B$1:$B$996,Insumos!$D$1:$D$996),"")</f>
        <v/>
      </c>
      <c r="H2536" s="1069" t="n">
        <v>281.389275</v>
      </c>
      <c r="I2536" s="2161" t="n">
        <v>0</v>
      </c>
      <c r="J2536" s="2161" t="n">
        <v>0</v>
      </c>
      <c r="K2536" s="2161" t="n"/>
    </row>
    <row r="2537" outlineLevel="3" ht="15.75" customHeight="1">
      <c r="A2537" s="10" t="n">
        <v>1</v>
      </c>
      <c r="B2537" s="10" t="inlineStr">
        <is>
          <t>Insumo</t>
        </is>
      </c>
      <c r="C2537" s="10" t="inlineStr">
        <is>
          <t>Revestimento em Ladrilho Hidráulico 20x20cm - Cores: craft claro - Marca: Ladrilar, com junta de 2 cm e rejunte acrilico cinza platina</t>
        </is>
      </c>
      <c r="D2537" s="10" t="inlineStr">
        <is>
          <t>Ladrilho Hidráulico 20x20cm - Cor: craft claro - Marca: Ladrilar</t>
        </is>
      </c>
      <c r="E2537" s="11">
        <f t="array" ref="E2537">_xlfn.XLOOKUP(D2537,Insumos!B:B,Insumos!C:$C)</f>
        <v/>
      </c>
      <c r="F2537" s="14">
        <f>1.1</f>
        <v/>
      </c>
      <c r="G2537" s="92">
        <f t="array" ref="G2537">IF(B2537="insumo",_xlfn.XLOOKUP($D2537,Insumos!$B$1:$B$996,Insumos!$D$1:$D$996),"")</f>
        <v/>
      </c>
      <c r="H2537" s="92" t="n">
        <v>273.9</v>
      </c>
      <c r="I2537" s="2162" t="n">
        <v>0</v>
      </c>
      <c r="J2537" s="2162" t="n">
        <v>0</v>
      </c>
      <c r="K2537" s="2162" t="n"/>
    </row>
    <row r="2538" outlineLevel="3" ht="15.75" customHeight="1">
      <c r="A2538" s="10" t="n">
        <v>191</v>
      </c>
      <c r="B2538" s="10" t="inlineStr">
        <is>
          <t>Insumo</t>
        </is>
      </c>
      <c r="C2538" s="10" t="inlineStr">
        <is>
          <t>Revestimento em Ladrilho Hidráulico 20x20cm - Cores: craft claro - Marca: Ladrilar, com junta de 2 cm e rejunte acrilico cinza platina</t>
        </is>
      </c>
      <c r="D2538" s="10" t="inlineStr">
        <is>
          <t>Argamassa ACIII</t>
        </is>
      </c>
      <c r="E2538" s="11">
        <f t="array" ref="E2538">_xlfn.XLOOKUP(D2538,Insumos!B:B,Insumos!C:$C)</f>
        <v/>
      </c>
      <c r="F2538" s="14" t="n">
        <v>4.95</v>
      </c>
      <c r="G2538" s="92">
        <f t="array" ref="G2538">IF(B2538="insumo",_xlfn.XLOOKUP($D2538,Insumos!$B$1:$B$996,Insumos!$D$1:$D$996),"")</f>
        <v/>
      </c>
      <c r="H2538" s="92" t="n">
        <v>5.269275</v>
      </c>
      <c r="I2538" s="2162" t="n">
        <v>0</v>
      </c>
      <c r="J2538" s="2162" t="n">
        <v>0</v>
      </c>
      <c r="K2538" s="2162" t="n"/>
    </row>
    <row r="2539" outlineLevel="3" ht="15.75" customHeight="1">
      <c r="A2539" s="10" t="n">
        <v>142</v>
      </c>
      <c r="B2539" s="10" t="inlineStr">
        <is>
          <t>Insumo</t>
        </is>
      </c>
      <c r="C2539" s="10" t="inlineStr">
        <is>
          <t>Revestimento em Ladrilho Hidráulico 20x20cm - Cores: craft claro - Marca: Ladrilar, com junta de 2 cm e rejunte acrilico cinza platina</t>
        </is>
      </c>
      <c r="D2539" s="10" t="inlineStr">
        <is>
          <t>Espeçador junta piso 2mm</t>
        </is>
      </c>
      <c r="E2539" s="11">
        <f t="array" ref="E2539">_xlfn.XLOOKUP(D2539,Insumos!B:B,Insumos!C:$C)</f>
        <v/>
      </c>
      <c r="F2539" s="14" t="n">
        <v>4</v>
      </c>
      <c r="G2539" s="92">
        <f t="array" ref="G2539">IF(B2539="insumo",_xlfn.XLOOKUP($D2539,Insumos!$B$1:$B$996,Insumos!$D$1:$D$996),"")</f>
        <v/>
      </c>
      <c r="H2539" s="92" t="n">
        <v>0.32</v>
      </c>
      <c r="I2539" s="2162" t="n">
        <v>0</v>
      </c>
      <c r="J2539" s="2162" t="n">
        <v>0</v>
      </c>
      <c r="K2539" s="2162" t="n"/>
    </row>
    <row r="2540" outlineLevel="3" ht="15.75" customHeight="1">
      <c r="A2540" s="10" t="n">
        <v>36</v>
      </c>
      <c r="B2540" s="10" t="inlineStr">
        <is>
          <t>Insumo</t>
        </is>
      </c>
      <c r="C2540" s="82" t="inlineStr">
        <is>
          <t>Revestimento em Ladrilho Hidráulico 20x20cm - Cores: craft claro - Marca: Ladrilar, com junta de 2 cm e rejunte acrilico cinza platina</t>
        </is>
      </c>
      <c r="D2540" s="82" t="inlineStr">
        <is>
          <t>Rejunte Acrilico cinza platina</t>
        </is>
      </c>
      <c r="E2540" s="11">
        <f t="array" ref="E2540">_xlfn.XLOOKUP(D2540,Insumos!B:B,Insumos!C:$C)</f>
        <v/>
      </c>
      <c r="F2540" s="14" t="n">
        <v>0.05</v>
      </c>
      <c r="G2540" s="92">
        <f t="array" ref="G2540">IF(B2540="insumo",_xlfn.XLOOKUP($D2540,Insumos!$B$1:$B$996,Insumos!$D$1:$D$996),"")</f>
        <v/>
      </c>
      <c r="H2540" s="92" t="n">
        <v>1.9</v>
      </c>
      <c r="I2540" s="2162" t="n">
        <v>0</v>
      </c>
      <c r="J2540" s="2162" t="n">
        <v>0</v>
      </c>
      <c r="K2540" s="2162" t="n"/>
    </row>
    <row r="2541" outlineLevel="2" ht="15.75" customHeight="1">
      <c r="A2541" s="1067" t="n">
        <v>1</v>
      </c>
      <c r="B2541" s="1067" t="inlineStr">
        <is>
          <t>Serviço</t>
        </is>
      </c>
      <c r="C2541" s="1067" t="inlineStr">
        <is>
          <t>Revestimento em Ladrilho Hidráulico 20x20cm - Cores: craft claro e craft comum - Marca: Dalle Piagge, com junta de 2 cm e rejunte acrilico cinza platina</t>
        </is>
      </c>
      <c r="D2541" s="1067" t="inlineStr">
        <is>
          <t>Revestimento em Ladrilho Hidráulico 20x20cm - Cores: craft claro e craft comum - Marca: Dalle Piagge, com junta de 2 cm e rejunte acrilico cinza platina</t>
        </is>
      </c>
      <c r="E2541" s="1068" t="inlineStr">
        <is>
          <t>M2</t>
        </is>
      </c>
      <c r="F2541" s="1067" t="n"/>
      <c r="G2541" s="1069">
        <f t="array" ref="G2541">IF(B2541="insumo",_xlfn.XLOOKUP($D2541,Insumos!$B$1:$B$996,Insumos!$D$1:$D$996),"")</f>
        <v/>
      </c>
      <c r="H2541" s="1069" t="n">
        <v>535.489275</v>
      </c>
      <c r="I2541" s="2161" t="e">
        <v>#REF!</v>
      </c>
      <c r="J2541" s="2161" t="e">
        <v>#REF!</v>
      </c>
      <c r="K2541" s="2161" t="n"/>
    </row>
    <row r="2542" outlineLevel="3" ht="15.75" customHeight="1">
      <c r="A2542" s="10" t="n">
        <v>1</v>
      </c>
      <c r="B2542" s="10" t="inlineStr">
        <is>
          <t>Insumo</t>
        </is>
      </c>
      <c r="C2542" s="10" t="inlineStr">
        <is>
          <t>Revestimento em Ladrilho Hidráulico 20x20cm - Cores: craft claro e craft comum - Marca: Dalle Piagge, com junta de 2 cm e rejunte acrilico cinza platina</t>
        </is>
      </c>
      <c r="D2542" s="10" t="inlineStr">
        <is>
          <t>Ladrilho Hidráulico 20x20cm - Cores: craft claro e craft comum - Marca: Dalle Piagge</t>
        </is>
      </c>
      <c r="E2542" s="11">
        <f t="array" ref="E2542">_xlfn.XLOOKUP(D2542,Insumos!B:B,Insumos!C:$C)</f>
        <v/>
      </c>
      <c r="F2542" s="14">
        <f>1.1</f>
        <v/>
      </c>
      <c r="G2542" s="92">
        <f t="array" ref="G2542">IF(B2542="insumo",_xlfn.XLOOKUP($D2542,Insumos!$B$1:$B$996,Insumos!$D$1:$D$996),"")</f>
        <v/>
      </c>
      <c r="H2542" s="92" t="n">
        <v>528</v>
      </c>
      <c r="I2542" s="2162" t="e">
        <v>#REF!</v>
      </c>
      <c r="J2542" s="2162" t="e">
        <v>#REF!</v>
      </c>
      <c r="K2542" s="2162" t="n"/>
    </row>
    <row r="2543" outlineLevel="3" ht="15.75" customHeight="1">
      <c r="A2543" s="10" t="n">
        <v>191</v>
      </c>
      <c r="B2543" s="10" t="inlineStr">
        <is>
          <t>Insumo</t>
        </is>
      </c>
      <c r="C2543" s="10" t="inlineStr">
        <is>
          <t>Revestimento em Ladrilho Hidráulico 20x20cm - Cores: craft claro e craft comum - Marca: Dalle Piagge, com junta de 2 cm e rejunte acrilico cinza platina</t>
        </is>
      </c>
      <c r="D2543" s="10" t="inlineStr">
        <is>
          <t>Argamassa ACIII</t>
        </is>
      </c>
      <c r="E2543" s="11">
        <f t="array" ref="E2543">_xlfn.XLOOKUP(D2543,Insumos!B:B,Insumos!C:$C)</f>
        <v/>
      </c>
      <c r="F2543" s="14" t="n">
        <v>4.95</v>
      </c>
      <c r="G2543" s="92">
        <f t="array" ref="G2543">IF(B2543="insumo",_xlfn.XLOOKUP($D2543,Insumos!$B$1:$B$996,Insumos!$D$1:$D$996),"")</f>
        <v/>
      </c>
      <c r="H2543" s="92" t="n">
        <v>5.269275</v>
      </c>
      <c r="I2543" s="2162" t="e">
        <v>#REF!</v>
      </c>
      <c r="J2543" s="2162" t="e">
        <v>#REF!</v>
      </c>
      <c r="K2543" s="2162" t="n"/>
    </row>
    <row r="2544" outlineLevel="3" ht="15.75" customHeight="1">
      <c r="A2544" s="10" t="n">
        <v>142</v>
      </c>
      <c r="B2544" s="10" t="inlineStr">
        <is>
          <t>Insumo</t>
        </is>
      </c>
      <c r="C2544" s="10" t="inlineStr">
        <is>
          <t>Revestimento em Ladrilho Hidráulico 20x20cm - Cores: craft claro e craft comum - Marca: Dalle Piagge, com junta de 2 cm e rejunte acrilico cinza platina</t>
        </is>
      </c>
      <c r="D2544" s="10" t="inlineStr">
        <is>
          <t>Espeçador junta piso 2mm</t>
        </is>
      </c>
      <c r="E2544" s="11">
        <f t="array" ref="E2544">_xlfn.XLOOKUP(D2544,Insumos!B:B,Insumos!C:$C)</f>
        <v/>
      </c>
      <c r="F2544" s="14" t="n">
        <v>4</v>
      </c>
      <c r="G2544" s="92">
        <f t="array" ref="G2544">IF(B2544="insumo",_xlfn.XLOOKUP($D2544,Insumos!$B$1:$B$996,Insumos!$D$1:$D$996),"")</f>
        <v/>
      </c>
      <c r="H2544" s="92" t="n">
        <v>0.32</v>
      </c>
      <c r="I2544" s="2162" t="e">
        <v>#REF!</v>
      </c>
      <c r="J2544" s="2162" t="e">
        <v>#REF!</v>
      </c>
      <c r="K2544" s="2162" t="n"/>
    </row>
    <row r="2545" outlineLevel="3" ht="15.75" customHeight="1">
      <c r="A2545" s="10" t="n">
        <v>36</v>
      </c>
      <c r="B2545" s="10" t="inlineStr">
        <is>
          <t>Insumo</t>
        </is>
      </c>
      <c r="C2545" s="82" t="inlineStr">
        <is>
          <t>Revestimento em Ladrilho Hidráulico 20x20cm - Cores: craft claro e craft comum - Marca: Dalle Piagge, com junta de 2 cm e rejunte acrilico cinza platina</t>
        </is>
      </c>
      <c r="D2545" s="82" t="inlineStr">
        <is>
          <t>Rejunte Acrilico cinza platina</t>
        </is>
      </c>
      <c r="E2545" s="11">
        <f t="array" ref="E2545">_xlfn.XLOOKUP(D2545,Insumos!B:B,Insumos!C:$C)</f>
        <v/>
      </c>
      <c r="F2545" s="14" t="n">
        <v>0.05</v>
      </c>
      <c r="G2545" s="92">
        <f t="array" ref="G2545">IF(B2545="insumo",_xlfn.XLOOKUP($D2545,Insumos!$B$1:$B$996,Insumos!$D$1:$D$996),"")</f>
        <v/>
      </c>
      <c r="H2545" s="92" t="n">
        <v>1.9</v>
      </c>
      <c r="I2545" s="2162" t="e">
        <v>#REF!</v>
      </c>
      <c r="J2545" s="2162" t="e">
        <v>#REF!</v>
      </c>
      <c r="K2545" s="2162" t="n"/>
    </row>
    <row r="2546" outlineLevel="2" ht="15.75" customHeight="1">
      <c r="A2546" s="1067" t="n">
        <v>1</v>
      </c>
      <c r="B2546" s="1067" t="inlineStr">
        <is>
          <t>Serviço</t>
        </is>
      </c>
      <c r="C2546" s="1067" t="inlineStr">
        <is>
          <t>Revestimento em Ladrilho Hidráulico 20x20cm - Cores: craft claro e craft comum - Marca: Ladrilar, com junta de 2 cm e rejunte acrilico cinza platina</t>
        </is>
      </c>
      <c r="D2546" s="1067" t="inlineStr">
        <is>
          <t>Revestimento em Ladrilho Hidráulico 20x20cm - Cores: craft claro e craft comum - Marca: Ladrilar, com junta de 2 cm e rejunte acrilico cinza platina</t>
        </is>
      </c>
      <c r="E2546" s="1068" t="inlineStr">
        <is>
          <t>M2</t>
        </is>
      </c>
      <c r="F2546" s="1067" t="n"/>
      <c r="G2546" s="1069">
        <f t="array" ref="G2546">IF(B2546="insumo",_xlfn.XLOOKUP($D2546,Insumos!$B$1:$B$996,Insumos!$D$1:$D$996),"")</f>
        <v/>
      </c>
      <c r="H2546" s="1069" t="n">
        <v>281.389275</v>
      </c>
      <c r="I2546" s="2161" t="n">
        <v>0</v>
      </c>
      <c r="J2546" s="2161" t="n">
        <v>0</v>
      </c>
      <c r="K2546" s="2161" t="n"/>
    </row>
    <row r="2547" outlineLevel="3" ht="15.75" customHeight="1">
      <c r="A2547" s="10" t="n">
        <v>1</v>
      </c>
      <c r="B2547" s="10" t="inlineStr">
        <is>
          <t>Insumo</t>
        </is>
      </c>
      <c r="C2547" s="10" t="inlineStr">
        <is>
          <t>Revestimento em Ladrilho Hidráulico 20x20cm - Cores: craft claro e craft comum - Marca: Ladrilar, com junta de 2 cm e rejunte acrilico cinza platina</t>
        </is>
      </c>
      <c r="D2547" s="10" t="inlineStr">
        <is>
          <t>Ladrilho Hidráulico 20x20cm - Cores: craft claro e craft comum - Marca: Ladrilar</t>
        </is>
      </c>
      <c r="E2547" s="11">
        <f t="array" ref="E2547">_xlfn.XLOOKUP(D2547,Insumos!B:B,Insumos!C:$C)</f>
        <v/>
      </c>
      <c r="F2547" s="14">
        <f>1.1</f>
        <v/>
      </c>
      <c r="G2547" s="92">
        <f t="array" ref="G2547">IF(B2547="insumo",_xlfn.XLOOKUP($D2547,Insumos!$B$1:$B$996,Insumos!$D$1:$D$996),"")</f>
        <v/>
      </c>
      <c r="H2547" s="92" t="n">
        <v>273.9</v>
      </c>
      <c r="I2547" s="2162" t="n">
        <v>0</v>
      </c>
      <c r="J2547" s="2162" t="n">
        <v>0</v>
      </c>
      <c r="K2547" s="2162" t="n"/>
    </row>
    <row r="2548" outlineLevel="3" ht="15.75" customHeight="1">
      <c r="A2548" s="10" t="n">
        <v>191</v>
      </c>
      <c r="B2548" s="10" t="inlineStr">
        <is>
          <t>Insumo</t>
        </is>
      </c>
      <c r="C2548" s="10" t="inlineStr">
        <is>
          <t>Revestimento em Ladrilho Hidráulico 20x20cm - Cores: craft claro e craft comum - Marca: Ladrilar, com junta de 2 cm e rejunte acrilico cinza platina</t>
        </is>
      </c>
      <c r="D2548" s="10" t="inlineStr">
        <is>
          <t>Argamassa ACIII</t>
        </is>
      </c>
      <c r="E2548" s="11">
        <f t="array" ref="E2548">_xlfn.XLOOKUP(D2548,Insumos!B:B,Insumos!C:$C)</f>
        <v/>
      </c>
      <c r="F2548" s="14" t="n">
        <v>4.95</v>
      </c>
      <c r="G2548" s="92">
        <f t="array" ref="G2548">IF(B2548="insumo",_xlfn.XLOOKUP($D2548,Insumos!$B$1:$B$996,Insumos!$D$1:$D$996),"")</f>
        <v/>
      </c>
      <c r="H2548" s="92" t="n">
        <v>5.269275</v>
      </c>
      <c r="I2548" s="2162" t="n">
        <v>0</v>
      </c>
      <c r="J2548" s="2162" t="n">
        <v>0</v>
      </c>
      <c r="K2548" s="2162" t="n"/>
    </row>
    <row r="2549" outlineLevel="3" ht="15.75" customHeight="1">
      <c r="A2549" s="10" t="n">
        <v>142</v>
      </c>
      <c r="B2549" s="10" t="inlineStr">
        <is>
          <t>Insumo</t>
        </is>
      </c>
      <c r="C2549" s="10" t="inlineStr">
        <is>
          <t>Revestimento em Ladrilho Hidráulico 20x20cm - Cores: craft claro e craft comum - Marca: Ladrilar, com junta de 2 cm e rejunte acrilico cinza platina</t>
        </is>
      </c>
      <c r="D2549" s="10" t="inlineStr">
        <is>
          <t>Espeçador junta piso 2mm</t>
        </is>
      </c>
      <c r="E2549" s="11">
        <f t="array" ref="E2549">_xlfn.XLOOKUP(D2549,Insumos!B:B,Insumos!C:$C)</f>
        <v/>
      </c>
      <c r="F2549" s="14" t="n">
        <v>4</v>
      </c>
      <c r="G2549" s="92">
        <f t="array" ref="G2549">IF(B2549="insumo",_xlfn.XLOOKUP($D2549,Insumos!$B$1:$B$996,Insumos!$D$1:$D$996),"")</f>
        <v/>
      </c>
      <c r="H2549" s="92" t="n">
        <v>0.32</v>
      </c>
      <c r="I2549" s="2162" t="n">
        <v>0</v>
      </c>
      <c r="J2549" s="2162" t="n">
        <v>0</v>
      </c>
      <c r="K2549" s="2162" t="n"/>
    </row>
    <row r="2550" outlineLevel="3" ht="15.75" customHeight="1">
      <c r="A2550" s="10" t="n">
        <v>36</v>
      </c>
      <c r="B2550" s="10" t="inlineStr">
        <is>
          <t>Insumo</t>
        </is>
      </c>
      <c r="C2550" s="82" t="inlineStr">
        <is>
          <t>Revestimento em Ladrilho Hidráulico 20x20cm - Cores: craft claro e craft comum - Marca: Ladrilar, com junta de 2 cm e rejunte acrilico cinza platina</t>
        </is>
      </c>
      <c r="D2550" s="82" t="inlineStr">
        <is>
          <t>Rejunte Acrilico cinza platina</t>
        </is>
      </c>
      <c r="E2550" s="11">
        <f t="array" ref="E2550">_xlfn.XLOOKUP(D2550,Insumos!B:B,Insumos!C:$C)</f>
        <v/>
      </c>
      <c r="F2550" s="14" t="n">
        <v>0.05</v>
      </c>
      <c r="G2550" s="92">
        <f t="array" ref="G2550">IF(B2550="insumo",_xlfn.XLOOKUP($D2550,Insumos!$B$1:$B$996,Insumos!$D$1:$D$996),"")</f>
        <v/>
      </c>
      <c r="H2550" s="92" t="n">
        <v>1.9</v>
      </c>
      <c r="I2550" s="2162" t="n">
        <v>0</v>
      </c>
      <c r="J2550" s="2162" t="n">
        <v>0</v>
      </c>
      <c r="K2550" s="2162" t="n"/>
    </row>
    <row r="2551" outlineLevel="2" ht="15.75" customHeight="1">
      <c r="A2551" s="1067" t="n">
        <v>1</v>
      </c>
      <c r="B2551" s="1067" t="inlineStr">
        <is>
          <t>Serviço</t>
        </is>
      </c>
      <c r="C2551" s="1067" t="inlineStr">
        <is>
          <t>Revestimento em Ladrilho Hidráulico 5x5cm - Cores: terracota escuro, azul escuro, off-white ou branco - Marca: Dalle Piagge, com junta de 2 cm e rejunte acrilico cinza platina</t>
        </is>
      </c>
      <c r="D2551" s="1067" t="inlineStr">
        <is>
          <t>Revestimento em Ladrilho Hidráulico 5x5cm - Cores: terracota escuro, azul escuro, off-white ou branco - Marca: Dalle Piagge, com junta de 2 cm e rejunte acrilico cinza platina</t>
        </is>
      </c>
      <c r="E2551" s="1068" t="inlineStr">
        <is>
          <t>M2</t>
        </is>
      </c>
      <c r="F2551" s="1067" t="n"/>
      <c r="G2551" s="1069">
        <f t="array" ref="G2551">IF(B2551="insumo",_xlfn.XLOOKUP($D2551,Insumos!$B$1:$B$996,Insumos!$D$1:$D$996),"")</f>
        <v/>
      </c>
      <c r="H2551" s="1069" t="n">
        <v>865.489275</v>
      </c>
      <c r="I2551" s="2161" t="e">
        <v>#REF!</v>
      </c>
      <c r="J2551" s="2161" t="e">
        <v>#REF!</v>
      </c>
      <c r="K2551" s="2161" t="n"/>
    </row>
    <row r="2552" outlineLevel="3" ht="15.75" customHeight="1">
      <c r="A2552" s="10" t="n">
        <v>1</v>
      </c>
      <c r="B2552" s="10" t="inlineStr">
        <is>
          <t>Insumo</t>
        </is>
      </c>
      <c r="C2552" s="10" t="inlineStr">
        <is>
          <t>Revestimento em Ladrilho Hidráulico 5x5cm - Cores: terracota escuro, azul escuro, off-white ou branco - Marca: Dalle Piagge, com junta de 2 cm e rejunte acrilico cinza platina</t>
        </is>
      </c>
      <c r="D2552" s="10" t="inlineStr">
        <is>
          <t>Ladrilho Hidráulico 5x5cm - Cores: terracota escuro, azul escuro, off-white ou branco - Marca: Dalle Piagge</t>
        </is>
      </c>
      <c r="E2552" s="11">
        <f t="array" ref="E2552">_xlfn.XLOOKUP(D2552,Insumos!B:B,Insumos!C:$C)</f>
        <v/>
      </c>
      <c r="F2552" s="14">
        <f>1.1</f>
        <v/>
      </c>
      <c r="G2552" s="92">
        <f t="array" ref="G2552">IF(B2552="insumo",_xlfn.XLOOKUP($D2552,Insumos!$B$1:$B$996,Insumos!$D$1:$D$996),"")</f>
        <v/>
      </c>
      <c r="H2552" s="92" t="n">
        <v>858</v>
      </c>
      <c r="I2552" s="2162" t="e">
        <v>#REF!</v>
      </c>
      <c r="J2552" s="2162" t="e">
        <v>#REF!</v>
      </c>
      <c r="K2552" s="2162" t="n"/>
    </row>
    <row r="2553" outlineLevel="3" ht="15.75" customHeight="1">
      <c r="A2553" s="10" t="n">
        <v>191</v>
      </c>
      <c r="B2553" s="10" t="inlineStr">
        <is>
          <t>Insumo</t>
        </is>
      </c>
      <c r="C2553" s="10" t="inlineStr">
        <is>
          <t>Revestimento em Ladrilho Hidráulico 5x5cm - Cores: terracota escuro, azul escuro, off-white ou branco - Marca: Dalle Piagge, com junta de 2 cm e rejunte acrilico cinza platina</t>
        </is>
      </c>
      <c r="D2553" s="10" t="inlineStr">
        <is>
          <t>Argamassa ACIII</t>
        </is>
      </c>
      <c r="E2553" s="11">
        <f t="array" ref="E2553">_xlfn.XLOOKUP(D2553,Insumos!B:B,Insumos!C:$C)</f>
        <v/>
      </c>
      <c r="F2553" s="14" t="n">
        <v>4.95</v>
      </c>
      <c r="G2553" s="92">
        <f t="array" ref="G2553">IF(B2553="insumo",_xlfn.XLOOKUP($D2553,Insumos!$B$1:$B$996,Insumos!$D$1:$D$996),"")</f>
        <v/>
      </c>
      <c r="H2553" s="92" t="n">
        <v>5.269275</v>
      </c>
      <c r="I2553" s="2162" t="e">
        <v>#REF!</v>
      </c>
      <c r="J2553" s="2162" t="e">
        <v>#REF!</v>
      </c>
      <c r="K2553" s="2162" t="n"/>
    </row>
    <row r="2554" outlineLevel="3" ht="15.75" customHeight="1">
      <c r="A2554" s="10" t="n">
        <v>142</v>
      </c>
      <c r="B2554" s="10" t="inlineStr">
        <is>
          <t>Insumo</t>
        </is>
      </c>
      <c r="C2554" s="10" t="inlineStr">
        <is>
          <t>Revestimento em Ladrilho Hidráulico 5x5cm - Cores: terracota escuro, azul escuro, off-white ou branco - Marca: Dalle Piagge, com junta de 2 cm e rejunte acrilico cinza platina</t>
        </is>
      </c>
      <c r="D2554" s="10" t="inlineStr">
        <is>
          <t>Espeçador junta piso 2mm</t>
        </is>
      </c>
      <c r="E2554" s="11">
        <f t="array" ref="E2554">_xlfn.XLOOKUP(D2554,Insumos!B:B,Insumos!C:$C)</f>
        <v/>
      </c>
      <c r="F2554" s="14" t="n">
        <v>4</v>
      </c>
      <c r="G2554" s="92">
        <f t="array" ref="G2554">IF(B2554="insumo",_xlfn.XLOOKUP($D2554,Insumos!$B$1:$B$996,Insumos!$D$1:$D$996),"")</f>
        <v/>
      </c>
      <c r="H2554" s="92" t="n">
        <v>0.32</v>
      </c>
      <c r="I2554" s="2162" t="e">
        <v>#REF!</v>
      </c>
      <c r="J2554" s="2162" t="e">
        <v>#REF!</v>
      </c>
      <c r="K2554" s="2162" t="n"/>
    </row>
    <row r="2555" outlineLevel="3" ht="15.75" customHeight="1">
      <c r="A2555" s="10" t="n">
        <v>36</v>
      </c>
      <c r="B2555" s="10" t="inlineStr">
        <is>
          <t>Insumo</t>
        </is>
      </c>
      <c r="C2555" s="82" t="inlineStr">
        <is>
          <t>Revestimento em Ladrilho Hidráulico 5x5cm - Cores: terracota escuro, azul escuro, off-white ou branco - Marca: Dalle Piagge, com junta de 2 cm e rejunte acrilico cinza platina</t>
        </is>
      </c>
      <c r="D2555" s="82" t="inlineStr">
        <is>
          <t>Rejunte Acrilico cinza platina</t>
        </is>
      </c>
      <c r="E2555" s="11">
        <f t="array" ref="E2555">_xlfn.XLOOKUP(D2555,Insumos!B:B,Insumos!C:$C)</f>
        <v/>
      </c>
      <c r="F2555" s="14" t="n">
        <v>0.05</v>
      </c>
      <c r="G2555" s="92">
        <f t="array" ref="G2555">IF(B2555="insumo",_xlfn.XLOOKUP($D2555,Insumos!$B$1:$B$996,Insumos!$D$1:$D$996),"")</f>
        <v/>
      </c>
      <c r="H2555" s="92" t="n">
        <v>1.9</v>
      </c>
      <c r="I2555" s="2162" t="e">
        <v>#REF!</v>
      </c>
      <c r="J2555" s="2162" t="e">
        <v>#REF!</v>
      </c>
      <c r="K2555" s="2162" t="n"/>
    </row>
    <row r="2556" outlineLevel="2" ht="15.75" customHeight="1">
      <c r="A2556" s="1067" t="n">
        <v>1</v>
      </c>
      <c r="B2556" s="1067" t="inlineStr">
        <is>
          <t>Serviço</t>
        </is>
      </c>
      <c r="C2556" s="1067" t="inlineStr">
        <is>
          <t>Revestimento em Ladrilho Hidráulico 5x5cm - Cores: terracota escuro, azul escuro, off-white ou branco - Marca: Ladrilar, com junta de 2 cm e rejunte acrilico cinza platina</t>
        </is>
      </c>
      <c r="D2556" s="1067" t="inlineStr">
        <is>
          <t>Revestimento em Ladrilho Hidráulico 5x5cm - Cores: terracota escuro, azul escuro, off-white ou branco - Marca: Ladrilar, com junta de 2 cm e rejunte acrilico cinza platina</t>
        </is>
      </c>
      <c r="E2556" s="1068" t="inlineStr">
        <is>
          <t>M2</t>
        </is>
      </c>
      <c r="F2556" s="1067" t="n"/>
      <c r="G2556" s="1069">
        <f t="array" ref="G2556">IF(B2556="insumo",_xlfn.XLOOKUP($D2556,Insumos!$B$1:$B$996,Insumos!$D$1:$D$996),"")</f>
        <v/>
      </c>
      <c r="H2556" s="1069" t="n">
        <v>546.489275</v>
      </c>
      <c r="I2556" s="2161" t="n">
        <v>0</v>
      </c>
      <c r="J2556" s="2161" t="n">
        <v>0</v>
      </c>
      <c r="K2556" s="2161" t="n"/>
    </row>
    <row r="2557" outlineLevel="3" ht="15.75" customHeight="1">
      <c r="A2557" s="10" t="n">
        <v>1</v>
      </c>
      <c r="B2557" s="10" t="inlineStr">
        <is>
          <t>Insumo</t>
        </is>
      </c>
      <c r="C2557" s="10" t="inlineStr">
        <is>
          <t>Revestimento em Ladrilho Hidráulico 5x5cm - Cores: terracota escuro, azul escuro, off-white ou branco - Marca: Ladrilar, com junta de 2 cm e rejunte acrilico cinza platina</t>
        </is>
      </c>
      <c r="D2557" s="10" t="inlineStr">
        <is>
          <t>Ladrilho Hidráulico 5x5cm - Cores: terracota escuro, azul escuro, off-white ou branco - Marca: Ladrilar</t>
        </is>
      </c>
      <c r="E2557" s="11">
        <f t="array" ref="E2557">_xlfn.XLOOKUP(D2557,Insumos!B:B,Insumos!C:$C)</f>
        <v/>
      </c>
      <c r="F2557" s="14">
        <f>1.1</f>
        <v/>
      </c>
      <c r="G2557" s="92">
        <f t="array" ref="G2557">IF(B2557="insumo",_xlfn.XLOOKUP($D2557,Insumos!$B$1:$B$996,Insumos!$D$1:$D$996),"")</f>
        <v/>
      </c>
      <c r="H2557" s="92" t="n">
        <v>539</v>
      </c>
      <c r="I2557" s="2162" t="n">
        <v>0</v>
      </c>
      <c r="J2557" s="2162" t="n">
        <v>0</v>
      </c>
      <c r="K2557" s="2162" t="n"/>
    </row>
    <row r="2558" outlineLevel="3" ht="15.75" customHeight="1">
      <c r="A2558" s="10" t="n">
        <v>191</v>
      </c>
      <c r="B2558" s="10" t="inlineStr">
        <is>
          <t>Insumo</t>
        </is>
      </c>
      <c r="C2558" s="10" t="inlineStr">
        <is>
          <t>Revestimento em Ladrilho Hidráulico 5x5cm - Cores: terracota escuro, azul escuro, off-white ou branco - Marca: Ladrilar, com junta de 2 cm e rejunte acrilico cinza platina</t>
        </is>
      </c>
      <c r="D2558" s="10" t="inlineStr">
        <is>
          <t>Argamassa ACIII</t>
        </is>
      </c>
      <c r="E2558" s="11">
        <f t="array" ref="E2558">_xlfn.XLOOKUP(D2558,Insumos!B:B,Insumos!C:$C)</f>
        <v/>
      </c>
      <c r="F2558" s="14" t="n">
        <v>4.95</v>
      </c>
      <c r="G2558" s="92">
        <f t="array" ref="G2558">IF(B2558="insumo",_xlfn.XLOOKUP($D2558,Insumos!$B$1:$B$996,Insumos!$D$1:$D$996),"")</f>
        <v/>
      </c>
      <c r="H2558" s="92" t="n">
        <v>5.269275</v>
      </c>
      <c r="I2558" s="2162" t="n">
        <v>0</v>
      </c>
      <c r="J2558" s="2162" t="n">
        <v>0</v>
      </c>
      <c r="K2558" s="2162" t="n"/>
    </row>
    <row r="2559" outlineLevel="3" ht="15.75" customHeight="1">
      <c r="A2559" s="10" t="n">
        <v>142</v>
      </c>
      <c r="B2559" s="10" t="inlineStr">
        <is>
          <t>Insumo</t>
        </is>
      </c>
      <c r="C2559" s="10" t="inlineStr">
        <is>
          <t>Revestimento em Ladrilho Hidráulico 5x5cm - Cores: terracota escuro, azul escuro, off-white ou branco - Marca: Ladrilar, com junta de 2 cm e rejunte acrilico cinza platina</t>
        </is>
      </c>
      <c r="D2559" s="10" t="inlineStr">
        <is>
          <t>Espeçador junta piso 2mm</t>
        </is>
      </c>
      <c r="E2559" s="11">
        <f t="array" ref="E2559">_xlfn.XLOOKUP(D2559,Insumos!B:B,Insumos!C:$C)</f>
        <v/>
      </c>
      <c r="F2559" s="14" t="n">
        <v>4</v>
      </c>
      <c r="G2559" s="92">
        <f t="array" ref="G2559">IF(B2559="insumo",_xlfn.XLOOKUP($D2559,Insumos!$B$1:$B$996,Insumos!$D$1:$D$996),"")</f>
        <v/>
      </c>
      <c r="H2559" s="92" t="n">
        <v>0.32</v>
      </c>
      <c r="I2559" s="2162" t="n">
        <v>0</v>
      </c>
      <c r="J2559" s="2162" t="n">
        <v>0</v>
      </c>
      <c r="K2559" s="2162" t="n"/>
    </row>
    <row r="2560" outlineLevel="3" ht="15.75" customHeight="1">
      <c r="A2560" s="10" t="n">
        <v>36</v>
      </c>
      <c r="B2560" s="10" t="inlineStr">
        <is>
          <t>Insumo</t>
        </is>
      </c>
      <c r="C2560" s="82" t="inlineStr">
        <is>
          <t>Revestimento em Ladrilho Hidráulico 5x5cm - Cores: terracota escuro, azul escuro, off-white ou branco - Marca: Ladrilar, com junta de 2 cm e rejunte acrilico cinza platina</t>
        </is>
      </c>
      <c r="D2560" s="82" t="inlineStr">
        <is>
          <t>Rejunte Acrilico cinza platina</t>
        </is>
      </c>
      <c r="E2560" s="11">
        <f t="array" ref="E2560">_xlfn.XLOOKUP(D2560,Insumos!B:B,Insumos!C:$C)</f>
        <v/>
      </c>
      <c r="F2560" s="14" t="n">
        <v>0.05</v>
      </c>
      <c r="G2560" s="92">
        <f t="array" ref="G2560">IF(B2560="insumo",_xlfn.XLOOKUP($D2560,Insumos!$B$1:$B$996,Insumos!$D$1:$D$996),"")</f>
        <v/>
      </c>
      <c r="H2560" s="92" t="n">
        <v>1.9</v>
      </c>
      <c r="I2560" s="2162" t="n">
        <v>0</v>
      </c>
      <c r="J2560" s="2162" t="n">
        <v>0</v>
      </c>
      <c r="K2560" s="2162" t="n"/>
    </row>
    <row r="2561" outlineLevel="2" ht="15.75" customHeight="1">
      <c r="A2561" s="1067" t="n">
        <v>1</v>
      </c>
      <c r="B2561" s="1067" t="inlineStr">
        <is>
          <t>Serviço</t>
        </is>
      </c>
      <c r="C2561" s="1067" t="inlineStr">
        <is>
          <t>Revestimento em Ladrilho Hidráulico 20x20cm - Cores: craft claro, craft comum, fendi, cana e terracota escuro - Marca: Dalle Piagge, com junta de 2 cm e rejunte acrilico cinza platina</t>
        </is>
      </c>
      <c r="D2561" s="1067" t="inlineStr">
        <is>
          <t>Revestimento em Ladrilho Hidráulico 20x20cm - Cores: craft claro, craft comum, fendi, cana e terracota escuro - Marca: Dalle Piagge, com junta de 2 cm e rejunte acrilico cinza platina</t>
        </is>
      </c>
      <c r="E2561" s="1068" t="inlineStr">
        <is>
          <t>M2</t>
        </is>
      </c>
      <c r="F2561" s="1067" t="n"/>
      <c r="G2561" s="1069">
        <f t="array" ref="G2561">IF(B2561="insumo",_xlfn.XLOOKUP($D2561,Insumos!$B$1:$B$996,Insumos!$D$1:$D$996),"")</f>
        <v/>
      </c>
      <c r="H2561" s="1069" t="n">
        <v>623.489275</v>
      </c>
      <c r="I2561" s="2161" t="e">
        <v>#REF!</v>
      </c>
      <c r="J2561" s="2161" t="e">
        <v>#REF!</v>
      </c>
      <c r="K2561" s="2161" t="n"/>
    </row>
    <row r="2562" outlineLevel="3" ht="15.75" customHeight="1">
      <c r="A2562" s="10" t="n">
        <v>1</v>
      </c>
      <c r="B2562" s="10" t="inlineStr">
        <is>
          <t>Insumo</t>
        </is>
      </c>
      <c r="C2562" s="10" t="inlineStr">
        <is>
          <t>Revestimento em Ladrilho Hidráulico 20x20cm - Cores: craft claro, craft comum, fendi, cana e terracota escuro - Marca: Dalle Piagge, com junta de 2 cm e rejunte acrilico cinza platina</t>
        </is>
      </c>
      <c r="D2562" s="10" t="inlineStr">
        <is>
          <t>Ladrilho Hidráulico 20x20cm - Cores: craft claro, craft comum, fendi, cana e terracota escuro - Marca: Dalle Piagge</t>
        </is>
      </c>
      <c r="E2562" s="11">
        <f t="array" ref="E2562">_xlfn.XLOOKUP(D2562,Insumos!B:B,Insumos!C:$C)</f>
        <v/>
      </c>
      <c r="F2562" s="14">
        <f>1.1</f>
        <v/>
      </c>
      <c r="G2562" s="92">
        <f t="array" ref="G2562">IF(B2562="insumo",_xlfn.XLOOKUP($D2562,Insumos!$B$1:$B$996,Insumos!$D$1:$D$996),"")</f>
        <v/>
      </c>
      <c r="H2562" s="92" t="n">
        <v>616</v>
      </c>
      <c r="I2562" s="2162" t="e">
        <v>#REF!</v>
      </c>
      <c r="J2562" s="2162" t="e">
        <v>#REF!</v>
      </c>
      <c r="K2562" s="2162" t="n"/>
    </row>
    <row r="2563" outlineLevel="3" ht="15.75" customHeight="1">
      <c r="A2563" s="10" t="n">
        <v>191</v>
      </c>
      <c r="B2563" s="10" t="inlineStr">
        <is>
          <t>Insumo</t>
        </is>
      </c>
      <c r="C2563" s="10" t="inlineStr">
        <is>
          <t>Revestimento em Ladrilho Hidráulico 20x20cm - Cores: craft claro, craft comum, fendi, cana e terracota escuro - Marca: Dalle Piagge, com junta de 2 cm e rejunte acrilico cinza platina</t>
        </is>
      </c>
      <c r="D2563" s="10" t="inlineStr">
        <is>
          <t>Argamassa ACIII</t>
        </is>
      </c>
      <c r="E2563" s="11">
        <f t="array" ref="E2563">_xlfn.XLOOKUP(D2563,Insumos!B:B,Insumos!C:$C)</f>
        <v/>
      </c>
      <c r="F2563" s="14" t="n">
        <v>4.95</v>
      </c>
      <c r="G2563" s="92">
        <f t="array" ref="G2563">IF(B2563="insumo",_xlfn.XLOOKUP($D2563,Insumos!$B$1:$B$996,Insumos!$D$1:$D$996),"")</f>
        <v/>
      </c>
      <c r="H2563" s="92" t="n">
        <v>5.269275</v>
      </c>
      <c r="I2563" s="2162" t="e">
        <v>#REF!</v>
      </c>
      <c r="J2563" s="2162" t="e">
        <v>#REF!</v>
      </c>
      <c r="K2563" s="2162" t="n"/>
    </row>
    <row r="2564" outlineLevel="3" ht="15.75" customHeight="1">
      <c r="A2564" s="10" t="n">
        <v>142</v>
      </c>
      <c r="B2564" s="10" t="inlineStr">
        <is>
          <t>Insumo</t>
        </is>
      </c>
      <c r="C2564" s="10" t="inlineStr">
        <is>
          <t>Revestimento em Ladrilho Hidráulico 20x20cm - Cores: craft claro, craft comum, fendi, cana e terracota escuro - Marca: Dalle Piagge, com junta de 2 cm e rejunte acrilico cinza platina</t>
        </is>
      </c>
      <c r="D2564" s="10" t="inlineStr">
        <is>
          <t>Espeçador junta piso 2mm</t>
        </is>
      </c>
      <c r="E2564" s="11">
        <f t="array" ref="E2564">_xlfn.XLOOKUP(D2564,Insumos!B:B,Insumos!C:$C)</f>
        <v/>
      </c>
      <c r="F2564" s="14" t="n">
        <v>4</v>
      </c>
      <c r="G2564" s="92">
        <f t="array" ref="G2564">IF(B2564="insumo",_xlfn.XLOOKUP($D2564,Insumos!$B$1:$B$996,Insumos!$D$1:$D$996),"")</f>
        <v/>
      </c>
      <c r="H2564" s="92" t="n">
        <v>0.32</v>
      </c>
      <c r="I2564" s="2162" t="e">
        <v>#REF!</v>
      </c>
      <c r="J2564" s="2162" t="e">
        <v>#REF!</v>
      </c>
      <c r="K2564" s="2162" t="n"/>
    </row>
    <row r="2565" outlineLevel="3" ht="15.75" customHeight="1">
      <c r="A2565" s="10" t="n">
        <v>36</v>
      </c>
      <c r="B2565" s="10" t="inlineStr">
        <is>
          <t>Insumo</t>
        </is>
      </c>
      <c r="C2565" s="82" t="inlineStr">
        <is>
          <t>Revestimento em Ladrilho Hidráulico 20x20cm - Cores: craft claro, craft comum, fendi, cana e terracota escuro - Marca: Dalle Piagge, com junta de 2 cm e rejunte acrilico cinza platina</t>
        </is>
      </c>
      <c r="D2565" s="82" t="inlineStr">
        <is>
          <t>Rejunte Acrilico cinza platina</t>
        </is>
      </c>
      <c r="E2565" s="11">
        <f t="array" ref="E2565">_xlfn.XLOOKUP(D2565,Insumos!B:B,Insumos!C:$C)</f>
        <v/>
      </c>
      <c r="F2565" s="14" t="n">
        <v>0.05</v>
      </c>
      <c r="G2565" s="92">
        <f t="array" ref="G2565">IF(B2565="insumo",_xlfn.XLOOKUP($D2565,Insumos!$B$1:$B$996,Insumos!$D$1:$D$996),"")</f>
        <v/>
      </c>
      <c r="H2565" s="92" t="n">
        <v>1.9</v>
      </c>
      <c r="I2565" s="2162" t="e">
        <v>#REF!</v>
      </c>
      <c r="J2565" s="2162" t="e">
        <v>#REF!</v>
      </c>
      <c r="K2565" s="2162" t="n"/>
    </row>
    <row r="2566" outlineLevel="2" ht="15.75" customHeight="1">
      <c r="A2566" s="1067" t="n">
        <v>1</v>
      </c>
      <c r="B2566" s="1067" t="inlineStr">
        <is>
          <t>Serviço</t>
        </is>
      </c>
      <c r="C2566" s="1067" t="inlineStr">
        <is>
          <t>Revestimento em Ladrilho Hidráulico 20x20cm - Cores: craft claro, craft comum, fendi, cana e terracota escuro - Marca: Ladrilar, com junta de 2 cm e rejunte acrilico cinza platina</t>
        </is>
      </c>
      <c r="D2566" s="1067" t="inlineStr">
        <is>
          <t>Revestimento em Ladrilho Hidráulico 20x20cm - Cores: craft claro, craft comum, fendi, cana e terracota escuro - Marca: Ladrilar, com junta de 2 cm e rejunte acrilico cinza platina</t>
        </is>
      </c>
      <c r="E2566" s="1068" t="inlineStr">
        <is>
          <t>M2</t>
        </is>
      </c>
      <c r="F2566" s="1067" t="n"/>
      <c r="G2566" s="1069">
        <f t="array" ref="G2566">IF(B2566="insumo",_xlfn.XLOOKUP($D2566,Insumos!$B$1:$B$996,Insumos!$D$1:$D$996),"")</f>
        <v/>
      </c>
      <c r="H2566" s="1069" t="n">
        <v>281.389275</v>
      </c>
      <c r="I2566" s="2161" t="n">
        <v>0</v>
      </c>
      <c r="J2566" s="2161" t="n">
        <v>0</v>
      </c>
      <c r="K2566" s="2161" t="n"/>
    </row>
    <row r="2567" outlineLevel="3" ht="15.75" customHeight="1">
      <c r="A2567" s="10" t="n">
        <v>1</v>
      </c>
      <c r="B2567" s="10" t="inlineStr">
        <is>
          <t>Insumo</t>
        </is>
      </c>
      <c r="C2567" s="10" t="inlineStr">
        <is>
          <t>Revestimento em Ladrilho Hidráulico 20x20cm - Cores: craft claro, craft comum, fendi, cana e terracota escuro - Marca: Ladrilar, com junta de 2 cm e rejunte acrilico cinza platina</t>
        </is>
      </c>
      <c r="D2567" s="10" t="inlineStr">
        <is>
          <t>Ladrilho Hidráulico 20x20cm - Cores: craft claro, craft comum, fendi, cana e terracota escuro - Marca: Ladrilar</t>
        </is>
      </c>
      <c r="E2567" s="11">
        <f t="array" ref="E2567">_xlfn.XLOOKUP(D2567,Insumos!B:B,Insumos!C:$C)</f>
        <v/>
      </c>
      <c r="F2567" s="14">
        <f>1.1</f>
        <v/>
      </c>
      <c r="G2567" s="92">
        <f t="array" ref="G2567">IF(B2567="insumo",_xlfn.XLOOKUP($D2567,Insumos!$B$1:$B$996,Insumos!$D$1:$D$996),"")</f>
        <v/>
      </c>
      <c r="H2567" s="92" t="n">
        <v>273.9</v>
      </c>
      <c r="I2567" s="2162" t="n">
        <v>0</v>
      </c>
      <c r="J2567" s="2162" t="n">
        <v>0</v>
      </c>
      <c r="K2567" s="2162" t="n"/>
    </row>
    <row r="2568" outlineLevel="3" ht="15.75" customHeight="1">
      <c r="A2568" s="10" t="n">
        <v>191</v>
      </c>
      <c r="B2568" s="10" t="inlineStr">
        <is>
          <t>Insumo</t>
        </is>
      </c>
      <c r="C2568" s="10" t="inlineStr">
        <is>
          <t>Revestimento em Ladrilho Hidráulico 20x20cm - Cores: craft claro, craft comum, fendi, cana e terracota escuro - Marca: Ladrilar, com junta de 2 cm e rejunte acrilico cinza platina</t>
        </is>
      </c>
      <c r="D2568" s="10" t="inlineStr">
        <is>
          <t>Argamassa ACIII</t>
        </is>
      </c>
      <c r="E2568" s="11">
        <f t="array" ref="E2568">_xlfn.XLOOKUP(D2568,Insumos!B:B,Insumos!C:$C)</f>
        <v/>
      </c>
      <c r="F2568" s="14" t="n">
        <v>4.95</v>
      </c>
      <c r="G2568" s="92">
        <f t="array" ref="G2568">IF(B2568="insumo",_xlfn.XLOOKUP($D2568,Insumos!$B$1:$B$996,Insumos!$D$1:$D$996),"")</f>
        <v/>
      </c>
      <c r="H2568" s="92" t="n">
        <v>5.269275</v>
      </c>
      <c r="I2568" s="2162" t="n">
        <v>0</v>
      </c>
      <c r="J2568" s="2162" t="n">
        <v>0</v>
      </c>
      <c r="K2568" s="2162" t="n"/>
    </row>
    <row r="2569" outlineLevel="3" ht="15.75" customHeight="1">
      <c r="A2569" s="10" t="n">
        <v>142</v>
      </c>
      <c r="B2569" s="10" t="inlineStr">
        <is>
          <t>Insumo</t>
        </is>
      </c>
      <c r="C2569" s="10" t="inlineStr">
        <is>
          <t>Revestimento em Ladrilho Hidráulico 20x20cm - Cores: craft claro, craft comum, fendi, cana e terracota escuro - Marca: Ladrilar, com junta de 2 cm e rejunte acrilico cinza platina</t>
        </is>
      </c>
      <c r="D2569" s="10" t="inlineStr">
        <is>
          <t>Espeçador junta piso 2mm</t>
        </is>
      </c>
      <c r="E2569" s="11">
        <f t="array" ref="E2569">_xlfn.XLOOKUP(D2569,Insumos!B:B,Insumos!C:$C)</f>
        <v/>
      </c>
      <c r="F2569" s="14" t="n">
        <v>4</v>
      </c>
      <c r="G2569" s="92">
        <f t="array" ref="G2569">IF(B2569="insumo",_xlfn.XLOOKUP($D2569,Insumos!$B$1:$B$996,Insumos!$D$1:$D$996),"")</f>
        <v/>
      </c>
      <c r="H2569" s="92" t="n">
        <v>0.32</v>
      </c>
      <c r="I2569" s="2162" t="n">
        <v>0</v>
      </c>
      <c r="J2569" s="2162" t="n">
        <v>0</v>
      </c>
      <c r="K2569" s="2162" t="n"/>
    </row>
    <row r="2570" outlineLevel="3" ht="15.75" customHeight="1">
      <c r="A2570" s="10" t="n">
        <v>36</v>
      </c>
      <c r="B2570" s="10" t="inlineStr">
        <is>
          <t>Insumo</t>
        </is>
      </c>
      <c r="C2570" s="82" t="inlineStr">
        <is>
          <t>Revestimento em Ladrilho Hidráulico 20x20cm - Cores: craft claro, craft comum, fendi, cana e terracota escuro - Marca: Ladrilar, com junta de 2 cm e rejunte acrilico cinza platina</t>
        </is>
      </c>
      <c r="D2570" s="82" t="inlineStr">
        <is>
          <t>Rejunte Acrilico cinza platina</t>
        </is>
      </c>
      <c r="E2570" s="11">
        <f t="array" ref="E2570">_xlfn.XLOOKUP(D2570,Insumos!B:B,Insumos!C:$C)</f>
        <v/>
      </c>
      <c r="F2570" s="14" t="n">
        <v>0.05</v>
      </c>
      <c r="G2570" s="92">
        <f t="array" ref="G2570">IF(B2570="insumo",_xlfn.XLOOKUP($D2570,Insumos!$B$1:$B$996,Insumos!$D$1:$D$996),"")</f>
        <v/>
      </c>
      <c r="H2570" s="92" t="n">
        <v>1.9</v>
      </c>
      <c r="I2570" s="2162" t="n">
        <v>0</v>
      </c>
      <c r="J2570" s="2162" t="n">
        <v>0</v>
      </c>
      <c r="K2570" s="2162" t="n"/>
    </row>
    <row r="2571" outlineLevel="2" ht="15.75" customHeight="1">
      <c r="A2571" s="1067" t="n">
        <v>1</v>
      </c>
      <c r="B2571" s="1067" t="inlineStr">
        <is>
          <t>Serviço</t>
        </is>
      </c>
      <c r="C2571" s="1067" t="inlineStr">
        <is>
          <t>Revestimento em Ladrilho Hidráulico 10x20cm - Cor: mostarda e off-white - Marca: Dalle Piagge, com junta de 2 cm e rejunte acrilico cinza platina</t>
        </is>
      </c>
      <c r="D2571" s="1067" t="inlineStr">
        <is>
          <t>Revestimento em Ladrilho Hidráulico 10x20cm - Cor: mostarda e off-white - Marca: Dalle Piagge, com junta de 2 cm e rejunte acrilico cinza platina</t>
        </is>
      </c>
      <c r="E2571" s="1068" t="inlineStr">
        <is>
          <t>M2</t>
        </is>
      </c>
      <c r="F2571" s="1067" t="n"/>
      <c r="G2571" s="1069">
        <f t="array" ref="G2571">IF(B2571="insumo",_xlfn.XLOOKUP($D2571,Insumos!$B$1:$B$996,Insumos!$D$1:$D$996),"")</f>
        <v/>
      </c>
      <c r="H2571" s="1069" t="n">
        <v>655.169275</v>
      </c>
      <c r="I2571" s="2161" t="e">
        <v>#REF!</v>
      </c>
      <c r="J2571" s="2161" t="e">
        <v>#REF!</v>
      </c>
      <c r="K2571" s="2161" t="n"/>
    </row>
    <row r="2572" outlineLevel="3" ht="15.75" customHeight="1">
      <c r="A2572" s="10" t="n">
        <v>1</v>
      </c>
      <c r="B2572" s="10" t="inlineStr">
        <is>
          <t>Insumo</t>
        </is>
      </c>
      <c r="C2572" s="10" t="inlineStr">
        <is>
          <t>Revestimento em Ladrilho Hidráulico 10x20cm - Cor: mostarda e off-white - Marca: Dalle Piagge, com junta de 2 cm e rejunte acrilico cinza platina</t>
        </is>
      </c>
      <c r="D2572" s="10" t="inlineStr">
        <is>
          <t>Ladrilho Hidráulico 10x20cm - Cor: mostarda - Marca: Dalle Piagge</t>
        </is>
      </c>
      <c r="E2572" s="11">
        <f t="array" ref="E2572">_xlfn.XLOOKUP(D2572,Insumos!B:B,Insumos!C:$C)</f>
        <v/>
      </c>
      <c r="F2572" s="14">
        <f>1.1/2</f>
        <v/>
      </c>
      <c r="G2572" s="92">
        <f t="array" ref="G2572">IF(B2572="insumo",_xlfn.XLOOKUP($D2572,Insumos!$B$1:$B$996,Insumos!$D$1:$D$996),"")</f>
        <v/>
      </c>
      <c r="H2572" s="92" t="n">
        <v>323.84</v>
      </c>
      <c r="I2572" s="2162" t="e">
        <v>#REF!</v>
      </c>
      <c r="J2572" s="2162" t="e">
        <v>#REF!</v>
      </c>
      <c r="K2572" s="2162" t="n"/>
    </row>
    <row r="2573" outlineLevel="3" ht="15.75" customHeight="1">
      <c r="A2573" s="10" t="n">
        <v>1</v>
      </c>
      <c r="B2573" s="10" t="inlineStr">
        <is>
          <t>Insumo</t>
        </is>
      </c>
      <c r="C2573" s="10" t="inlineStr">
        <is>
          <t>Revestimento em Ladrilho Hidráulico 10x20cm - Cor: mostarda e off-white - Marca: Dalle Piagge, com junta de 2 cm e rejunte acrilico cinza platina</t>
        </is>
      </c>
      <c r="D2573" s="10" t="inlineStr">
        <is>
          <t>Ladrilho Hidráulico 10x20cm - Cor: off-white - Marca: Dalle Piagge</t>
        </is>
      </c>
      <c r="E2573" s="11">
        <f t="array" ref="E2573">_xlfn.XLOOKUP(D2573,Insumos!B:B,Insumos!C:$C)</f>
        <v/>
      </c>
      <c r="F2573" s="14">
        <f>1.1/2</f>
        <v/>
      </c>
      <c r="G2573" s="92">
        <f t="array" ref="G2573">IF(B2573="insumo",_xlfn.XLOOKUP($D2573,Insumos!$B$1:$B$996,Insumos!$D$1:$D$996),"")</f>
        <v/>
      </c>
      <c r="H2573" s="92" t="n">
        <v>323.84</v>
      </c>
      <c r="I2573" s="2162" t="e">
        <v>#REF!</v>
      </c>
      <c r="J2573" s="2162" t="e">
        <v>#REF!</v>
      </c>
      <c r="K2573" s="2162" t="n"/>
    </row>
    <row r="2574" outlineLevel="3" ht="15.75" customHeight="1">
      <c r="A2574" s="10" t="n">
        <v>191</v>
      </c>
      <c r="B2574" s="10" t="inlineStr">
        <is>
          <t>Insumo</t>
        </is>
      </c>
      <c r="C2574" s="10" t="inlineStr">
        <is>
          <t>Revestimento em Ladrilho Hidráulico 10x20cm - Cor: mostarda e off-white - Marca: Dalle Piagge, com junta de 2 cm e rejunte acrilico cinza platina</t>
        </is>
      </c>
      <c r="D2574" s="10" t="inlineStr">
        <is>
          <t>Argamassa ACIII</t>
        </is>
      </c>
      <c r="E2574" s="11">
        <f t="array" ref="E2574">_xlfn.XLOOKUP(D2574,Insumos!B:B,Insumos!C:$C)</f>
        <v/>
      </c>
      <c r="F2574" s="14" t="n">
        <v>4.95</v>
      </c>
      <c r="G2574" s="92">
        <f t="array" ref="G2574">IF(B2574="insumo",_xlfn.XLOOKUP($D2574,Insumos!$B$1:$B$996,Insumos!$D$1:$D$996),"")</f>
        <v/>
      </c>
      <c r="H2574" s="92" t="n">
        <v>5.269275</v>
      </c>
      <c r="I2574" s="2162" t="e">
        <v>#REF!</v>
      </c>
      <c r="J2574" s="2162" t="e">
        <v>#REF!</v>
      </c>
      <c r="K2574" s="2162" t="n"/>
    </row>
    <row r="2575" outlineLevel="3" ht="15.75" customHeight="1">
      <c r="A2575" s="10" t="n">
        <v>142</v>
      </c>
      <c r="B2575" s="10" t="inlineStr">
        <is>
          <t>Insumo</t>
        </is>
      </c>
      <c r="C2575" s="10" t="inlineStr">
        <is>
          <t>Revestimento em Ladrilho Hidráulico 10x20cm - Cor: mostarda e off-white - Marca: Dalle Piagge, com junta de 2 cm e rejunte acrilico cinza platina</t>
        </is>
      </c>
      <c r="D2575" s="10" t="inlineStr">
        <is>
          <t>Espeçador junta piso 2mm</t>
        </is>
      </c>
      <c r="E2575" s="11">
        <f t="array" ref="E2575">_xlfn.XLOOKUP(D2575,Insumos!B:B,Insumos!C:$C)</f>
        <v/>
      </c>
      <c r="F2575" s="14" t="n">
        <v>4</v>
      </c>
      <c r="G2575" s="92">
        <f t="array" ref="G2575">IF(B2575="insumo",_xlfn.XLOOKUP($D2575,Insumos!$B$1:$B$996,Insumos!$D$1:$D$996),"")</f>
        <v/>
      </c>
      <c r="H2575" s="92" t="n">
        <v>0.32</v>
      </c>
      <c r="I2575" s="2162" t="e">
        <v>#REF!</v>
      </c>
      <c r="J2575" s="2162" t="e">
        <v>#REF!</v>
      </c>
      <c r="K2575" s="2162" t="n"/>
    </row>
    <row r="2576" outlineLevel="3" ht="15.75" customHeight="1">
      <c r="A2576" s="10" t="n">
        <v>36</v>
      </c>
      <c r="B2576" s="10" t="inlineStr">
        <is>
          <t>Insumo</t>
        </is>
      </c>
      <c r="C2576" s="82" t="inlineStr">
        <is>
          <t>Revestimento em Ladrilho Hidráulico 10x20cm - Cor: mostarda e off-white - Marca: Dalle Piagge, com junta de 2 cm e rejunte acrilico cinza platina</t>
        </is>
      </c>
      <c r="D2576" s="82" t="inlineStr">
        <is>
          <t>Rejunte Acrilico cinza platina</t>
        </is>
      </c>
      <c r="E2576" s="11">
        <f t="array" ref="E2576">_xlfn.XLOOKUP(D2576,Insumos!B:B,Insumos!C:$C)</f>
        <v/>
      </c>
      <c r="F2576" s="14" t="n">
        <v>0.05</v>
      </c>
      <c r="G2576" s="92">
        <f t="array" ref="G2576">IF(B2576="insumo",_xlfn.XLOOKUP($D2576,Insumos!$B$1:$B$996,Insumos!$D$1:$D$996),"")</f>
        <v/>
      </c>
      <c r="H2576" s="92" t="n">
        <v>1.9</v>
      </c>
      <c r="I2576" s="2162" t="e">
        <v>#REF!</v>
      </c>
      <c r="J2576" s="2162" t="e">
        <v>#REF!</v>
      </c>
      <c r="K2576" s="2162" t="n"/>
    </row>
    <row r="2577" outlineLevel="2" ht="15.75" customHeight="1">
      <c r="A2577" s="1067" t="n">
        <v>1</v>
      </c>
      <c r="B2577" s="1067" t="inlineStr">
        <is>
          <t>Serviço</t>
        </is>
      </c>
      <c r="C2577" s="1067" t="inlineStr">
        <is>
          <t>Revestimento em Ladrilho Hidráulico 10x20cm - Cor: mostarda e off-white - Marca: Ladrilar, com junta de 2 cm e rejunte acrilico cinza platina</t>
        </is>
      </c>
      <c r="D2577" s="1067" t="inlineStr">
        <is>
          <t>Revestimento em Ladrilho Hidráulico 10x20cm - Cor: mostarda e off-white - Marca: Ladrilar, com junta de 2 cm e rejunte acrilico cinza platina</t>
        </is>
      </c>
      <c r="E2577" s="1068" t="inlineStr">
        <is>
          <t>M2</t>
        </is>
      </c>
      <c r="F2577" s="1067" t="n"/>
      <c r="G2577" s="1069">
        <f t="array" ref="G2577">IF(B2577="insumo",_xlfn.XLOOKUP($D2577,Insumos!$B$1:$B$996,Insumos!$D$1:$D$996),"")</f>
        <v/>
      </c>
      <c r="H2577" s="1069" t="n">
        <v>353.989275</v>
      </c>
      <c r="I2577" s="2161" t="e">
        <v>#REF!</v>
      </c>
      <c r="J2577" s="2161" t="e">
        <v>#REF!</v>
      </c>
      <c r="K2577" s="2161" t="n"/>
    </row>
    <row r="2578" outlineLevel="3" ht="15.75" customHeight="1">
      <c r="A2578" s="10" t="n">
        <v>1</v>
      </c>
      <c r="B2578" s="10" t="inlineStr">
        <is>
          <t>Insumo</t>
        </is>
      </c>
      <c r="C2578" s="10" t="inlineStr">
        <is>
          <t>Revestimento em Ladrilho Hidráulico 10x20cm - Cor: mostarda e off-white - Marca: Ladrilar, com junta de 2 cm e rejunte acrilico cinza platina</t>
        </is>
      </c>
      <c r="D2578" s="10" t="inlineStr">
        <is>
          <t>Ladrilho Hidráulico 10x20cm - Cor: mostarda - Marca: Ladrilar</t>
        </is>
      </c>
      <c r="E2578" s="11">
        <f t="array" ref="E2578">_xlfn.XLOOKUP(D2578,Insumos!B:B,Insumos!C:$C)</f>
        <v/>
      </c>
      <c r="F2578" s="14">
        <f>1.1/2</f>
        <v/>
      </c>
      <c r="G2578" s="92">
        <f t="array" ref="G2578">IF(B2578="insumo",_xlfn.XLOOKUP($D2578,Insumos!$B$1:$B$996,Insumos!$D$1:$D$996),"")</f>
        <v/>
      </c>
      <c r="H2578" s="92" t="n">
        <v>173.25</v>
      </c>
      <c r="I2578" s="2162" t="e">
        <v>#REF!</v>
      </c>
      <c r="J2578" s="2162" t="e">
        <v>#REF!</v>
      </c>
      <c r="K2578" s="2162" t="n"/>
    </row>
    <row r="2579" outlineLevel="3" ht="15.75" customHeight="1">
      <c r="A2579" s="10" t="n">
        <v>1</v>
      </c>
      <c r="B2579" s="10" t="inlineStr">
        <is>
          <t>Insumo</t>
        </is>
      </c>
      <c r="C2579" s="10" t="inlineStr">
        <is>
          <t>Revestimento em Ladrilho Hidráulico 10x20cm - Cor: mostarda e off-white - Marca: Ladrilar, com junta de 2 cm e rejunte acrilico cinza platina</t>
        </is>
      </c>
      <c r="D2579" s="10" t="inlineStr">
        <is>
          <t>Ladrilho Hidráulico 10x20cm - Cor: off-white - Marca: Ladrilar</t>
        </is>
      </c>
      <c r="E2579" s="11">
        <f t="array" ref="E2579">_xlfn.XLOOKUP(D2579,Insumos!B:B,Insumos!C:$C)</f>
        <v/>
      </c>
      <c r="F2579" s="14">
        <f>1.1/2</f>
        <v/>
      </c>
      <c r="G2579" s="92">
        <f t="array" ref="G2579">IF(B2579="insumo",_xlfn.XLOOKUP($D2579,Insumos!$B$1:$B$996,Insumos!$D$1:$D$996),"")</f>
        <v/>
      </c>
      <c r="H2579" s="92" t="n">
        <v>173.25</v>
      </c>
      <c r="I2579" s="2162" t="e">
        <v>#REF!</v>
      </c>
      <c r="J2579" s="2162" t="e">
        <v>#REF!</v>
      </c>
      <c r="K2579" s="2162" t="n"/>
    </row>
    <row r="2580" outlineLevel="3" ht="15.75" customHeight="1">
      <c r="A2580" s="10" t="n">
        <v>191</v>
      </c>
      <c r="B2580" s="10" t="inlineStr">
        <is>
          <t>Insumo</t>
        </is>
      </c>
      <c r="C2580" s="10" t="inlineStr">
        <is>
          <t>Revestimento em Ladrilho Hidráulico 10x20cm - Cor: mostarda e off-white - Marca: Ladrilar, com junta de 2 cm e rejunte acrilico cinza platina</t>
        </is>
      </c>
      <c r="D2580" s="10" t="inlineStr">
        <is>
          <t>Argamassa ACIII</t>
        </is>
      </c>
      <c r="E2580" s="11">
        <f t="array" ref="E2580">_xlfn.XLOOKUP(D2580,Insumos!B:B,Insumos!C:$C)</f>
        <v/>
      </c>
      <c r="F2580" s="14" t="n">
        <v>4.95</v>
      </c>
      <c r="G2580" s="92">
        <f t="array" ref="G2580">IF(B2580="insumo",_xlfn.XLOOKUP($D2580,Insumos!$B$1:$B$996,Insumos!$D$1:$D$996),"")</f>
        <v/>
      </c>
      <c r="H2580" s="92" t="n">
        <v>5.269275</v>
      </c>
      <c r="I2580" s="2162" t="e">
        <v>#REF!</v>
      </c>
      <c r="J2580" s="2162" t="e">
        <v>#REF!</v>
      </c>
      <c r="K2580" s="2162" t="n"/>
    </row>
    <row r="2581" outlineLevel="3" ht="15.75" customHeight="1">
      <c r="A2581" s="10" t="n">
        <v>142</v>
      </c>
      <c r="B2581" s="10" t="inlineStr">
        <is>
          <t>Insumo</t>
        </is>
      </c>
      <c r="C2581" s="10" t="inlineStr">
        <is>
          <t>Revestimento em Ladrilho Hidráulico 10x20cm - Cor: mostarda e off-white - Marca: Ladrilar, com junta de 2 cm e rejunte acrilico cinza platina</t>
        </is>
      </c>
      <c r="D2581" s="10" t="inlineStr">
        <is>
          <t>Espeçador junta piso 2mm</t>
        </is>
      </c>
      <c r="E2581" s="11">
        <f t="array" ref="E2581">_xlfn.XLOOKUP(D2581,Insumos!B:B,Insumos!C:$C)</f>
        <v/>
      </c>
      <c r="F2581" s="14" t="n">
        <v>4</v>
      </c>
      <c r="G2581" s="92">
        <f t="array" ref="G2581">IF(B2581="insumo",_xlfn.XLOOKUP($D2581,Insumos!$B$1:$B$996,Insumos!$D$1:$D$996),"")</f>
        <v/>
      </c>
      <c r="H2581" s="92" t="n">
        <v>0.32</v>
      </c>
      <c r="I2581" s="2162" t="e">
        <v>#REF!</v>
      </c>
      <c r="J2581" s="2162" t="e">
        <v>#REF!</v>
      </c>
      <c r="K2581" s="2162" t="n"/>
    </row>
    <row r="2582" outlineLevel="3" ht="15.75" customHeight="1">
      <c r="A2582" s="10" t="n">
        <v>36</v>
      </c>
      <c r="B2582" s="10" t="inlineStr">
        <is>
          <t>Insumo</t>
        </is>
      </c>
      <c r="C2582" s="82" t="inlineStr">
        <is>
          <t>Revestimento em Ladrilho Hidráulico 10x20cm - Cor: mostarda e off-white - Marca: Ladrilar, com junta de 2 cm e rejunte acrilico cinza platina</t>
        </is>
      </c>
      <c r="D2582" s="82" t="inlineStr">
        <is>
          <t>Rejunte Acrilico cinza platina</t>
        </is>
      </c>
      <c r="E2582" s="11">
        <f t="array" ref="E2582">_xlfn.XLOOKUP(D2582,Insumos!B:B,Insumos!C:$C)</f>
        <v/>
      </c>
      <c r="F2582" s="14" t="n">
        <v>0.05</v>
      </c>
      <c r="G2582" s="92">
        <f t="array" ref="G2582">IF(B2582="insumo",_xlfn.XLOOKUP($D2582,Insumos!$B$1:$B$996,Insumos!$D$1:$D$996),"")</f>
        <v/>
      </c>
      <c r="H2582" s="92" t="n">
        <v>1.9</v>
      </c>
      <c r="I2582" s="2162" t="e">
        <v>#REF!</v>
      </c>
      <c r="J2582" s="2162" t="e">
        <v>#REF!</v>
      </c>
      <c r="K2582" s="2162" t="n"/>
    </row>
    <row r="2583" outlineLevel="2" ht="15.75" customHeight="1">
      <c r="A2583" s="1067" t="n">
        <v>1</v>
      </c>
      <c r="B2583" s="1067" t="inlineStr">
        <is>
          <t>Serviço</t>
        </is>
      </c>
      <c r="C2583" s="1067" t="inlineStr">
        <is>
          <t>Revestimento em Ladrilho Hidráulico 5x5cm - Cor: terracota escuro e off-white - Marca: Dalle Piagge, com junta de 2 cm e rejunte acrilico cinza platina</t>
        </is>
      </c>
      <c r="D2583" s="1067" t="inlineStr">
        <is>
          <t>Revestimento em Ladrilho Hidráulico 5x5cm - Cor: terracota escuro e off-white - Marca: Dalle Piagge, com junta de 2 cm e rejunte acrilico cinza platina</t>
        </is>
      </c>
      <c r="E2583" s="1068" t="inlineStr">
        <is>
          <t>M2</t>
        </is>
      </c>
      <c r="F2583" s="1067" t="n"/>
      <c r="G2583" s="1069" t="n"/>
      <c r="H2583" s="1069" t="n">
        <v>865.489275</v>
      </c>
      <c r="I2583" s="2161" t="e">
        <v>#REF!</v>
      </c>
      <c r="J2583" s="2161" t="e">
        <v>#REF!</v>
      </c>
      <c r="K2583" s="2161" t="n"/>
    </row>
    <row r="2584" outlineLevel="3" ht="15.75" customHeight="1">
      <c r="A2584" s="10" t="n">
        <v>2</v>
      </c>
      <c r="B2584" s="10" t="inlineStr">
        <is>
          <t>Insumo</t>
        </is>
      </c>
      <c r="C2584" s="10" t="inlineStr">
        <is>
          <t>Revestimento em Ladrilho Hidráulico 5x5cm - Cor: terracota escuro e off-white - Marca: Dalle Piagge, com junta de 2 cm e rejunte acrilico cinza platina</t>
        </is>
      </c>
      <c r="D2584" s="10" t="inlineStr">
        <is>
          <t>Ladrilho Hidráulico 5x5cm - Cor: terracota escuro - Marca: Dalle Piagge</t>
        </is>
      </c>
      <c r="E2584" s="11">
        <f t="array" ref="E2584">_xlfn.XLOOKUP(D2584,Insumos!B:B,Insumos!C:$C)</f>
        <v/>
      </c>
      <c r="F2584" s="14">
        <f>1.1/2</f>
        <v/>
      </c>
      <c r="G2584" s="92">
        <f t="array" ref="G2584">IF(B2584="insumo",_xlfn.XLOOKUP($D2584,Insumos!$B$1:$B$996,Insumos!$D$1:$D$996),"")</f>
        <v/>
      </c>
      <c r="H2584" s="92" t="n">
        <v>429</v>
      </c>
      <c r="I2584" s="2162" t="e">
        <v>#REF!</v>
      </c>
      <c r="J2584" s="2162" t="e">
        <v>#REF!</v>
      </c>
      <c r="K2584" s="2162" t="n"/>
    </row>
    <row r="2585" outlineLevel="3" ht="15.75" customHeight="1">
      <c r="A2585" s="10" t="n">
        <v>1</v>
      </c>
      <c r="B2585" s="10" t="inlineStr">
        <is>
          <t>Insumo</t>
        </is>
      </c>
      <c r="C2585" s="10" t="inlineStr">
        <is>
          <t>Revestimento em Ladrilho Hidráulico 5x5cm - Cor: terracota escuro e off-white - Marca: Dalle Piagge, com junta de 2 cm e rejunte acrilico cinza platina</t>
        </is>
      </c>
      <c r="D2585" s="10" t="inlineStr">
        <is>
          <t>Ladrilho Hidráulico 5x5cm - Cor: off-white - Marca: Dalle Piagge</t>
        </is>
      </c>
      <c r="E2585" s="11">
        <f t="array" ref="E2585">_xlfn.XLOOKUP(D2585,Insumos!B:B,Insumos!C:$C)</f>
        <v/>
      </c>
      <c r="F2585" s="14">
        <f>1.1/2</f>
        <v/>
      </c>
      <c r="G2585" s="92">
        <f t="array" ref="G2585">IF(B2585="insumo",_xlfn.XLOOKUP($D2585,Insumos!$B$1:$B$996,Insumos!$D$1:$D$996),"")</f>
        <v/>
      </c>
      <c r="H2585" s="92" t="n">
        <v>429</v>
      </c>
      <c r="I2585" s="2162" t="e">
        <v>#REF!</v>
      </c>
      <c r="J2585" s="2162" t="e">
        <v>#REF!</v>
      </c>
      <c r="K2585" s="2162" t="n"/>
    </row>
    <row r="2586" outlineLevel="3" ht="15.75" customHeight="1">
      <c r="A2586" s="10" t="n">
        <v>191</v>
      </c>
      <c r="B2586" s="10" t="inlineStr">
        <is>
          <t>Insumo</t>
        </is>
      </c>
      <c r="C2586" s="10" t="inlineStr">
        <is>
          <t>Revestimento em Ladrilho Hidráulico 5x5cm - Cor: terracota escuro e off-white - Marca: Dalle Piagge, com junta de 2 cm e rejunte acrilico cinza platina</t>
        </is>
      </c>
      <c r="D2586" s="10" t="inlineStr">
        <is>
          <t>Argamassa ACIII</t>
        </is>
      </c>
      <c r="E2586" s="11">
        <f t="array" ref="E2586">_xlfn.XLOOKUP(D2586,Insumos!B:B,Insumos!C:$C)</f>
        <v/>
      </c>
      <c r="F2586" s="14" t="n">
        <v>4.95</v>
      </c>
      <c r="G2586" s="92">
        <f t="array" ref="G2586">IF(B2586="insumo",_xlfn.XLOOKUP($D2586,Insumos!$B$1:$B$996,Insumos!$D$1:$D$996),"")</f>
        <v/>
      </c>
      <c r="H2586" s="92" t="n">
        <v>5.269275</v>
      </c>
      <c r="I2586" s="2162" t="e">
        <v>#REF!</v>
      </c>
      <c r="J2586" s="2162" t="e">
        <v>#REF!</v>
      </c>
      <c r="K2586" s="2162" t="n"/>
    </row>
    <row r="2587" outlineLevel="3" ht="15.75" customHeight="1">
      <c r="A2587" s="10" t="n">
        <v>142</v>
      </c>
      <c r="B2587" s="10" t="inlineStr">
        <is>
          <t>Insumo</t>
        </is>
      </c>
      <c r="C2587" s="10" t="inlineStr">
        <is>
          <t>Revestimento em Ladrilho Hidráulico 5x5cm - Cor: terracota escuro e off-white - Marca: Dalle Piagge, com junta de 2 cm e rejunte acrilico cinza platina</t>
        </is>
      </c>
      <c r="D2587" s="10" t="inlineStr">
        <is>
          <t>Espeçador junta piso 2mm</t>
        </is>
      </c>
      <c r="E2587" s="11">
        <f t="array" ref="E2587">_xlfn.XLOOKUP(D2587,Insumos!B:B,Insumos!C:$C)</f>
        <v/>
      </c>
      <c r="F2587" s="14" t="n">
        <v>4</v>
      </c>
      <c r="G2587" s="92">
        <f t="array" ref="G2587">IF(B2587="insumo",_xlfn.XLOOKUP($D2587,Insumos!$B$1:$B$996,Insumos!$D$1:$D$996),"")</f>
        <v/>
      </c>
      <c r="H2587" s="92" t="n">
        <v>0.32</v>
      </c>
      <c r="I2587" s="2162" t="e">
        <v>#REF!</v>
      </c>
      <c r="J2587" s="2162" t="e">
        <v>#REF!</v>
      </c>
      <c r="K2587" s="2162" t="n"/>
    </row>
    <row r="2588" outlineLevel="3" ht="15.75" customHeight="1">
      <c r="A2588" s="10" t="n">
        <v>36</v>
      </c>
      <c r="B2588" s="10" t="inlineStr">
        <is>
          <t>Insumo</t>
        </is>
      </c>
      <c r="C2588" s="82" t="inlineStr">
        <is>
          <t>Revestimento em Ladrilho Hidráulico 5x5cm - Cor: terracota escuro e off-white - Marca: Dalle Piagge, com junta de 2 cm e rejunte acrilico cinza platina</t>
        </is>
      </c>
      <c r="D2588" s="82" t="inlineStr">
        <is>
          <t>Rejunte Acrilico cinza platina</t>
        </is>
      </c>
      <c r="E2588" s="11">
        <f t="array" ref="E2588">_xlfn.XLOOKUP(D2588,Insumos!B:B,Insumos!C:$C)</f>
        <v/>
      </c>
      <c r="F2588" s="14" t="n">
        <v>0.05</v>
      </c>
      <c r="G2588" s="92">
        <f t="array" ref="G2588">IF(B2588="insumo",_xlfn.XLOOKUP($D2588,Insumos!$B$1:$B$996,Insumos!$D$1:$D$996),"")</f>
        <v/>
      </c>
      <c r="H2588" s="92" t="n">
        <v>1.9</v>
      </c>
      <c r="I2588" s="2162" t="e">
        <v>#REF!</v>
      </c>
      <c r="J2588" s="2162" t="e">
        <v>#REF!</v>
      </c>
      <c r="K2588" s="2162" t="n"/>
    </row>
    <row r="2589" outlineLevel="2" ht="15.75" customHeight="1">
      <c r="A2589" s="1067" t="n">
        <v>1</v>
      </c>
      <c r="B2589" s="1067" t="inlineStr">
        <is>
          <t>Serviço</t>
        </is>
      </c>
      <c r="C2589" s="1067" t="inlineStr">
        <is>
          <t>Revestimento em Ladrilho Hidráulico 5x5cm - Cor: terracota escuro e off-white - Marca: Ladrilar, com junta de 2 cm e rejunte acrilico cinza platina</t>
        </is>
      </c>
      <c r="D2589" s="1067" t="inlineStr">
        <is>
          <t>Revestimento em Ladrilho Hidráulico 5x5cm - Cor: terracota escuro e off-white - Marca: Ladrilar, com junta de 2 cm e rejunte acrilico cinza platina</t>
        </is>
      </c>
      <c r="E2589" s="1068" t="inlineStr">
        <is>
          <t>M2</t>
        </is>
      </c>
      <c r="F2589" s="1067" t="n"/>
      <c r="G2589" s="1069">
        <f t="array" ref="G2589">IF(B2589="insumo",_xlfn.XLOOKUP($D2589,Insumos!$B$1:$B$996,Insumos!$D$1:$D$996),"")</f>
        <v/>
      </c>
      <c r="H2589" s="1069" t="n">
        <v>546.489275</v>
      </c>
      <c r="I2589" s="2161" t="n">
        <v>0</v>
      </c>
      <c r="J2589" s="2161" t="n">
        <v>0</v>
      </c>
      <c r="K2589" s="2161" t="n"/>
    </row>
    <row r="2590" outlineLevel="3" ht="15.75" customHeight="1">
      <c r="A2590" s="10" t="n">
        <v>2</v>
      </c>
      <c r="B2590" s="10" t="inlineStr">
        <is>
          <t>Insumo</t>
        </is>
      </c>
      <c r="C2590" s="10" t="inlineStr">
        <is>
          <t>Revestimento em Ladrilho Hidráulico 5x5cm - Cor: terracota escuro e off-white - Marca: Ladrilar, com junta de 2 cm e rejunte acrilico cinza platina</t>
        </is>
      </c>
      <c r="D2590" s="10" t="inlineStr">
        <is>
          <t>Ladrilho Hidráulico 5x5cm - Cor: terracota escuro - Marca: Ladrilar</t>
        </is>
      </c>
      <c r="E2590" s="11">
        <f t="array" ref="E2590">_xlfn.XLOOKUP(D2590,Insumos!B:B,Insumos!C:$C)</f>
        <v/>
      </c>
      <c r="F2590" s="14">
        <f>1.1/2</f>
        <v/>
      </c>
      <c r="G2590" s="92">
        <f t="array" ref="G2590">IF(B2590="insumo",_xlfn.XLOOKUP($D2590,Insumos!$B$1:$B$996,Insumos!$D$1:$D$996),"")</f>
        <v/>
      </c>
      <c r="H2590" s="92" t="n">
        <v>269.5</v>
      </c>
      <c r="I2590" s="2162" t="n">
        <v>0</v>
      </c>
      <c r="J2590" s="2162" t="n">
        <v>0</v>
      </c>
      <c r="K2590" s="2162" t="n"/>
    </row>
    <row r="2591" outlineLevel="3" ht="15.75" customHeight="1">
      <c r="A2591" s="10" t="n">
        <v>1</v>
      </c>
      <c r="B2591" s="10" t="inlineStr">
        <is>
          <t>Insumo</t>
        </is>
      </c>
      <c r="C2591" s="10" t="inlineStr">
        <is>
          <t>Revestimento em Ladrilho Hidráulico 5x5cm - Cor: terracota escuro e off-white - Marca: Ladrilar, com junta de 2 cm e rejunte acrilico cinza platina</t>
        </is>
      </c>
      <c r="D2591" s="10" t="inlineStr">
        <is>
          <t>Ladrilho Hidráulico 5x5cm - Cor: off-white - Marca: Ladrilar</t>
        </is>
      </c>
      <c r="E2591" s="11">
        <f t="array" ref="E2591">_xlfn.XLOOKUP(D2591,Insumos!B:B,Insumos!C:$C)</f>
        <v/>
      </c>
      <c r="F2591" s="14">
        <f>1.1/2</f>
        <v/>
      </c>
      <c r="G2591" s="92">
        <f t="array" ref="G2591">IF(B2591="insumo",_xlfn.XLOOKUP($D2591,Insumos!$B$1:$B$996,Insumos!$D$1:$D$996),"")</f>
        <v/>
      </c>
      <c r="H2591" s="92" t="n">
        <v>269.5</v>
      </c>
      <c r="I2591" s="2162" t="n">
        <v>0</v>
      </c>
      <c r="J2591" s="2162" t="n">
        <v>0</v>
      </c>
      <c r="K2591" s="2162" t="n"/>
    </row>
    <row r="2592" outlineLevel="3" ht="15.75" customHeight="1">
      <c r="A2592" s="10" t="n">
        <v>191</v>
      </c>
      <c r="B2592" s="10" t="inlineStr">
        <is>
          <t>Insumo</t>
        </is>
      </c>
      <c r="C2592" s="10" t="inlineStr">
        <is>
          <t>Revestimento em Ladrilho Hidráulico 5x5cm - Cor: terracota escuro e off-white - Marca: Ladrilar, com junta de 2 cm e rejunte acrilico cinza platina</t>
        </is>
      </c>
      <c r="D2592" s="10" t="inlineStr">
        <is>
          <t>Argamassa ACIII</t>
        </is>
      </c>
      <c r="E2592" s="11">
        <f t="array" ref="E2592">_xlfn.XLOOKUP(D2592,Insumos!B:B,Insumos!C:$C)</f>
        <v/>
      </c>
      <c r="F2592" s="14" t="n">
        <v>4.95</v>
      </c>
      <c r="G2592" s="92">
        <f t="array" ref="G2592">IF(B2592="insumo",_xlfn.XLOOKUP($D2592,Insumos!$B$1:$B$996,Insumos!$D$1:$D$996),"")</f>
        <v/>
      </c>
      <c r="H2592" s="92" t="n">
        <v>5.269275</v>
      </c>
      <c r="I2592" s="2162" t="n">
        <v>0</v>
      </c>
      <c r="J2592" s="2162" t="n">
        <v>0</v>
      </c>
      <c r="K2592" s="2162" t="n"/>
    </row>
    <row r="2593" outlineLevel="3" ht="15.75" customHeight="1">
      <c r="A2593" s="10" t="n">
        <v>142</v>
      </c>
      <c r="B2593" s="10" t="inlineStr">
        <is>
          <t>Insumo</t>
        </is>
      </c>
      <c r="C2593" s="10" t="inlineStr">
        <is>
          <t>Revestimento em Ladrilho Hidráulico 5x5cm - Cor: terracota escuro e off-white - Marca: Ladrilar, com junta de 2 cm e rejunte acrilico cinza platina</t>
        </is>
      </c>
      <c r="D2593" s="10" t="inlineStr">
        <is>
          <t>Espeçador junta piso 2mm</t>
        </is>
      </c>
      <c r="E2593" s="11">
        <f t="array" ref="E2593">_xlfn.XLOOKUP(D2593,Insumos!B:B,Insumos!C:$C)</f>
        <v/>
      </c>
      <c r="F2593" s="14" t="n">
        <v>4</v>
      </c>
      <c r="G2593" s="92">
        <f t="array" ref="G2593">IF(B2593="insumo",_xlfn.XLOOKUP($D2593,Insumos!$B$1:$B$996,Insumos!$D$1:$D$996),"")</f>
        <v/>
      </c>
      <c r="H2593" s="92" t="n">
        <v>0.32</v>
      </c>
      <c r="I2593" s="2162" t="n">
        <v>0</v>
      </c>
      <c r="J2593" s="2162" t="n">
        <v>0</v>
      </c>
      <c r="K2593" s="2162" t="n"/>
    </row>
    <row r="2594" outlineLevel="3" ht="15.75" customHeight="1">
      <c r="A2594" s="10" t="n">
        <v>36</v>
      </c>
      <c r="B2594" s="10" t="inlineStr">
        <is>
          <t>Insumo</t>
        </is>
      </c>
      <c r="C2594" s="82" t="inlineStr">
        <is>
          <t>Revestimento em Ladrilho Hidráulico 5x5cm - Cor: terracota escuro e off-white - Marca: Ladrilar, com junta de 2 cm e rejunte acrilico cinza platina</t>
        </is>
      </c>
      <c r="D2594" s="82" t="inlineStr">
        <is>
          <t>Rejunte Acrilico cinza platina</t>
        </is>
      </c>
      <c r="E2594" s="11">
        <f t="array" ref="E2594">_xlfn.XLOOKUP(D2594,Insumos!B:B,Insumos!C:$C)</f>
        <v/>
      </c>
      <c r="F2594" s="14" t="n">
        <v>0.05</v>
      </c>
      <c r="G2594" s="92">
        <f t="array" ref="G2594">IF(B2594="insumo",_xlfn.XLOOKUP($D2594,Insumos!$B$1:$B$996,Insumos!$D$1:$D$996),"")</f>
        <v/>
      </c>
      <c r="H2594" s="92" t="n">
        <v>1.9</v>
      </c>
      <c r="I2594" s="2162" t="n">
        <v>0</v>
      </c>
      <c r="J2594" s="2162" t="n">
        <v>0</v>
      </c>
      <c r="K2594" s="2162" t="n"/>
    </row>
    <row r="2595" outlineLevel="2" ht="15.75" customHeight="1">
      <c r="A2595" s="1067" t="n">
        <v>1</v>
      </c>
      <c r="B2595" s="1067" t="inlineStr">
        <is>
          <t>Serviço</t>
        </is>
      </c>
      <c r="C2595" s="1067" t="inlineStr">
        <is>
          <t>Revestimento em Ladrilho Hidráulico 5x5cm - Cor: terracota escuro e azul escuro - Marca: Dalle Piagge, com junta de 2 cm e rejunte acrilico cinza platina</t>
        </is>
      </c>
      <c r="D2595" s="1067" t="inlineStr">
        <is>
          <t>Revestimento em Ladrilho Hidráulico 5x5cm - Cor: terracota escuro e azul escuro - Marca: Dalle Piagge, com junta de 2 cm e rejunte acrilico cinza platina</t>
        </is>
      </c>
      <c r="E2595" s="1068" t="inlineStr">
        <is>
          <t>M2</t>
        </is>
      </c>
      <c r="F2595" s="1067" t="n"/>
      <c r="G2595" s="1069">
        <f t="array" ref="G2595">IF(B2595="insumo",_xlfn.XLOOKUP($D2595,Insumos!$B$1:$B$996,Insumos!$D$1:$D$996),"")</f>
        <v/>
      </c>
      <c r="H2595" s="1069" t="n">
        <v>865.489275</v>
      </c>
      <c r="I2595" s="2161" t="e">
        <v>#REF!</v>
      </c>
      <c r="J2595" s="2161" t="e">
        <v>#REF!</v>
      </c>
      <c r="K2595" s="2161" t="n"/>
    </row>
    <row r="2596" outlineLevel="3" ht="15.75" customHeight="1">
      <c r="A2596" s="10" t="n">
        <v>2</v>
      </c>
      <c r="B2596" s="10" t="inlineStr">
        <is>
          <t>Insumo</t>
        </is>
      </c>
      <c r="C2596" s="10" t="inlineStr">
        <is>
          <t>Revestimento em Ladrilho Hidráulico 5x5cm - Cor: terracota escuro e azul escuro - Marca: Dalle Piagge, com junta de 2 cm e rejunte acrilico cinza platina</t>
        </is>
      </c>
      <c r="D2596" s="10" t="inlineStr">
        <is>
          <t>Ladrilho Hidráulico 5x5cm - Cor: terracota escuro - Marca: Dalle Piagge</t>
        </is>
      </c>
      <c r="E2596" s="11">
        <f t="array" ref="E2596">_xlfn.XLOOKUP(D2596,Insumos!B:B,Insumos!C:$C)</f>
        <v/>
      </c>
      <c r="F2596" s="14">
        <f>1.1/2</f>
        <v/>
      </c>
      <c r="G2596" s="92">
        <f t="array" ref="G2596">IF(B2596="insumo",_xlfn.XLOOKUP($D2596,Insumos!$B$1:$B$996,Insumos!$D$1:$D$996),"")</f>
        <v/>
      </c>
      <c r="H2596" s="92" t="n">
        <v>429</v>
      </c>
      <c r="I2596" s="2162" t="e">
        <v>#REF!</v>
      </c>
      <c r="J2596" s="2162" t="e">
        <v>#REF!</v>
      </c>
      <c r="K2596" s="2162" t="n"/>
    </row>
    <row r="2597" outlineLevel="3" ht="15.75" customHeight="1">
      <c r="A2597" s="10" t="n">
        <v>1</v>
      </c>
      <c r="B2597" s="10" t="inlineStr">
        <is>
          <t>Insumo</t>
        </is>
      </c>
      <c r="C2597" s="10" t="inlineStr">
        <is>
          <t>Revestimento em Ladrilho Hidráulico 5x5cm - Cor: terracota escuro e azul escuro - Marca: Dalle Piagge, com junta de 2 cm e rejunte acrilico cinza platina</t>
        </is>
      </c>
      <c r="D2597" s="10" t="inlineStr">
        <is>
          <t>Ladrilho Hidráulico 5x5cm - Cor: azul escuro - Marca: Dalle Piagge</t>
        </is>
      </c>
      <c r="E2597" s="11">
        <f t="array" ref="E2597">_xlfn.XLOOKUP(D2597,Insumos!B:B,Insumos!C:$C)</f>
        <v/>
      </c>
      <c r="F2597" s="14">
        <f>1.1/2</f>
        <v/>
      </c>
      <c r="G2597" s="92">
        <f t="array" ref="G2597">IF(B2597="insumo",_xlfn.XLOOKUP($D2597,Insumos!$B$1:$B$996,Insumos!$D$1:$D$996),"")</f>
        <v/>
      </c>
      <c r="H2597" s="92" t="n">
        <v>429</v>
      </c>
      <c r="I2597" s="2162" t="e">
        <v>#REF!</v>
      </c>
      <c r="J2597" s="2162" t="e">
        <v>#REF!</v>
      </c>
      <c r="K2597" s="2162" t="n"/>
    </row>
    <row r="2598" outlineLevel="3" ht="15.75" customHeight="1">
      <c r="A2598" s="10" t="n">
        <v>191</v>
      </c>
      <c r="B2598" s="10" t="inlineStr">
        <is>
          <t>Insumo</t>
        </is>
      </c>
      <c r="C2598" s="10" t="inlineStr">
        <is>
          <t>Revestimento em Ladrilho Hidráulico 5x5cm - Cor: terracota escuro e azul escuro - Marca: Dalle Piagge, com junta de 2 cm e rejunte acrilico cinza platina</t>
        </is>
      </c>
      <c r="D2598" s="10" t="inlineStr">
        <is>
          <t>Argamassa ACIII</t>
        </is>
      </c>
      <c r="E2598" s="11">
        <f t="array" ref="E2598">_xlfn.XLOOKUP(D2598,Insumos!B:B,Insumos!C:$C)</f>
        <v/>
      </c>
      <c r="F2598" s="14" t="n">
        <v>4.95</v>
      </c>
      <c r="G2598" s="92">
        <f t="array" ref="G2598">IF(B2598="insumo",_xlfn.XLOOKUP($D2598,Insumos!$B$1:$B$996,Insumos!$D$1:$D$996),"")</f>
        <v/>
      </c>
      <c r="H2598" s="92" t="n">
        <v>5.269275</v>
      </c>
      <c r="I2598" s="2162" t="e">
        <v>#REF!</v>
      </c>
      <c r="J2598" s="2162" t="e">
        <v>#REF!</v>
      </c>
      <c r="K2598" s="2162" t="n"/>
    </row>
    <row r="2599" outlineLevel="3" ht="15.75" customHeight="1">
      <c r="A2599" s="10" t="n">
        <v>142</v>
      </c>
      <c r="B2599" s="10" t="inlineStr">
        <is>
          <t>Insumo</t>
        </is>
      </c>
      <c r="C2599" s="10" t="inlineStr">
        <is>
          <t>Revestimento em Ladrilho Hidráulico 5x5cm - Cor: terracota escuro e azul escuro - Marca: Dalle Piagge, com junta de 2 cm e rejunte acrilico cinza platina</t>
        </is>
      </c>
      <c r="D2599" s="10" t="inlineStr">
        <is>
          <t>Espeçador junta piso 2mm</t>
        </is>
      </c>
      <c r="E2599" s="11">
        <f t="array" ref="E2599">_xlfn.XLOOKUP(D2599,Insumos!B:B,Insumos!C:$C)</f>
        <v/>
      </c>
      <c r="F2599" s="14" t="n">
        <v>4</v>
      </c>
      <c r="G2599" s="92">
        <f t="array" ref="G2599">IF(B2599="insumo",_xlfn.XLOOKUP($D2599,Insumos!$B$1:$B$996,Insumos!$D$1:$D$996),"")</f>
        <v/>
      </c>
      <c r="H2599" s="92" t="n">
        <v>0.32</v>
      </c>
      <c r="I2599" s="2162" t="e">
        <v>#REF!</v>
      </c>
      <c r="J2599" s="2162" t="e">
        <v>#REF!</v>
      </c>
      <c r="K2599" s="2162" t="n"/>
    </row>
    <row r="2600" outlineLevel="3" ht="15.75" customHeight="1">
      <c r="A2600" s="10" t="n">
        <v>36</v>
      </c>
      <c r="B2600" s="10" t="inlineStr">
        <is>
          <t>Insumo</t>
        </is>
      </c>
      <c r="C2600" s="82" t="inlineStr">
        <is>
          <t>Revestimento em Ladrilho Hidráulico 5x5cm - Cor: terracota escuro e azul escuro - Marca: Dalle Piagge, com junta de 2 cm e rejunte acrilico cinza platina</t>
        </is>
      </c>
      <c r="D2600" s="82" t="inlineStr">
        <is>
          <t>Rejunte Acrilico cinza platina</t>
        </is>
      </c>
      <c r="E2600" s="11">
        <f t="array" ref="E2600">_xlfn.XLOOKUP(D2600,Insumos!B:B,Insumos!C:$C)</f>
        <v/>
      </c>
      <c r="F2600" s="14" t="n">
        <v>0.05</v>
      </c>
      <c r="G2600" s="92">
        <f t="array" ref="G2600">IF(B2600="insumo",_xlfn.XLOOKUP($D2600,Insumos!$B$1:$B$996,Insumos!$D$1:$D$996),"")</f>
        <v/>
      </c>
      <c r="H2600" s="92" t="n">
        <v>1.9</v>
      </c>
      <c r="I2600" s="2162" t="e">
        <v>#REF!</v>
      </c>
      <c r="J2600" s="2162" t="e">
        <v>#REF!</v>
      </c>
      <c r="K2600" s="2162" t="n"/>
    </row>
    <row r="2601" outlineLevel="2" ht="15.75" customHeight="1">
      <c r="A2601" s="1067" t="n">
        <v>1</v>
      </c>
      <c r="B2601" s="1067" t="inlineStr">
        <is>
          <t>Serviço</t>
        </is>
      </c>
      <c r="C2601" s="1067" t="inlineStr">
        <is>
          <t>Revestimento em Ladrilho Hidráulico 5x5cm - Cor: terracota escuro e azul escuro - Marca: Ladrilar, com junta de 2 cm e rejunte acrilico cinza platina</t>
        </is>
      </c>
      <c r="D2601" s="1067" t="inlineStr">
        <is>
          <t>Revestimento em Ladrilho Hidráulico 5x5cm - Cor: terracota escuro e azul escuro - Marca: Ladrilar, com junta de 2 cm e rejunte acrilico cinza platina</t>
        </is>
      </c>
      <c r="E2601" s="1068" t="inlineStr">
        <is>
          <t>M2</t>
        </is>
      </c>
      <c r="F2601" s="1067" t="n"/>
      <c r="G2601" s="1069">
        <f t="array" ref="G2601">IF(B2601="insumo",_xlfn.XLOOKUP($D2601,Insumos!$B$1:$B$996,Insumos!$D$1:$D$996),"")</f>
        <v/>
      </c>
      <c r="H2601" s="1069" t="n">
        <v>546.489275</v>
      </c>
      <c r="I2601" s="2161" t="e">
        <v>#REF!</v>
      </c>
      <c r="J2601" s="2161" t="e">
        <v>#REF!</v>
      </c>
      <c r="K2601" s="2161" t="n"/>
    </row>
    <row r="2602" outlineLevel="3" ht="15.75" customHeight="1">
      <c r="A2602" s="10" t="n">
        <v>2</v>
      </c>
      <c r="B2602" s="10" t="inlineStr">
        <is>
          <t>Insumo</t>
        </is>
      </c>
      <c r="C2602" s="10" t="inlineStr">
        <is>
          <t>Revestimento em Ladrilho Hidráulico 5x5cm - Cor: terracota escuro e azul escuro - Marca: Ladrilar, com junta de 2 cm e rejunte acrilico cinza platina</t>
        </is>
      </c>
      <c r="D2602" s="10" t="inlineStr">
        <is>
          <t>Ladrilho Hidráulico 5x5cm - Cor: terracota escuro - Marca: Ladrilar</t>
        </is>
      </c>
      <c r="E2602" s="11">
        <f t="array" ref="E2602">_xlfn.XLOOKUP(D2602,Insumos!B:B,Insumos!C:$C)</f>
        <v/>
      </c>
      <c r="F2602" s="14">
        <f>1.1/2</f>
        <v/>
      </c>
      <c r="G2602" s="92">
        <f t="array" ref="G2602">IF(B2602="insumo",_xlfn.XLOOKUP($D2602,Insumos!$B$1:$B$996,Insumos!$D$1:$D$996),"")</f>
        <v/>
      </c>
      <c r="H2602" s="92" t="n">
        <v>269.5</v>
      </c>
      <c r="I2602" s="2162" t="e">
        <v>#REF!</v>
      </c>
      <c r="J2602" s="2162" t="e">
        <v>#REF!</v>
      </c>
      <c r="K2602" s="2162" t="n"/>
    </row>
    <row r="2603" outlineLevel="3" ht="15.75" customHeight="1">
      <c r="A2603" s="10" t="n">
        <v>1</v>
      </c>
      <c r="B2603" s="10" t="inlineStr">
        <is>
          <t>Insumo</t>
        </is>
      </c>
      <c r="C2603" s="10" t="inlineStr">
        <is>
          <t>Revestimento em Ladrilho Hidráulico 5x5cm - Cor: terracota escuro e azul escuro - Marca: Ladrilar, com junta de 2 cm e rejunte acrilico cinza platina</t>
        </is>
      </c>
      <c r="D2603" s="10" t="inlineStr">
        <is>
          <t>Ladrilho Hidráulico 5x5cm - Cor: azul escuro - Marca: Ladrilar</t>
        </is>
      </c>
      <c r="E2603" s="11">
        <f t="array" ref="E2603">_xlfn.XLOOKUP(D2603,Insumos!B:B,Insumos!C:$C)</f>
        <v/>
      </c>
      <c r="F2603" s="14">
        <f>1.1/2</f>
        <v/>
      </c>
      <c r="G2603" s="92">
        <f t="array" ref="G2603">IF(B2603="insumo",_xlfn.XLOOKUP($D2603,Insumos!$B$1:$B$996,Insumos!$D$1:$D$996),"")</f>
        <v/>
      </c>
      <c r="H2603" s="92" t="n">
        <v>269.5</v>
      </c>
      <c r="I2603" s="2162" t="e">
        <v>#REF!</v>
      </c>
      <c r="J2603" s="2162" t="e">
        <v>#REF!</v>
      </c>
      <c r="K2603" s="2162" t="n"/>
    </row>
    <row r="2604" outlineLevel="3" ht="15.75" customHeight="1">
      <c r="A2604" s="10" t="n">
        <v>191</v>
      </c>
      <c r="B2604" s="10" t="inlineStr">
        <is>
          <t>Insumo</t>
        </is>
      </c>
      <c r="C2604" s="10" t="inlineStr">
        <is>
          <t>Revestimento em Ladrilho Hidráulico 5x5cm - Cor: terracota escuro e azul escuro - Marca: Ladrilar, com junta de 2 cm e rejunte acrilico cinza platina</t>
        </is>
      </c>
      <c r="D2604" s="10" t="inlineStr">
        <is>
          <t>Argamassa ACIII</t>
        </is>
      </c>
      <c r="E2604" s="11">
        <f t="array" ref="E2604">_xlfn.XLOOKUP(D2604,Insumos!B:B,Insumos!C:$C)</f>
        <v/>
      </c>
      <c r="F2604" s="14" t="n">
        <v>4.95</v>
      </c>
      <c r="G2604" s="92">
        <f t="array" ref="G2604">IF(B2604="insumo",_xlfn.XLOOKUP($D2604,Insumos!$B$1:$B$996,Insumos!$D$1:$D$996),"")</f>
        <v/>
      </c>
      <c r="H2604" s="92" t="n">
        <v>5.269275</v>
      </c>
      <c r="I2604" s="2162" t="e">
        <v>#REF!</v>
      </c>
      <c r="J2604" s="2162" t="e">
        <v>#REF!</v>
      </c>
      <c r="K2604" s="2162" t="n"/>
    </row>
    <row r="2605" outlineLevel="3" ht="15.75" customHeight="1">
      <c r="A2605" s="10" t="n">
        <v>142</v>
      </c>
      <c r="B2605" s="10" t="inlineStr">
        <is>
          <t>Insumo</t>
        </is>
      </c>
      <c r="C2605" s="10" t="inlineStr">
        <is>
          <t>Revestimento em Ladrilho Hidráulico 5x5cm - Cor: terracota escuro e azul escuro - Marca: Ladrilar, com junta de 2 cm e rejunte acrilico cinza platina</t>
        </is>
      </c>
      <c r="D2605" s="10" t="inlineStr">
        <is>
          <t>Espeçador junta piso 2mm</t>
        </is>
      </c>
      <c r="E2605" s="11">
        <f t="array" ref="E2605">_xlfn.XLOOKUP(D2605,Insumos!B:B,Insumos!C:$C)</f>
        <v/>
      </c>
      <c r="F2605" s="14" t="n">
        <v>4</v>
      </c>
      <c r="G2605" s="92">
        <f t="array" ref="G2605">IF(B2605="insumo",_xlfn.XLOOKUP($D2605,Insumos!$B$1:$B$996,Insumos!$D$1:$D$996),"")</f>
        <v/>
      </c>
      <c r="H2605" s="92" t="n">
        <v>0.32</v>
      </c>
      <c r="I2605" s="2162" t="e">
        <v>#REF!</v>
      </c>
      <c r="J2605" s="2162" t="e">
        <v>#REF!</v>
      </c>
      <c r="K2605" s="2162" t="n"/>
    </row>
    <row r="2606" outlineLevel="3" ht="15.75" customHeight="1">
      <c r="A2606" s="10" t="n">
        <v>36</v>
      </c>
      <c r="B2606" s="10" t="inlineStr">
        <is>
          <t>Insumo</t>
        </is>
      </c>
      <c r="C2606" s="82" t="inlineStr">
        <is>
          <t>Revestimento em Ladrilho Hidráulico 5x5cm - Cor: terracota escuro e azul escuro - Marca: Ladrilar, com junta de 2 cm e rejunte acrilico cinza platina</t>
        </is>
      </c>
      <c r="D2606" s="82" t="inlineStr">
        <is>
          <t>Rejunte Acrilico cinza platina</t>
        </is>
      </c>
      <c r="E2606" s="11">
        <f t="array" ref="E2606">_xlfn.XLOOKUP(D2606,Insumos!B:B,Insumos!C:$C)</f>
        <v/>
      </c>
      <c r="F2606" s="14" t="n">
        <v>0.05</v>
      </c>
      <c r="G2606" s="92">
        <f t="array" ref="G2606">IF(B2606="insumo",_xlfn.XLOOKUP($D2606,Insumos!$B$1:$B$996,Insumos!$D$1:$D$996),"")</f>
        <v/>
      </c>
      <c r="H2606" s="92" t="n">
        <v>1.9</v>
      </c>
      <c r="I2606" s="2162" t="e">
        <v>#REF!</v>
      </c>
      <c r="J2606" s="2162" t="e">
        <v>#REF!</v>
      </c>
      <c r="K2606" s="2162" t="n"/>
    </row>
    <row r="2607" outlineLevel="2" ht="12.75" customHeight="1">
      <c r="A2607" s="1071" t="n">
        <v>1</v>
      </c>
      <c r="B2607" s="1071" t="inlineStr">
        <is>
          <t>Serviço</t>
        </is>
      </c>
      <c r="C2607" s="1071" t="inlineStr">
        <is>
          <t>Revestimento em Ladrilhos para Piscina, Cinza giz 15x15 com Juntas e rejunte acrilico</t>
        </is>
      </c>
      <c r="D2607" s="1071" t="inlineStr">
        <is>
          <t>Revestimento em Ladrilhos para Piscina, Cinza giz 15x15 com Juntas e rejunte acrilico</t>
        </is>
      </c>
      <c r="E2607" s="1072" t="inlineStr">
        <is>
          <t>M2</t>
        </is>
      </c>
      <c r="F2607" s="1071" t="n"/>
      <c r="G2607" s="1073">
        <f t="array" ref="G2607">IF(B2607="insumo",_xlfn.XLOOKUP($D2607,Insumos!$B$1:$B$996,Insumos!$D$1:$D$996),"")</f>
        <v/>
      </c>
      <c r="H2607" s="1073" t="n">
        <v>165.882275</v>
      </c>
      <c r="I2607" s="2163" t="n">
        <v>0</v>
      </c>
      <c r="J2607" s="2163" t="n">
        <v>0</v>
      </c>
      <c r="K2607" s="2163" t="n"/>
    </row>
    <row r="2608" outlineLevel="3" ht="12.75" customHeight="1">
      <c r="A2608" s="82" t="n">
        <v>1</v>
      </c>
      <c r="B2608" s="82" t="inlineStr">
        <is>
          <t>Insumo</t>
        </is>
      </c>
      <c r="C2608" s="82" t="inlineStr">
        <is>
          <t>Revestimento em Ladrilhos para Piscina, Cinza giz 15x15 com Juntas e rejunte acrilico</t>
        </is>
      </c>
      <c r="D2608" s="82" t="inlineStr">
        <is>
          <t>Revestimento para Piscina Esmaltado Giz Borda Arredondada Bold Cinza 15x15cm Gabriella</t>
        </is>
      </c>
      <c r="E2608" s="11">
        <f t="array" ref="E2608">_xlfn.XLOOKUP(D2608,Insumos!B:B,Insumos!C:$C)</f>
        <v/>
      </c>
      <c r="F2608" s="2169" t="n">
        <v>1.1</v>
      </c>
      <c r="G2608" s="92">
        <f t="array" ref="G2608">IF(B2608="insumo",_xlfn.XLOOKUP($D2608,Insumos!$B$1:$B$996,Insumos!$D$1:$D$996),"")</f>
        <v/>
      </c>
      <c r="H2608" s="92" t="n">
        <v>158.103</v>
      </c>
      <c r="I2608" s="2165" t="n">
        <v>0</v>
      </c>
      <c r="J2608" s="2165" t="n">
        <v>0</v>
      </c>
      <c r="K2608" s="2165" t="n"/>
    </row>
    <row r="2609" outlineLevel="3" ht="12.75" customHeight="1">
      <c r="A2609" s="82" t="n">
        <v>191</v>
      </c>
      <c r="B2609" s="82" t="inlineStr">
        <is>
          <t>Insumo</t>
        </is>
      </c>
      <c r="C2609" s="82" t="inlineStr">
        <is>
          <t>Revestimento em Ladrilhos para Piscina, Cinza giz 15x15 com Juntas e rejunte acrilico</t>
        </is>
      </c>
      <c r="D2609" s="82" t="inlineStr">
        <is>
          <t>Argamassa ACIII</t>
        </is>
      </c>
      <c r="E2609" s="11">
        <f t="array" ref="E2609">_xlfn.XLOOKUP(D2609,Insumos!B:B,Insumos!C:$C)</f>
        <v/>
      </c>
      <c r="F2609" s="2169" t="n">
        <v>4.95</v>
      </c>
      <c r="G2609" s="92">
        <f t="array" ref="G2609">IF(B2609="insumo",_xlfn.XLOOKUP($D2609,Insumos!$B$1:$B$996,Insumos!$D$1:$D$996),"")</f>
        <v/>
      </c>
      <c r="H2609" s="92" t="n">
        <v>5.269275</v>
      </c>
      <c r="I2609" s="2165" t="n">
        <v>0</v>
      </c>
      <c r="J2609" s="2165" t="n">
        <v>0</v>
      </c>
      <c r="K2609" s="2165" t="n"/>
    </row>
    <row r="2610" outlineLevel="3" ht="12.75" customHeight="1">
      <c r="A2610" s="82" t="n">
        <v>142</v>
      </c>
      <c r="B2610" s="82" t="inlineStr">
        <is>
          <t>Insumo</t>
        </is>
      </c>
      <c r="C2610" s="82" t="inlineStr">
        <is>
          <t>Revestimento em Ladrilhos para Piscina, Cinza giz 15x15 com Juntas e rejunte acrilico</t>
        </is>
      </c>
      <c r="D2610" s="82" t="inlineStr">
        <is>
          <t>Espeçador junta piso 2mm</t>
        </is>
      </c>
      <c r="E2610" s="11">
        <f t="array" ref="E2610">_xlfn.XLOOKUP(D2610,Insumos!B:B,Insumos!C:$C)</f>
        <v/>
      </c>
      <c r="F2610" s="2169" t="n">
        <v>4</v>
      </c>
      <c r="G2610" s="92">
        <f t="array" ref="G2610">IF(B2610="insumo",_xlfn.XLOOKUP($D2610,Insumos!$B$1:$B$996,Insumos!$D$1:$D$996),"")</f>
        <v/>
      </c>
      <c r="H2610" s="92" t="n">
        <v>0.32</v>
      </c>
      <c r="I2610" s="2165" t="n">
        <v>0</v>
      </c>
      <c r="J2610" s="2165" t="n">
        <v>0</v>
      </c>
      <c r="K2610" s="2165" t="n"/>
    </row>
    <row r="2611" outlineLevel="3" ht="12.75" customHeight="1">
      <c r="A2611" s="82" t="n">
        <v>22</v>
      </c>
      <c r="B2611" s="82" t="inlineStr">
        <is>
          <t>Insumo</t>
        </is>
      </c>
      <c r="C2611" s="82" t="inlineStr">
        <is>
          <t>Revestimento em Ladrilhos para Piscina, Cinza giz 15x15 com Juntas e rejunte acrilico</t>
        </is>
      </c>
      <c r="D2611" s="82" t="inlineStr">
        <is>
          <t>Rejunte acrilico</t>
        </is>
      </c>
      <c r="E2611" s="11">
        <f t="array" ref="E2611">_xlfn.XLOOKUP(D2611,Insumos!B:B,Insumos!C:$C)</f>
        <v/>
      </c>
      <c r="F2611" s="2169" t="n">
        <v>0.05</v>
      </c>
      <c r="G2611" s="92">
        <f t="array" ref="G2611">IF(B2611="insumo",_xlfn.XLOOKUP($D2611,Insumos!$B$1:$B$996,Insumos!$D$1:$D$996),"")</f>
        <v/>
      </c>
      <c r="H2611" s="92" t="n">
        <v>2.19</v>
      </c>
      <c r="I2611" s="2165" t="n">
        <v>0</v>
      </c>
      <c r="J2611" s="2165" t="n">
        <v>0</v>
      </c>
      <c r="K2611" s="2165" t="n"/>
    </row>
    <row r="2612" outlineLevel="2" ht="15.75" customHeight="1">
      <c r="A2612" s="1067" t="n">
        <v>1</v>
      </c>
      <c r="B2612" s="1067" t="inlineStr">
        <is>
          <t>Serviço</t>
        </is>
      </c>
      <c r="C2612" s="1067" t="inlineStr">
        <is>
          <t>Revestimento em Ladrilhos para Piscina, Branco Mate 15x15 com Juntas</t>
        </is>
      </c>
      <c r="D2612" s="1067" t="inlineStr">
        <is>
          <t>Revestimento em Ladrilhos para Piscina, Branco Mate 15x15 com Juntas</t>
        </is>
      </c>
      <c r="E2612" s="1068" t="inlineStr">
        <is>
          <t>M2</t>
        </is>
      </c>
      <c r="F2612" s="1067" t="n"/>
      <c r="G2612" s="1069">
        <f t="array" ref="G2612">IF(B2612="insumo",_xlfn.XLOOKUP($D2612,Insumos!$B$1:$B$996,Insumos!$D$1:$D$996),"")</f>
        <v/>
      </c>
      <c r="H2612" s="1069" t="n">
        <v>282.642775</v>
      </c>
      <c r="I2612" s="2161" t="n">
        <v>0</v>
      </c>
      <c r="J2612" s="2161" t="n">
        <v>0</v>
      </c>
      <c r="K2612" s="2161" t="n"/>
    </row>
    <row r="2613" outlineLevel="3" ht="15.75" customHeight="1">
      <c r="A2613" s="10" t="n">
        <v>1</v>
      </c>
      <c r="B2613" s="10" t="inlineStr">
        <is>
          <t>Insumo</t>
        </is>
      </c>
      <c r="C2613" s="10" t="inlineStr">
        <is>
          <t>Revestimento em Ladrilhos para Piscina, Branco Mate 15x15 com Juntas</t>
        </is>
      </c>
      <c r="D2613" s="10" t="inlineStr">
        <is>
          <t>PASTILHA DE PORCELANA ATLAS 15x15 GRANEL ISLA M16112</t>
        </is>
      </c>
      <c r="E2613" s="11">
        <f t="array" ref="E2613">_xlfn.XLOOKUP(D2613,Insumos!B:B,Insumos!C:$C)</f>
        <v/>
      </c>
      <c r="F2613" s="14" t="n">
        <v>1.1</v>
      </c>
      <c r="G2613" s="92">
        <f t="array" ref="G2613">IF(B2613="insumo",_xlfn.XLOOKUP($D2613,Insumos!$B$1:$B$996,Insumos!$D$1:$D$996),"")</f>
        <v/>
      </c>
      <c r="H2613" s="92" t="n">
        <v>276.496</v>
      </c>
      <c r="I2613" s="2162" t="n">
        <v>0</v>
      </c>
      <c r="J2613" s="2162" t="n">
        <v>0</v>
      </c>
      <c r="K2613" s="2162" t="n"/>
    </row>
    <row r="2614" outlineLevel="3" ht="15.75" customHeight="1">
      <c r="A2614" s="10" t="n">
        <v>191</v>
      </c>
      <c r="B2614" s="10" t="inlineStr">
        <is>
          <t>Insumo</t>
        </is>
      </c>
      <c r="C2614" s="10" t="inlineStr">
        <is>
          <t>Revestimento em Ladrilhos para Piscina, Branco Mate 15x15 com Juntas</t>
        </is>
      </c>
      <c r="D2614" s="10" t="inlineStr">
        <is>
          <t>Argamassa ACIII</t>
        </is>
      </c>
      <c r="E2614" s="11">
        <f t="array" ref="E2614">_xlfn.XLOOKUP(D2614,Insumos!B:B,Insumos!C:$C)</f>
        <v/>
      </c>
      <c r="F2614" s="14" t="n">
        <v>4.95</v>
      </c>
      <c r="G2614" s="92">
        <f t="array" ref="G2614">IF(B2614="insumo",_xlfn.XLOOKUP($D2614,Insumos!$B$1:$B$996,Insumos!$D$1:$D$996),"")</f>
        <v/>
      </c>
      <c r="H2614" s="92" t="n">
        <v>5.269275</v>
      </c>
      <c r="I2614" s="2162" t="n">
        <v>0</v>
      </c>
      <c r="J2614" s="2162" t="n">
        <v>0</v>
      </c>
      <c r="K2614" s="2162" t="n"/>
    </row>
    <row r="2615" outlineLevel="3" ht="15.75" customHeight="1">
      <c r="A2615" s="10" t="n">
        <v>142</v>
      </c>
      <c r="B2615" s="10" t="inlineStr">
        <is>
          <t>Insumo</t>
        </is>
      </c>
      <c r="C2615" s="10" t="inlineStr">
        <is>
          <t>Revestimento em Ladrilhos para Piscina, Branco Mate 15x15 com Juntas</t>
        </is>
      </c>
      <c r="D2615" s="10" t="inlineStr">
        <is>
          <t>Espeçador junta piso 2mm</t>
        </is>
      </c>
      <c r="E2615" s="11">
        <f t="array" ref="E2615">_xlfn.XLOOKUP(D2615,Insumos!B:B,Insumos!C:$C)</f>
        <v/>
      </c>
      <c r="F2615" s="14" t="n">
        <v>4</v>
      </c>
      <c r="G2615" s="92">
        <f t="array" ref="G2615">IF(B2615="insumo",_xlfn.XLOOKUP($D2615,Insumos!$B$1:$B$996,Insumos!$D$1:$D$996),"")</f>
        <v/>
      </c>
      <c r="H2615" s="92" t="n">
        <v>0.32</v>
      </c>
      <c r="I2615" s="2162" t="n">
        <v>0</v>
      </c>
      <c r="J2615" s="2162" t="n">
        <v>0</v>
      </c>
      <c r="K2615" s="2162" t="n"/>
    </row>
    <row r="2616" outlineLevel="3" ht="15.75" customHeight="1">
      <c r="A2616" s="10" t="n">
        <v>101</v>
      </c>
      <c r="B2616" s="10" t="inlineStr">
        <is>
          <t>Insumo</t>
        </is>
      </c>
      <c r="C2616" s="10" t="inlineStr">
        <is>
          <t>Revestimento em Ladrilhos para Piscina, Branco Mate 15x15 com Juntas</t>
        </is>
      </c>
      <c r="D2616" s="10" t="inlineStr">
        <is>
          <t>Rejunte Cimentício</t>
        </is>
      </c>
      <c r="E2616" s="11">
        <f t="array" ref="E2616">_xlfn.XLOOKUP(D2616,Insumos!B:B,Insumos!C:$C)</f>
        <v/>
      </c>
      <c r="F2616" s="14" t="n">
        <v>0.05</v>
      </c>
      <c r="G2616" s="92">
        <f t="array" ref="G2616">IF(B2616="insumo",_xlfn.XLOOKUP($D2616,Insumos!$B$1:$B$996,Insumos!$D$1:$D$996),"")</f>
        <v/>
      </c>
      <c r="H2616" s="92" t="n">
        <v>0.5575</v>
      </c>
      <c r="I2616" s="2162" t="n">
        <v>0</v>
      </c>
      <c r="J2616" s="2162" t="n">
        <v>0</v>
      </c>
      <c r="K2616" s="2162" t="n"/>
    </row>
    <row r="2617" outlineLevel="2" ht="15.75" customHeight="1">
      <c r="A2617" s="1067" t="n">
        <v>1</v>
      </c>
      <c r="B2617" s="1067" t="inlineStr">
        <is>
          <t>Serviço</t>
        </is>
      </c>
      <c r="C2617" s="1067" t="inlineStr">
        <is>
          <t xml:space="preserve">Revestimento em Pastilhas Cerâmicas Para Piscinas , 14,5 x 14,5cm com Junta de 3mm </t>
        </is>
      </c>
      <c r="D2617" s="1067" t="inlineStr">
        <is>
          <t xml:space="preserve">Revestimento em Pastilhas Cerâmicas Para Piscinas , 14,5 x 14,5cm com Junta de 3mm </t>
        </is>
      </c>
      <c r="E2617" s="1068" t="inlineStr">
        <is>
          <t>M2</t>
        </is>
      </c>
      <c r="F2617" s="1067" t="n"/>
      <c r="G2617" s="1069">
        <f t="array" ref="G2617">IF(B2617="insumo",_xlfn.XLOOKUP($D2617,Insumos!$B$1:$B$996,Insumos!$D$1:$D$996),"")</f>
        <v/>
      </c>
      <c r="H2617" s="1069" t="n">
        <v>146.836775</v>
      </c>
      <c r="I2617" s="2161" t="n">
        <v>0</v>
      </c>
      <c r="J2617" s="2161" t="n">
        <v>0</v>
      </c>
      <c r="K2617" s="2161" t="n"/>
    </row>
    <row r="2618" outlineLevel="3" ht="15.75" customHeight="1">
      <c r="A2618" s="10" t="n">
        <v>3</v>
      </c>
      <c r="B2618" s="10" t="inlineStr">
        <is>
          <t>Insumo</t>
        </is>
      </c>
      <c r="C2618" s="10" t="inlineStr">
        <is>
          <t xml:space="preserve">Revestimento em Pastilhas Cerâmicas Para Piscinas , 14,5 x 14,5cm com Junta de 3mm </t>
        </is>
      </c>
      <c r="D2618" s="10" t="inlineStr">
        <is>
          <t>Revestimento Pastilha 14,5x14,5cm</t>
        </is>
      </c>
      <c r="E2618" s="11">
        <f t="array" ref="E2618">_xlfn.XLOOKUP(D2618,Insumos!B:B,Insumos!C:$C)</f>
        <v/>
      </c>
      <c r="F2618" s="14" t="n">
        <v>1.1</v>
      </c>
      <c r="G2618" s="92">
        <f t="array" ref="G2618">IF(B2618="insumo",_xlfn.XLOOKUP($D2618,Insumos!$B$1:$B$996,Insumos!$D$1:$D$996),"")</f>
        <v/>
      </c>
      <c r="H2618" s="92" t="n">
        <v>140.69</v>
      </c>
      <c r="I2618" s="2162" t="n">
        <v>0</v>
      </c>
      <c r="J2618" s="2162" t="n">
        <v>0</v>
      </c>
      <c r="K2618" s="2162" t="n"/>
    </row>
    <row r="2619" outlineLevel="3" ht="15.75" customHeight="1">
      <c r="A2619" s="10" t="n">
        <v>191</v>
      </c>
      <c r="B2619" s="10" t="inlineStr">
        <is>
          <t>Insumo</t>
        </is>
      </c>
      <c r="C2619" s="10" t="inlineStr">
        <is>
          <t xml:space="preserve">Revestimento em Pastilhas Cerâmicas Para Piscinas , 14,5 x 14,5cm com Junta de 3mm </t>
        </is>
      </c>
      <c r="D2619" s="10" t="inlineStr">
        <is>
          <t>Argamassa ACIII</t>
        </is>
      </c>
      <c r="E2619" s="11">
        <f t="array" ref="E2619">_xlfn.XLOOKUP(D2619,Insumos!B:B,Insumos!C:$C)</f>
        <v/>
      </c>
      <c r="F2619" s="14" t="n">
        <v>4.95</v>
      </c>
      <c r="G2619" s="92">
        <f t="array" ref="G2619">IF(B2619="insumo",_xlfn.XLOOKUP($D2619,Insumos!$B$1:$B$996,Insumos!$D$1:$D$996),"")</f>
        <v/>
      </c>
      <c r="H2619" s="92" t="n">
        <v>5.269275</v>
      </c>
      <c r="I2619" s="2162" t="n">
        <v>0</v>
      </c>
      <c r="J2619" s="2162" t="n">
        <v>0</v>
      </c>
      <c r="K2619" s="2162" t="n"/>
    </row>
    <row r="2620" outlineLevel="3" ht="15.75" customHeight="1">
      <c r="A2620" s="10" t="n">
        <v>142</v>
      </c>
      <c r="B2620" s="10" t="inlineStr">
        <is>
          <t>Insumo</t>
        </is>
      </c>
      <c r="C2620" s="10" t="inlineStr">
        <is>
          <t xml:space="preserve">Revestimento em Pastilhas Cerâmicas Para Piscinas , 14,5 x 14,5cm com Junta de 3mm </t>
        </is>
      </c>
      <c r="D2620" s="10" t="inlineStr">
        <is>
          <t>Espeçador junta piso 2mm</t>
        </is>
      </c>
      <c r="E2620" s="11">
        <f t="array" ref="E2620">_xlfn.XLOOKUP(D2620,Insumos!B:B,Insumos!C:$C)</f>
        <v/>
      </c>
      <c r="F2620" s="14" t="n">
        <v>4</v>
      </c>
      <c r="G2620" s="92">
        <f t="array" ref="G2620">IF(B2620="insumo",_xlfn.XLOOKUP($D2620,Insumos!$B$1:$B$996,Insumos!$D$1:$D$996),"")</f>
        <v/>
      </c>
      <c r="H2620" s="92" t="n">
        <v>0.32</v>
      </c>
      <c r="I2620" s="2162" t="n">
        <v>0</v>
      </c>
      <c r="J2620" s="2162" t="n">
        <v>0</v>
      </c>
      <c r="K2620" s="2162" t="n"/>
    </row>
    <row r="2621" outlineLevel="3" ht="15.75" customHeight="1">
      <c r="A2621" s="10" t="n">
        <v>101</v>
      </c>
      <c r="B2621" s="10" t="inlineStr">
        <is>
          <t>Insumo</t>
        </is>
      </c>
      <c r="C2621" s="10" t="inlineStr">
        <is>
          <t xml:space="preserve">Revestimento em Pastilhas Cerâmicas Para Piscinas , 14,5 x 14,5cm com Junta de 3mm </t>
        </is>
      </c>
      <c r="D2621" s="10" t="inlineStr">
        <is>
          <t>Rejunte Cimentício</t>
        </is>
      </c>
      <c r="E2621" s="11">
        <f t="array" ref="E2621">_xlfn.XLOOKUP(D2621,Insumos!B:B,Insumos!C:$C)</f>
        <v/>
      </c>
      <c r="F2621" s="14" t="n">
        <v>0.05</v>
      </c>
      <c r="G2621" s="92">
        <f t="array" ref="G2621">IF(B2621="insumo",_xlfn.XLOOKUP($D2621,Insumos!$B$1:$B$996,Insumos!$D$1:$D$996),"")</f>
        <v/>
      </c>
      <c r="H2621" s="92" t="n">
        <v>0.5575</v>
      </c>
      <c r="I2621" s="2162" t="n">
        <v>0</v>
      </c>
      <c r="J2621" s="2162" t="n">
        <v>0</v>
      </c>
      <c r="K2621" s="2162" t="n"/>
    </row>
    <row r="2622" outlineLevel="2" ht="15.75" customHeight="1">
      <c r="A2622" s="1067" t="n">
        <v>1</v>
      </c>
      <c r="B2622" s="1067" t="inlineStr">
        <is>
          <t>Serviço</t>
        </is>
      </c>
      <c r="C2622" s="1067" t="inlineStr">
        <is>
          <t>Revestimento em Paredes,  Pastilha Bege 2,5X2,5Cm</t>
        </is>
      </c>
      <c r="D2622" s="1067" t="inlineStr">
        <is>
          <t>Revestimento em Paredes,  Pastilha Bege 2,5X2,5Cm</t>
        </is>
      </c>
      <c r="E2622" s="1068" t="inlineStr">
        <is>
          <t>M2</t>
        </is>
      </c>
      <c r="F2622" s="1067" t="n"/>
      <c r="G2622" s="1069">
        <f t="array" ref="G2622">IF(B2622="insumo",_xlfn.XLOOKUP($D2622,Insumos!$B$1:$B$996,Insumos!$D$1:$D$996),"")</f>
        <v/>
      </c>
      <c r="H2622" s="1069" t="n">
        <v>262.853775</v>
      </c>
      <c r="I2622" s="2161" t="n">
        <v>0</v>
      </c>
      <c r="J2622" s="2161" t="n">
        <v>0</v>
      </c>
      <c r="K2622" s="2161" t="n"/>
    </row>
    <row r="2623" outlineLevel="3" ht="15.75" customHeight="1">
      <c r="A2623" s="10" t="n">
        <v>3</v>
      </c>
      <c r="B2623" s="10" t="inlineStr">
        <is>
          <t>Insumo</t>
        </is>
      </c>
      <c r="C2623" s="10" t="inlineStr">
        <is>
          <t>Revestimento em Paredes,  Pastilha Bege 2,5X2,5Cm</t>
        </is>
      </c>
      <c r="D2623" s="10" t="inlineStr">
        <is>
          <t>Revestimento Pastilha 2,5x2,5cm</t>
        </is>
      </c>
      <c r="E2623" s="11">
        <f t="array" ref="E2623">_xlfn.XLOOKUP(D2623,Insumos!B:B,Insumos!C:$C)</f>
        <v/>
      </c>
      <c r="F2623" s="14" t="n">
        <v>1.1</v>
      </c>
      <c r="G2623" s="92">
        <f t="array" ref="G2623">IF(B2623="insumo",_xlfn.XLOOKUP($D2623,Insumos!$B$1:$B$996,Insumos!$D$1:$D$996),"")</f>
        <v/>
      </c>
      <c r="H2623" s="92" t="n">
        <v>256.707</v>
      </c>
      <c r="I2623" s="2162" t="n">
        <v>0</v>
      </c>
      <c r="J2623" s="2162" t="n">
        <v>0</v>
      </c>
      <c r="K2623" s="2162" t="n"/>
    </row>
    <row r="2624" outlineLevel="3" ht="15.75" customHeight="1">
      <c r="A2624" s="10" t="n">
        <v>191</v>
      </c>
      <c r="B2624" s="10" t="inlineStr">
        <is>
          <t>Insumo</t>
        </is>
      </c>
      <c r="C2624" s="10" t="inlineStr">
        <is>
          <t>Revestimento em Paredes,  Pastilha Bege 2,5X2,5Cm</t>
        </is>
      </c>
      <c r="D2624" s="10" t="inlineStr">
        <is>
          <t>Argamassa ACIII</t>
        </is>
      </c>
      <c r="E2624" s="11">
        <f t="array" ref="E2624">_xlfn.XLOOKUP(D2624,Insumos!B:B,Insumos!C:$C)</f>
        <v/>
      </c>
      <c r="F2624" s="14" t="n">
        <v>4.95</v>
      </c>
      <c r="G2624" s="92">
        <f t="array" ref="G2624">IF(B2624="insumo",_xlfn.XLOOKUP($D2624,Insumos!$B$1:$B$996,Insumos!$D$1:$D$996),"")</f>
        <v/>
      </c>
      <c r="H2624" s="92" t="n">
        <v>5.269275</v>
      </c>
      <c r="I2624" s="2162" t="n">
        <v>0</v>
      </c>
      <c r="J2624" s="2162" t="n">
        <v>0</v>
      </c>
      <c r="K2624" s="2162" t="n"/>
    </row>
    <row r="2625" outlineLevel="3" ht="15.75" customHeight="1">
      <c r="A2625" s="10" t="n">
        <v>142</v>
      </c>
      <c r="B2625" s="10" t="inlineStr">
        <is>
          <t>Insumo</t>
        </is>
      </c>
      <c r="C2625" s="10" t="inlineStr">
        <is>
          <t>Revestimento em Paredes,  Pastilha Bege 2,5X2,5Cm</t>
        </is>
      </c>
      <c r="D2625" s="10" t="inlineStr">
        <is>
          <t>Espeçador junta piso 2mm</t>
        </is>
      </c>
      <c r="E2625" s="11">
        <f t="array" ref="E2625">_xlfn.XLOOKUP(D2625,Insumos!B:B,Insumos!C:$C)</f>
        <v/>
      </c>
      <c r="F2625" s="14" t="n">
        <v>4</v>
      </c>
      <c r="G2625" s="92">
        <f t="array" ref="G2625">IF(B2625="insumo",_xlfn.XLOOKUP($D2625,Insumos!$B$1:$B$996,Insumos!$D$1:$D$996),"")</f>
        <v/>
      </c>
      <c r="H2625" s="92" t="n">
        <v>0.32</v>
      </c>
      <c r="I2625" s="2162" t="n">
        <v>0</v>
      </c>
      <c r="J2625" s="2162" t="n">
        <v>0</v>
      </c>
      <c r="K2625" s="2162" t="n"/>
    </row>
    <row r="2626" outlineLevel="3" ht="15.75" customHeight="1">
      <c r="A2626" s="10" t="n">
        <v>101</v>
      </c>
      <c r="B2626" s="10" t="inlineStr">
        <is>
          <t>Insumo</t>
        </is>
      </c>
      <c r="C2626" s="10" t="inlineStr">
        <is>
          <t>Revestimento em Paredes,  Pastilha Bege 2,5X2,5Cm</t>
        </is>
      </c>
      <c r="D2626" s="10" t="inlineStr">
        <is>
          <t>Rejunte Cimentício</t>
        </is>
      </c>
      <c r="E2626" s="11">
        <f t="array" ref="E2626">_xlfn.XLOOKUP(D2626,Insumos!B:B,Insumos!C:$C)</f>
        <v/>
      </c>
      <c r="F2626" s="14" t="n">
        <v>0.05</v>
      </c>
      <c r="G2626" s="92">
        <f t="array" ref="G2626">IF(B2626="insumo",_xlfn.XLOOKUP($D2626,Insumos!$B$1:$B$996,Insumos!$D$1:$D$996),"")</f>
        <v/>
      </c>
      <c r="H2626" s="92" t="n">
        <v>0.5575</v>
      </c>
      <c r="I2626" s="2162" t="n">
        <v>0</v>
      </c>
      <c r="J2626" s="2162" t="n">
        <v>0</v>
      </c>
      <c r="K2626" s="2162" t="n"/>
    </row>
    <row r="2627" outlineLevel="2" ht="15.75" customHeight="1">
      <c r="A2627" s="1067" t="n">
        <v>1</v>
      </c>
      <c r="B2627" s="1067" t="inlineStr">
        <is>
          <t>Serviço</t>
        </is>
      </c>
      <c r="C2627" s="1067" t="inlineStr">
        <is>
          <t>Revestimento em Paredes,  Pastilha 20X20 Cm</t>
        </is>
      </c>
      <c r="D2627" s="1067" t="inlineStr">
        <is>
          <t>Revestimento em Paredes,  Pastilha 20X20 Cm</t>
        </is>
      </c>
      <c r="E2627" s="1068" t="inlineStr">
        <is>
          <t>M2</t>
        </is>
      </c>
      <c r="F2627" s="1067" t="n"/>
      <c r="G2627" s="1069">
        <f t="array" ref="G2627">IF(B2627="insumo",_xlfn.XLOOKUP($D2627,Insumos!$B$1:$B$996,Insumos!$D$1:$D$996),"")</f>
        <v/>
      </c>
      <c r="H2627" s="1069" t="n">
        <v>186.172775</v>
      </c>
      <c r="I2627" s="2161" t="n">
        <v>0</v>
      </c>
      <c r="J2627" s="2161" t="n">
        <v>0</v>
      </c>
      <c r="K2627" s="2161" t="n"/>
    </row>
    <row r="2628" outlineLevel="3" ht="15.75" customHeight="1">
      <c r="A2628" s="10" t="n">
        <v>2</v>
      </c>
      <c r="B2628" s="10" t="inlineStr">
        <is>
          <t>Insumo</t>
        </is>
      </c>
      <c r="C2628" s="10" t="inlineStr">
        <is>
          <t>Revestimento em Paredes,  Pastilha 20X20 Cm</t>
        </is>
      </c>
      <c r="D2628" s="10" t="inlineStr">
        <is>
          <t>Revestimento Pastilha 20x20cm</t>
        </is>
      </c>
      <c r="E2628" s="11">
        <f t="array" ref="E2628">_xlfn.XLOOKUP(D2628,Insumos!B:B,Insumos!C:$C)</f>
        <v/>
      </c>
      <c r="F2628" s="14" t="n">
        <v>1.1</v>
      </c>
      <c r="G2628" s="92">
        <f t="array" ref="G2628">IF(B2628="insumo",_xlfn.XLOOKUP($D2628,Insumos!$B$1:$B$996,Insumos!$D$1:$D$996),"")</f>
        <v/>
      </c>
      <c r="H2628" s="92" t="n">
        <v>180.026</v>
      </c>
      <c r="I2628" s="2162" t="n">
        <v>0</v>
      </c>
      <c r="J2628" s="2162" t="n">
        <v>0</v>
      </c>
      <c r="K2628" s="2162" t="n"/>
    </row>
    <row r="2629" outlineLevel="3" ht="15.75" customHeight="1">
      <c r="A2629" s="10" t="n">
        <v>191</v>
      </c>
      <c r="B2629" s="10" t="inlineStr">
        <is>
          <t>Insumo</t>
        </is>
      </c>
      <c r="C2629" s="10" t="inlineStr">
        <is>
          <t>Revestimento em Paredes,  Pastilha 20X20 Cm</t>
        </is>
      </c>
      <c r="D2629" s="10" t="inlineStr">
        <is>
          <t>Argamassa ACIII</t>
        </is>
      </c>
      <c r="E2629" s="11">
        <f t="array" ref="E2629">_xlfn.XLOOKUP(D2629,Insumos!B:B,Insumos!C:$C)</f>
        <v/>
      </c>
      <c r="F2629" s="14" t="n">
        <v>4.95</v>
      </c>
      <c r="G2629" s="92">
        <f t="array" ref="G2629">IF(B2629="insumo",_xlfn.XLOOKUP($D2629,Insumos!$B$1:$B$996,Insumos!$D$1:$D$996),"")</f>
        <v/>
      </c>
      <c r="H2629" s="92" t="n">
        <v>5.269275</v>
      </c>
      <c r="I2629" s="2162" t="n">
        <v>0</v>
      </c>
      <c r="J2629" s="2162" t="n">
        <v>0</v>
      </c>
      <c r="K2629" s="2162" t="n"/>
    </row>
    <row r="2630" outlineLevel="3" ht="15.75" customHeight="1">
      <c r="A2630" s="10" t="n">
        <v>142</v>
      </c>
      <c r="B2630" s="10" t="inlineStr">
        <is>
          <t>Insumo</t>
        </is>
      </c>
      <c r="C2630" s="10" t="inlineStr">
        <is>
          <t>Revestimento em Paredes,  Pastilha 20X20 Cm</t>
        </is>
      </c>
      <c r="D2630" s="10" t="inlineStr">
        <is>
          <t>Espeçador junta piso 2mm</t>
        </is>
      </c>
      <c r="E2630" s="11">
        <f t="array" ref="E2630">_xlfn.XLOOKUP(D2630,Insumos!B:B,Insumos!C:$C)</f>
        <v/>
      </c>
      <c r="F2630" s="14" t="n">
        <v>4</v>
      </c>
      <c r="G2630" s="92">
        <f t="array" ref="G2630">IF(B2630="insumo",_xlfn.XLOOKUP($D2630,Insumos!$B$1:$B$996,Insumos!$D$1:$D$996),"")</f>
        <v/>
      </c>
      <c r="H2630" s="92" t="n">
        <v>0.32</v>
      </c>
      <c r="I2630" s="2162" t="n">
        <v>0</v>
      </c>
      <c r="J2630" s="2162" t="n">
        <v>0</v>
      </c>
      <c r="K2630" s="2162" t="n"/>
    </row>
    <row r="2631" outlineLevel="3" ht="15.75" customHeight="1">
      <c r="A2631" s="10" t="n">
        <v>101</v>
      </c>
      <c r="B2631" s="10" t="inlineStr">
        <is>
          <t>Insumo</t>
        </is>
      </c>
      <c r="C2631" s="10" t="inlineStr">
        <is>
          <t>Revestimento em Paredes,  Pastilha 20X20 Cm</t>
        </is>
      </c>
      <c r="D2631" s="10" t="inlineStr">
        <is>
          <t>Rejunte Cimentício</t>
        </is>
      </c>
      <c r="E2631" s="11">
        <f t="array" ref="E2631">_xlfn.XLOOKUP(D2631,Insumos!B:B,Insumos!C:$C)</f>
        <v/>
      </c>
      <c r="F2631" s="14" t="n">
        <v>0.05</v>
      </c>
      <c r="G2631" s="92">
        <f t="array" ref="G2631">IF(B2631="insumo",_xlfn.XLOOKUP($D2631,Insumos!$B$1:$B$996,Insumos!$D$1:$D$996),"")</f>
        <v/>
      </c>
      <c r="H2631" s="92" t="n">
        <v>0.5575</v>
      </c>
      <c r="I2631" s="2162" t="n">
        <v>0</v>
      </c>
      <c r="J2631" s="2162" t="n">
        <v>0</v>
      </c>
      <c r="K2631" s="2162" t="n"/>
    </row>
    <row r="2632" outlineLevel="2" ht="15.75" customHeight="1">
      <c r="A2632" s="1067" t="n">
        <v>1</v>
      </c>
      <c r="B2632" s="1067" t="inlineStr">
        <is>
          <t>Serviço</t>
        </is>
      </c>
      <c r="C2632" s="1067" t="inlineStr">
        <is>
          <t>Revestimento em Paredes,  Pastilha Bege 5X5Cm (Sobra Depósito)</t>
        </is>
      </c>
      <c r="D2632" s="1067" t="inlineStr">
        <is>
          <t>Revestimento em Paredes,  Pastilha Bege 5X5Cm (Sobra Depósito)</t>
        </is>
      </c>
      <c r="E2632" s="1068" t="inlineStr">
        <is>
          <t>M2</t>
        </is>
      </c>
      <c r="F2632" s="1067" t="n"/>
      <c r="G2632" s="1069">
        <f t="array" ref="G2632">IF(B2632="insumo",_xlfn.XLOOKUP($D2632,Insumos!$B$1:$B$996,Insumos!$D$1:$D$996),"")</f>
        <v/>
      </c>
      <c r="H2632" s="1069" t="n">
        <v>167.230775</v>
      </c>
      <c r="I2632" s="2161" t="n">
        <v>0</v>
      </c>
      <c r="J2632" s="2161" t="n">
        <v>0</v>
      </c>
      <c r="K2632" s="2161" t="n"/>
    </row>
    <row r="2633" outlineLevel="3" ht="15.75" customHeight="1">
      <c r="A2633" s="10" t="n">
        <v>1</v>
      </c>
      <c r="B2633" s="10" t="inlineStr">
        <is>
          <t>Insumo</t>
        </is>
      </c>
      <c r="C2633" s="10" t="inlineStr">
        <is>
          <t>Revestimento em Paredes,  Pastilha Bege 5X5Cm (Sobra Depósito)</t>
        </is>
      </c>
      <c r="D2633" s="10" t="inlineStr">
        <is>
          <t>Revestimento Pastilha 5x5cm</t>
        </is>
      </c>
      <c r="E2633" s="11">
        <f t="array" ref="E2633">_xlfn.XLOOKUP(D2633,Insumos!B:B,Insumos!C:$C)</f>
        <v/>
      </c>
      <c r="F2633" s="14" t="n">
        <v>1.1</v>
      </c>
      <c r="G2633" s="92">
        <f t="array" ref="G2633">IF(B2633="insumo",_xlfn.XLOOKUP($D2633,Insumos!$B$1:$B$996,Insumos!$D$1:$D$996),"")</f>
        <v/>
      </c>
      <c r="H2633" s="92" t="n">
        <v>161.084</v>
      </c>
      <c r="I2633" s="2162" t="n">
        <v>0</v>
      </c>
      <c r="J2633" s="2162" t="n">
        <v>0</v>
      </c>
      <c r="K2633" s="2162" t="n"/>
    </row>
    <row r="2634" outlineLevel="3" ht="15.75" customHeight="1">
      <c r="A2634" s="10" t="n">
        <v>191</v>
      </c>
      <c r="B2634" s="10" t="inlineStr">
        <is>
          <t>Insumo</t>
        </is>
      </c>
      <c r="C2634" s="10" t="inlineStr">
        <is>
          <t>Revestimento em Paredes,  Pastilha Bege 5X5Cm (Sobra Depósito)</t>
        </is>
      </c>
      <c r="D2634" s="10" t="inlineStr">
        <is>
          <t>Argamassa ACIII</t>
        </is>
      </c>
      <c r="E2634" s="11">
        <f t="array" ref="E2634">_xlfn.XLOOKUP(D2634,Insumos!B:B,Insumos!C:$C)</f>
        <v/>
      </c>
      <c r="F2634" s="14" t="n">
        <v>4.95</v>
      </c>
      <c r="G2634" s="92">
        <f t="array" ref="G2634">IF(B2634="insumo",_xlfn.XLOOKUP($D2634,Insumos!$B$1:$B$996,Insumos!$D$1:$D$996),"")</f>
        <v/>
      </c>
      <c r="H2634" s="92" t="n">
        <v>5.269275</v>
      </c>
      <c r="I2634" s="2162" t="n">
        <v>0</v>
      </c>
      <c r="J2634" s="2162" t="n">
        <v>0</v>
      </c>
      <c r="K2634" s="2162" t="n"/>
    </row>
    <row r="2635" outlineLevel="3" ht="15.75" customHeight="1">
      <c r="A2635" s="10" t="n">
        <v>142</v>
      </c>
      <c r="B2635" s="10" t="inlineStr">
        <is>
          <t>Insumo</t>
        </is>
      </c>
      <c r="C2635" s="10" t="inlineStr">
        <is>
          <t>Revestimento em Paredes,  Pastilha Bege 5X5Cm (Sobra Depósito)</t>
        </is>
      </c>
      <c r="D2635" s="10" t="inlineStr">
        <is>
          <t>Espeçador junta piso 2mm</t>
        </is>
      </c>
      <c r="E2635" s="11">
        <f t="array" ref="E2635">_xlfn.XLOOKUP(D2635,Insumos!B:B,Insumos!C:$C)</f>
        <v/>
      </c>
      <c r="F2635" s="14" t="n">
        <v>4</v>
      </c>
      <c r="G2635" s="92">
        <f t="array" ref="G2635">IF(B2635="insumo",_xlfn.XLOOKUP($D2635,Insumos!$B$1:$B$996,Insumos!$D$1:$D$996),"")</f>
        <v/>
      </c>
      <c r="H2635" s="92" t="n">
        <v>0.32</v>
      </c>
      <c r="I2635" s="2162" t="n">
        <v>0</v>
      </c>
      <c r="J2635" s="2162" t="n">
        <v>0</v>
      </c>
      <c r="K2635" s="2162" t="n"/>
    </row>
    <row r="2636" outlineLevel="3" ht="15.75" customHeight="1">
      <c r="A2636" s="10" t="n">
        <v>101</v>
      </c>
      <c r="B2636" s="10" t="inlineStr">
        <is>
          <t>Insumo</t>
        </is>
      </c>
      <c r="C2636" s="10" t="inlineStr">
        <is>
          <t>Revestimento em Paredes,  Pastilha Bege 5X5Cm (Sobra Depósito)</t>
        </is>
      </c>
      <c r="D2636" s="10" t="inlineStr">
        <is>
          <t>Rejunte Cimentício</t>
        </is>
      </c>
      <c r="E2636" s="11">
        <f t="array" ref="E2636">_xlfn.XLOOKUP(D2636,Insumos!B:B,Insumos!C:$C)</f>
        <v/>
      </c>
      <c r="F2636" s="14" t="n">
        <v>0.05</v>
      </c>
      <c r="G2636" s="92">
        <f t="array" ref="G2636">IF(B2636="insumo",_xlfn.XLOOKUP($D2636,Insumos!$B$1:$B$996,Insumos!$D$1:$D$996),"")</f>
        <v/>
      </c>
      <c r="H2636" s="92" t="n">
        <v>0.5575</v>
      </c>
      <c r="I2636" s="2162" t="n">
        <v>0</v>
      </c>
      <c r="J2636" s="2162" t="n">
        <v>0</v>
      </c>
      <c r="K2636" s="2162" t="n"/>
    </row>
    <row r="2637" outlineLevel="1" ht="15.75" customHeight="1">
      <c r="A2637" s="1090" t="n">
        <v>1</v>
      </c>
      <c r="B2637" s="1090" t="inlineStr">
        <is>
          <t>Subetapa</t>
        </is>
      </c>
      <c r="C2637" s="1090" t="inlineStr">
        <is>
          <t>Revestimento em Paredes,  Pastilha Bege 5X5Cm (Sobra Depósito)</t>
        </is>
      </c>
      <c r="D2637" s="1090" t="inlineStr">
        <is>
          <t>PEDRAS/GRANITOS/MARMORES PAREDE</t>
        </is>
      </c>
      <c r="E2637" s="1091" t="n"/>
      <c r="F2637" s="2160" t="n"/>
      <c r="G2637" s="1091" t="n"/>
      <c r="H2637" s="1091" t="n">
        <v>0</v>
      </c>
      <c r="I2637" s="2160" t="n">
        <v>0</v>
      </c>
      <c r="J2637" s="2160" t="n">
        <v>0</v>
      </c>
      <c r="K2637" s="2160" t="n"/>
    </row>
    <row r="2638" outlineLevel="2" ht="15.75" customHeight="1">
      <c r="A2638" s="1067" t="n">
        <v>1</v>
      </c>
      <c r="B2638" s="1067" t="inlineStr">
        <is>
          <t>Serviço</t>
        </is>
      </c>
      <c r="C2638" s="1067" t="inlineStr">
        <is>
          <t>Revestimento de Granito em Paredes</t>
        </is>
      </c>
      <c r="D2638" s="1067" t="inlineStr">
        <is>
          <t>Revestimento de Granito em Paredes</t>
        </is>
      </c>
      <c r="E2638" s="1068" t="inlineStr">
        <is>
          <t>M2</t>
        </is>
      </c>
      <c r="F2638" s="1067" t="n"/>
      <c r="G2638" s="1069">
        <f t="array" ref="G2638">IF(B2638="insumo",_xlfn.XLOOKUP($D2638,Insumos!$B$1:$B$996,Insumos!$D$1:$D$996),"")</f>
        <v/>
      </c>
      <c r="H2638" s="1069" t="n">
        <v>733.2455</v>
      </c>
      <c r="I2638" s="2161" t="n">
        <v>0</v>
      </c>
      <c r="J2638" s="2161" t="n">
        <v>0</v>
      </c>
      <c r="K2638" s="2161" t="n"/>
    </row>
    <row r="2639" outlineLevel="3" ht="15.75" customHeight="1">
      <c r="A2639" s="10" t="n">
        <v>3</v>
      </c>
      <c r="B2639" s="10" t="inlineStr">
        <is>
          <t>Insumo</t>
        </is>
      </c>
      <c r="C2639" s="10" t="inlineStr">
        <is>
          <t>Revestimento de Granito em Paredes</t>
        </is>
      </c>
      <c r="D2639" s="10" t="inlineStr">
        <is>
          <t xml:space="preserve">Granito Comercial </t>
        </is>
      </c>
      <c r="E2639" s="11">
        <f t="array" ref="E2639">_xlfn.XLOOKUP(D2639,Insumos!B:B,Insumos!C:$C)</f>
        <v/>
      </c>
      <c r="F2639" s="14" t="n">
        <v>1.1</v>
      </c>
      <c r="G2639" s="92">
        <f t="array" ref="G2639">IF(B2639="insumo",_xlfn.XLOOKUP($D2639,Insumos!$B$1:$B$996,Insumos!$D$1:$D$996),"")</f>
        <v/>
      </c>
      <c r="H2639" s="92" t="n">
        <v>715</v>
      </c>
      <c r="I2639" s="2162" t="n">
        <v>0</v>
      </c>
      <c r="J2639" s="2162" t="n">
        <v>0</v>
      </c>
      <c r="K2639" s="2162" t="n"/>
    </row>
    <row r="2640" outlineLevel="3" ht="15.75" customHeight="1">
      <c r="A2640" s="10" t="n">
        <v>191</v>
      </c>
      <c r="B2640" s="10" t="inlineStr">
        <is>
          <t>Insumo</t>
        </is>
      </c>
      <c r="C2640" s="10" t="inlineStr">
        <is>
          <t>Revestimento de Granito em Paredes</t>
        </is>
      </c>
      <c r="D2640" s="10" t="inlineStr">
        <is>
          <t>Argamassa ACIII</t>
        </is>
      </c>
      <c r="E2640" s="11">
        <f t="array" ref="E2640">_xlfn.XLOOKUP(D2640,Insumos!B:B,Insumos!C:$C)</f>
        <v/>
      </c>
      <c r="F2640" s="14" t="n">
        <v>9</v>
      </c>
      <c r="G2640" s="92">
        <f t="array" ref="G2640">IF(B2640="insumo",_xlfn.XLOOKUP($D2640,Insumos!$B$1:$B$996,Insumos!$D$1:$D$996),"")</f>
        <v/>
      </c>
      <c r="H2640" s="92" t="n">
        <v>9.580500000000001</v>
      </c>
      <c r="I2640" s="2162" t="n">
        <v>0</v>
      </c>
      <c r="J2640" s="2162" t="n">
        <v>0</v>
      </c>
      <c r="K2640" s="2162" t="n"/>
    </row>
    <row r="2641" outlineLevel="3" ht="15.75" customHeight="1">
      <c r="A2641" s="10" t="n">
        <v>34</v>
      </c>
      <c r="B2641" s="10" t="inlineStr">
        <is>
          <t>Insumo</t>
        </is>
      </c>
      <c r="C2641" s="10" t="inlineStr">
        <is>
          <t>Revestimento de Granito em Paredes</t>
        </is>
      </c>
      <c r="D2641" s="10" t="inlineStr">
        <is>
          <t>Massa Plastica 400g</t>
        </is>
      </c>
      <c r="E2641" s="11">
        <f t="array" ref="E2641">_xlfn.XLOOKUP(D2641,Insumos!B:B,Insumos!C:$C)</f>
        <v/>
      </c>
      <c r="F2641" s="14" t="n">
        <v>0.5</v>
      </c>
      <c r="G2641" s="92">
        <f t="array" ref="G2641">IF(B2641="insumo",_xlfn.XLOOKUP($D2641,Insumos!$B$1:$B$996,Insumos!$D$1:$D$996),"")</f>
        <v/>
      </c>
      <c r="H2641" s="92" t="n">
        <v>8.664999999999999</v>
      </c>
      <c r="I2641" s="2162" t="n">
        <v>0</v>
      </c>
      <c r="J2641" s="2162" t="n">
        <v>0</v>
      </c>
      <c r="K2641" s="2162" t="n"/>
    </row>
    <row r="2642" outlineLevel="2" ht="15.75" customHeight="1">
      <c r="A2642" s="1067" t="n">
        <v>1</v>
      </c>
      <c r="B2642" s="1067" t="inlineStr">
        <is>
          <t>Serviço</t>
        </is>
      </c>
      <c r="C2642" s="1067" t="inlineStr">
        <is>
          <t>Revestimento de Mármore Natural em Paredes</t>
        </is>
      </c>
      <c r="D2642" s="1067" t="inlineStr">
        <is>
          <t>Revestimento de Mármore Natural em Paredes</t>
        </is>
      </c>
      <c r="E2642" s="1068" t="inlineStr">
        <is>
          <t>M2</t>
        </is>
      </c>
      <c r="F2642" s="1067" t="n"/>
      <c r="G2642" s="1069">
        <f t="array" ref="G2642">IF(B2642="insumo",_xlfn.XLOOKUP($D2642,Insumos!$B$1:$B$996,Insumos!$D$1:$D$996),"")</f>
        <v/>
      </c>
      <c r="H2642" s="1069" t="n">
        <v>898.2455</v>
      </c>
      <c r="I2642" s="2161" t="e">
        <v>#REF!</v>
      </c>
      <c r="J2642" s="2161" t="e">
        <v>#REF!</v>
      </c>
      <c r="K2642" s="2161" t="n"/>
    </row>
    <row r="2643" outlineLevel="3" ht="15.75" customHeight="1">
      <c r="A2643" s="10" t="n">
        <v>4</v>
      </c>
      <c r="B2643" s="10" t="inlineStr">
        <is>
          <t>Insumo</t>
        </is>
      </c>
      <c r="C2643" s="10" t="inlineStr">
        <is>
          <t>Revestimento de Mármore Natural em Paredes</t>
        </is>
      </c>
      <c r="D2643" s="10" t="inlineStr">
        <is>
          <t>Mármore Natural</t>
        </is>
      </c>
      <c r="E2643" s="11">
        <f t="array" ref="E2643">_xlfn.XLOOKUP(D2643,Insumos!B:B,Insumos!C:$C)</f>
        <v/>
      </c>
      <c r="F2643" s="14" t="n">
        <v>1.1</v>
      </c>
      <c r="G2643" s="92">
        <f t="array" ref="G2643">IF(B2643="insumo",_xlfn.XLOOKUP($D2643,Insumos!$B$1:$B$996,Insumos!$D$1:$D$996),"")</f>
        <v/>
      </c>
      <c r="H2643" s="92" t="n">
        <v>880</v>
      </c>
      <c r="I2643" s="2162" t="e">
        <v>#REF!</v>
      </c>
      <c r="J2643" s="2162" t="e">
        <v>#REF!</v>
      </c>
      <c r="K2643" s="2162" t="n"/>
    </row>
    <row r="2644" outlineLevel="3" ht="15.75" customHeight="1">
      <c r="A2644" s="10" t="n">
        <v>191</v>
      </c>
      <c r="B2644" s="10" t="inlineStr">
        <is>
          <t>Insumo</t>
        </is>
      </c>
      <c r="C2644" s="10" t="inlineStr">
        <is>
          <t>Revestimento de Mármore Natural em Paredes</t>
        </is>
      </c>
      <c r="D2644" s="10" t="inlineStr">
        <is>
          <t>Argamassa ACIII</t>
        </is>
      </c>
      <c r="E2644" s="11">
        <f t="array" ref="E2644">_xlfn.XLOOKUP(D2644,Insumos!B:B,Insumos!C:$C)</f>
        <v/>
      </c>
      <c r="F2644" s="14" t="n">
        <v>9</v>
      </c>
      <c r="G2644" s="92">
        <f t="array" ref="G2644">IF(B2644="insumo",_xlfn.XLOOKUP($D2644,Insumos!$B$1:$B$996,Insumos!$D$1:$D$996),"")</f>
        <v/>
      </c>
      <c r="H2644" s="92" t="n">
        <v>9.580500000000001</v>
      </c>
      <c r="I2644" s="2162" t="e">
        <v>#REF!</v>
      </c>
      <c r="J2644" s="2162" t="e">
        <v>#REF!</v>
      </c>
      <c r="K2644" s="2162" t="n"/>
    </row>
    <row r="2645" outlineLevel="3" ht="15.75" customHeight="1">
      <c r="A2645" s="10" t="n">
        <v>34</v>
      </c>
      <c r="B2645" s="10" t="inlineStr">
        <is>
          <t>Insumo</t>
        </is>
      </c>
      <c r="C2645" s="10" t="inlineStr">
        <is>
          <t>Revestimento de Mármore Natural em Paredes</t>
        </is>
      </c>
      <c r="D2645" s="10" t="inlineStr">
        <is>
          <t>Massa Plastica 400g</t>
        </is>
      </c>
      <c r="E2645" s="11">
        <f t="array" ref="E2645">_xlfn.XLOOKUP(D2645,Insumos!B:B,Insumos!C:$C)</f>
        <v/>
      </c>
      <c r="F2645" s="14" t="n">
        <v>0.5</v>
      </c>
      <c r="G2645" s="92">
        <f t="array" ref="G2645">IF(B2645="insumo",_xlfn.XLOOKUP($D2645,Insumos!$B$1:$B$996,Insumos!$D$1:$D$996),"")</f>
        <v/>
      </c>
      <c r="H2645" s="92" t="n">
        <v>8.664999999999999</v>
      </c>
      <c r="I2645" s="2162" t="e">
        <v>#REF!</v>
      </c>
      <c r="J2645" s="2162" t="e">
        <v>#REF!</v>
      </c>
      <c r="K2645" s="2162" t="n"/>
    </row>
    <row r="2646" outlineLevel="2" ht="15.75" customHeight="1">
      <c r="A2646" s="1067" t="n">
        <v>1</v>
      </c>
      <c r="B2646" s="1067" t="inlineStr">
        <is>
          <t>Serviço</t>
        </is>
      </c>
      <c r="C2646" s="1067" t="inlineStr">
        <is>
          <t>Revestimento de Mármore Travertino Nacional em Paredes</t>
        </is>
      </c>
      <c r="D2646" s="1067" t="inlineStr">
        <is>
          <t>Revestimento de Mármore Travertino Nacional em Paredes</t>
        </is>
      </c>
      <c r="E2646" s="1068" t="inlineStr">
        <is>
          <t>M2</t>
        </is>
      </c>
      <c r="F2646" s="1067" t="n"/>
      <c r="G2646" s="1069">
        <f t="array" ref="G2646">IF(B2646="insumo",_xlfn.XLOOKUP($D2646,Insumos!$B$1:$B$996,Insumos!$D$1:$D$996),"")</f>
        <v/>
      </c>
      <c r="H2646" s="1069" t="n">
        <v>1008.2455</v>
      </c>
      <c r="I2646" s="2161" t="n">
        <v>0</v>
      </c>
      <c r="J2646" s="2161" t="n">
        <v>0</v>
      </c>
      <c r="K2646" s="2161" t="n"/>
    </row>
    <row r="2647" outlineLevel="3" ht="15.75" customHeight="1">
      <c r="A2647" s="10" t="n">
        <v>2</v>
      </c>
      <c r="B2647" s="10" t="inlineStr">
        <is>
          <t>Insumo</t>
        </is>
      </c>
      <c r="C2647" s="10" t="inlineStr">
        <is>
          <t>Revestimento de Mármore Travertino Nacional em Paredes</t>
        </is>
      </c>
      <c r="D2647" s="10" t="inlineStr">
        <is>
          <t>Mármore Travertino Nacional</t>
        </is>
      </c>
      <c r="E2647" s="11">
        <f t="array" ref="E2647">_xlfn.XLOOKUP(D2647,Insumos!B:B,Insumos!C:$C)</f>
        <v/>
      </c>
      <c r="F2647" s="14" t="n">
        <v>1.1</v>
      </c>
      <c r="G2647" s="92">
        <f t="array" ref="G2647">IF(B2647="insumo",_xlfn.XLOOKUP($D2647,Insumos!$B$1:$B$996,Insumos!$D$1:$D$996),"")</f>
        <v/>
      </c>
      <c r="H2647" s="92" t="n">
        <v>990</v>
      </c>
      <c r="I2647" s="2162" t="n">
        <v>0</v>
      </c>
      <c r="J2647" s="2162" t="n">
        <v>0</v>
      </c>
      <c r="K2647" s="2162" t="n"/>
    </row>
    <row r="2648" outlineLevel="3" ht="15.75" customHeight="1">
      <c r="A2648" s="10" t="n">
        <v>191</v>
      </c>
      <c r="B2648" s="10" t="inlineStr">
        <is>
          <t>Insumo</t>
        </is>
      </c>
      <c r="C2648" s="10" t="inlineStr">
        <is>
          <t>Revestimento de Mármore Travertino Nacional em Paredes</t>
        </is>
      </c>
      <c r="D2648" s="10" t="inlineStr">
        <is>
          <t>Argamassa ACIII</t>
        </is>
      </c>
      <c r="E2648" s="11">
        <f t="array" ref="E2648">_xlfn.XLOOKUP(D2648,Insumos!B:B,Insumos!C:$C)</f>
        <v/>
      </c>
      <c r="F2648" s="14" t="n">
        <v>9</v>
      </c>
      <c r="G2648" s="92">
        <f t="array" ref="G2648">IF(B2648="insumo",_xlfn.XLOOKUP($D2648,Insumos!$B$1:$B$996,Insumos!$D$1:$D$996),"")</f>
        <v/>
      </c>
      <c r="H2648" s="92" t="n">
        <v>9.580500000000001</v>
      </c>
      <c r="I2648" s="2162" t="n">
        <v>0</v>
      </c>
      <c r="J2648" s="2162" t="n">
        <v>0</v>
      </c>
      <c r="K2648" s="2162" t="n"/>
    </row>
    <row r="2649" outlineLevel="3" ht="15.75" customHeight="1">
      <c r="A2649" s="10" t="n">
        <v>34</v>
      </c>
      <c r="B2649" s="10" t="inlineStr">
        <is>
          <t>Insumo</t>
        </is>
      </c>
      <c r="C2649" s="10" t="inlineStr">
        <is>
          <t>Revestimento de Mármore Travertino Nacional em Paredes</t>
        </is>
      </c>
      <c r="D2649" s="10" t="inlineStr">
        <is>
          <t>Massa Plastica 400g</t>
        </is>
      </c>
      <c r="E2649" s="11">
        <f t="array" ref="E2649">_xlfn.XLOOKUP(D2649,Insumos!B:B,Insumos!C:$C)</f>
        <v/>
      </c>
      <c r="F2649" s="14" t="n">
        <v>0.5</v>
      </c>
      <c r="G2649" s="92">
        <f t="array" ref="G2649">IF(B2649="insumo",_xlfn.XLOOKUP($D2649,Insumos!$B$1:$B$996,Insumos!$D$1:$D$996),"")</f>
        <v/>
      </c>
      <c r="H2649" s="92" t="n">
        <v>8.664999999999999</v>
      </c>
      <c r="I2649" s="2162" t="n">
        <v>0</v>
      </c>
      <c r="J2649" s="2162" t="n">
        <v>0</v>
      </c>
      <c r="K2649" s="2162" t="n"/>
    </row>
    <row r="2650" outlineLevel="2" ht="15.75" customHeight="1">
      <c r="A2650" s="1067" t="n">
        <v>1</v>
      </c>
      <c r="B2650" s="1067" t="inlineStr">
        <is>
          <t>Serviço</t>
        </is>
      </c>
      <c r="C2650" s="1067" t="inlineStr">
        <is>
          <t>Revestimento de Mármore Travertino Navona em Paredes</t>
        </is>
      </c>
      <c r="D2650" s="1067" t="inlineStr">
        <is>
          <t>Revestimento de Mármore Travertino Navona em Paredes</t>
        </is>
      </c>
      <c r="E2650" s="1068" t="inlineStr">
        <is>
          <t>M2</t>
        </is>
      </c>
      <c r="F2650" s="1067" t="n"/>
      <c r="G2650" s="1069">
        <f t="array" ref="G2650">IF(B2650="insumo",_xlfn.XLOOKUP($D2650,Insumos!$B$1:$B$996,Insumos!$D$1:$D$996),"")</f>
        <v/>
      </c>
      <c r="H2650" s="1069" t="n">
        <v>1448.2455</v>
      </c>
      <c r="I2650" s="2161" t="n">
        <v>0</v>
      </c>
      <c r="J2650" s="2161" t="n">
        <v>0</v>
      </c>
      <c r="K2650" s="2161" t="n"/>
    </row>
    <row r="2651" outlineLevel="3" ht="15.75" customHeight="1">
      <c r="A2651" s="10" t="n">
        <v>2</v>
      </c>
      <c r="B2651" s="10" t="inlineStr">
        <is>
          <t>Insumo</t>
        </is>
      </c>
      <c r="C2651" s="10" t="inlineStr">
        <is>
          <t>Revestimento de Mármore Travertino Navona em Paredes</t>
        </is>
      </c>
      <c r="D2651" s="10" t="inlineStr">
        <is>
          <t>Mármore Travertino Navona</t>
        </is>
      </c>
      <c r="E2651" s="11">
        <f t="array" ref="E2651">_xlfn.XLOOKUP(D2651,Insumos!B:B,Insumos!C:$C)</f>
        <v/>
      </c>
      <c r="F2651" s="14" t="n">
        <v>1.1</v>
      </c>
      <c r="G2651" s="92">
        <f t="array" ref="G2651">IF(B2651="insumo",_xlfn.XLOOKUP($D2651,Insumos!$B$1:$B$996,Insumos!$D$1:$D$996),"")</f>
        <v/>
      </c>
      <c r="H2651" s="92" t="n">
        <v>1430</v>
      </c>
      <c r="I2651" s="2162" t="n">
        <v>0</v>
      </c>
      <c r="J2651" s="2162" t="n">
        <v>0</v>
      </c>
      <c r="K2651" s="2162" t="n"/>
    </row>
    <row r="2652" outlineLevel="3" ht="15.75" customHeight="1">
      <c r="A2652" s="10" t="n">
        <v>191</v>
      </c>
      <c r="B2652" s="10" t="inlineStr">
        <is>
          <t>Insumo</t>
        </is>
      </c>
      <c r="C2652" s="10" t="inlineStr">
        <is>
          <t>Revestimento de Mármore Travertino Navona em Paredes</t>
        </is>
      </c>
      <c r="D2652" s="10" t="inlineStr">
        <is>
          <t>Argamassa ACIII</t>
        </is>
      </c>
      <c r="E2652" s="11">
        <f t="array" ref="E2652">_xlfn.XLOOKUP(D2652,Insumos!B:B,Insumos!C:$C)</f>
        <v/>
      </c>
      <c r="F2652" s="14" t="n">
        <v>9</v>
      </c>
      <c r="G2652" s="92">
        <f t="array" ref="G2652">IF(B2652="insumo",_xlfn.XLOOKUP($D2652,Insumos!$B$1:$B$996,Insumos!$D$1:$D$996),"")</f>
        <v/>
      </c>
      <c r="H2652" s="92" t="n">
        <v>9.580500000000001</v>
      </c>
      <c r="I2652" s="2162" t="n">
        <v>0</v>
      </c>
      <c r="J2652" s="2162" t="n">
        <v>0</v>
      </c>
      <c r="K2652" s="2162" t="n"/>
    </row>
    <row r="2653" outlineLevel="3" ht="15.75" customHeight="1">
      <c r="A2653" s="10" t="n">
        <v>34</v>
      </c>
      <c r="B2653" s="10" t="inlineStr">
        <is>
          <t>Insumo</t>
        </is>
      </c>
      <c r="C2653" s="10" t="inlineStr">
        <is>
          <t>Revestimento de Mármore Travertino Navona em Paredes</t>
        </is>
      </c>
      <c r="D2653" s="10" t="inlineStr">
        <is>
          <t>Massa Plastica 400g</t>
        </is>
      </c>
      <c r="E2653" s="11">
        <f t="array" ref="E2653">_xlfn.XLOOKUP(D2653,Insumos!B:B,Insumos!C:$C)</f>
        <v/>
      </c>
      <c r="F2653" s="14" t="n">
        <v>0.5</v>
      </c>
      <c r="G2653" s="92">
        <f t="array" ref="G2653">IF(B2653="insumo",_xlfn.XLOOKUP($D2653,Insumos!$B$1:$B$996,Insumos!$D$1:$D$996),"")</f>
        <v/>
      </c>
      <c r="H2653" s="92" t="n">
        <v>8.664999999999999</v>
      </c>
      <c r="I2653" s="2162" t="n">
        <v>0</v>
      </c>
      <c r="J2653" s="2162" t="n">
        <v>0</v>
      </c>
      <c r="K2653" s="2162" t="n"/>
    </row>
    <row r="2654" outlineLevel="2" ht="15.75" customHeight="1">
      <c r="A2654" s="1067" t="n">
        <v>1</v>
      </c>
      <c r="B2654" s="1067" t="inlineStr">
        <is>
          <t>Serviço</t>
        </is>
      </c>
      <c r="C2654" s="1067" t="inlineStr">
        <is>
          <t>Revestimento de Mármore Travertino Importado em Paredes</t>
        </is>
      </c>
      <c r="D2654" s="1067" t="inlineStr">
        <is>
          <t>Revestimento de Mármore Travertino Importado em Paredes</t>
        </is>
      </c>
      <c r="E2654" s="1068" t="inlineStr">
        <is>
          <t>M2</t>
        </is>
      </c>
      <c r="F2654" s="1067" t="n"/>
      <c r="G2654" s="1069">
        <f t="array" ref="G2654">IF(B2654="insumo",_xlfn.XLOOKUP($D2654,Insumos!$B$1:$B$996,Insumos!$D$1:$D$996),"")</f>
        <v/>
      </c>
      <c r="H2654" s="1069" t="n">
        <v>2438.2455</v>
      </c>
      <c r="I2654" s="2161" t="n">
        <v>0</v>
      </c>
      <c r="J2654" s="2161" t="n">
        <v>0</v>
      </c>
      <c r="K2654" s="2161" t="n"/>
    </row>
    <row r="2655" outlineLevel="3" ht="15.75" customHeight="1">
      <c r="A2655" s="10" t="n">
        <v>2</v>
      </c>
      <c r="B2655" s="10" t="inlineStr">
        <is>
          <t>Insumo</t>
        </is>
      </c>
      <c r="C2655" s="10" t="inlineStr">
        <is>
          <t>Revestimento de Mármore Travertino Importado em Paredes</t>
        </is>
      </c>
      <c r="D2655" s="10" t="inlineStr">
        <is>
          <t>Mármore Travertino Importado</t>
        </is>
      </c>
      <c r="E2655" s="11">
        <f t="array" ref="E2655">_xlfn.XLOOKUP(D2655,Insumos!B:B,Insumos!C:$C)</f>
        <v/>
      </c>
      <c r="F2655" s="14" t="n">
        <v>1.1</v>
      </c>
      <c r="G2655" s="92">
        <f t="array" ref="G2655">IF(B2655="insumo",_xlfn.XLOOKUP($D2655,Insumos!$B$1:$B$996,Insumos!$D$1:$D$996),"")</f>
        <v/>
      </c>
      <c r="H2655" s="92" t="n">
        <v>2420</v>
      </c>
      <c r="I2655" s="2162" t="n">
        <v>0</v>
      </c>
      <c r="J2655" s="2162" t="n">
        <v>0</v>
      </c>
      <c r="K2655" s="2162" t="n"/>
    </row>
    <row r="2656" outlineLevel="3" ht="15.75" customHeight="1">
      <c r="A2656" s="10" t="n">
        <v>191</v>
      </c>
      <c r="B2656" s="10" t="inlineStr">
        <is>
          <t>Insumo</t>
        </is>
      </c>
      <c r="C2656" s="10" t="inlineStr">
        <is>
          <t>Revestimento de Mármore Travertino Importado em Paredes</t>
        </is>
      </c>
      <c r="D2656" s="10" t="inlineStr">
        <is>
          <t>Argamassa ACIII</t>
        </is>
      </c>
      <c r="E2656" s="11">
        <f t="array" ref="E2656">_xlfn.XLOOKUP(D2656,Insumos!B:B,Insumos!C:$C)</f>
        <v/>
      </c>
      <c r="F2656" s="14" t="n">
        <v>9</v>
      </c>
      <c r="G2656" s="92">
        <f t="array" ref="G2656">IF(B2656="insumo",_xlfn.XLOOKUP($D2656,Insumos!$B$1:$B$996,Insumos!$D$1:$D$996),"")</f>
        <v/>
      </c>
      <c r="H2656" s="92" t="n">
        <v>9.580500000000001</v>
      </c>
      <c r="I2656" s="2162" t="n">
        <v>0</v>
      </c>
      <c r="J2656" s="2162" t="n">
        <v>0</v>
      </c>
      <c r="K2656" s="2162" t="n"/>
    </row>
    <row r="2657" outlineLevel="3" ht="15.75" customHeight="1">
      <c r="A2657" s="10" t="n">
        <v>34</v>
      </c>
      <c r="B2657" s="10" t="inlineStr">
        <is>
          <t>Insumo</t>
        </is>
      </c>
      <c r="C2657" s="10" t="inlineStr">
        <is>
          <t>Revestimento de Mármore Travertino Importado em Paredes</t>
        </is>
      </c>
      <c r="D2657" s="10" t="inlineStr">
        <is>
          <t>Massa Plastica 400g</t>
        </is>
      </c>
      <c r="E2657" s="11">
        <f t="array" ref="E2657">_xlfn.XLOOKUP(D2657,Insumos!B:B,Insumos!C:$C)</f>
        <v/>
      </c>
      <c r="F2657" s="14" t="n">
        <v>0.5</v>
      </c>
      <c r="G2657" s="92">
        <f t="array" ref="G2657">IF(B2657="insumo",_xlfn.XLOOKUP($D2657,Insumos!$B$1:$B$996,Insumos!$D$1:$D$996),"")</f>
        <v/>
      </c>
      <c r="H2657" s="92" t="n">
        <v>8.664999999999999</v>
      </c>
      <c r="I2657" s="2162" t="n">
        <v>0</v>
      </c>
      <c r="J2657" s="2162" t="n">
        <v>0</v>
      </c>
      <c r="K2657" s="2162" t="n"/>
    </row>
    <row r="2658" outlineLevel="2" ht="15.75" customHeight="1">
      <c r="A2658" s="1067" t="n">
        <v>1</v>
      </c>
      <c r="B2658" s="1067" t="inlineStr">
        <is>
          <t>Serviço</t>
        </is>
      </c>
      <c r="C2658" s="1067" t="inlineStr">
        <is>
          <t>Revestimento de Mármore Travertino Romano em Paredes</t>
        </is>
      </c>
      <c r="D2658" s="1067" t="inlineStr">
        <is>
          <t>Revestimento de Mármore Travertino Romano em Paredes</t>
        </is>
      </c>
      <c r="E2658" s="1068" t="inlineStr">
        <is>
          <t>M2</t>
        </is>
      </c>
      <c r="F2658" s="1067" t="n"/>
      <c r="G2658" s="1069">
        <f t="array" ref="G2658">IF(B2658="insumo",_xlfn.XLOOKUP($D2658,Insumos!$B$1:$B$996,Insumos!$D$1:$D$996),"")</f>
        <v/>
      </c>
      <c r="H2658" s="1069" t="n">
        <v>1448.2455</v>
      </c>
      <c r="I2658" s="2161" t="e">
        <v>#REF!</v>
      </c>
      <c r="J2658" s="2161" t="e">
        <v>#REF!</v>
      </c>
      <c r="K2658" s="2161" t="n"/>
    </row>
    <row r="2659" outlineLevel="3" ht="15.75" customHeight="1">
      <c r="A2659" s="10" t="n">
        <v>5</v>
      </c>
      <c r="B2659" s="10" t="inlineStr">
        <is>
          <t>Insumo</t>
        </is>
      </c>
      <c r="C2659" s="10" t="inlineStr">
        <is>
          <t>Revestimento de Mármore Travertino Romano em Paredes</t>
        </is>
      </c>
      <c r="D2659" s="10" t="inlineStr">
        <is>
          <t>Mármore Travertino Romano</t>
        </is>
      </c>
      <c r="E2659" s="11">
        <f t="array" ref="E2659">_xlfn.XLOOKUP(D2659,Insumos!B:B,Insumos!C:$C)</f>
        <v/>
      </c>
      <c r="F2659" s="14" t="n">
        <v>1.1</v>
      </c>
      <c r="G2659" s="92">
        <f t="array" ref="G2659">IF(B2659="insumo",_xlfn.XLOOKUP($D2659,Insumos!$B$1:$B$996,Insumos!$D$1:$D$996),"")</f>
        <v/>
      </c>
      <c r="H2659" s="92" t="n">
        <v>1430</v>
      </c>
      <c r="I2659" s="2162" t="e">
        <v>#REF!</v>
      </c>
      <c r="J2659" s="2162" t="e">
        <v>#REF!</v>
      </c>
      <c r="K2659" s="2162" t="n"/>
    </row>
    <row r="2660" outlineLevel="3" ht="15.75" customHeight="1">
      <c r="A2660" s="10" t="n">
        <v>191</v>
      </c>
      <c r="B2660" s="10" t="inlineStr">
        <is>
          <t>Insumo</t>
        </is>
      </c>
      <c r="C2660" s="10" t="inlineStr">
        <is>
          <t>Revestimento de Mármore Travertino Romano em Paredes</t>
        </is>
      </c>
      <c r="D2660" s="10" t="inlineStr">
        <is>
          <t>Argamassa ACIII</t>
        </is>
      </c>
      <c r="E2660" s="11">
        <f t="array" ref="E2660">_xlfn.XLOOKUP(D2660,Insumos!B:B,Insumos!C:$C)</f>
        <v/>
      </c>
      <c r="F2660" s="14" t="n">
        <v>9</v>
      </c>
      <c r="G2660" s="92">
        <f t="array" ref="G2660">IF(B2660="insumo",_xlfn.XLOOKUP($D2660,Insumos!$B$1:$B$996,Insumos!$D$1:$D$996),"")</f>
        <v/>
      </c>
      <c r="H2660" s="92" t="n">
        <v>9.580500000000001</v>
      </c>
      <c r="I2660" s="2162" t="e">
        <v>#REF!</v>
      </c>
      <c r="J2660" s="2162" t="e">
        <v>#REF!</v>
      </c>
      <c r="K2660" s="2162" t="n"/>
    </row>
    <row r="2661" outlineLevel="3" ht="15.75" customHeight="1">
      <c r="A2661" s="10" t="n">
        <v>34</v>
      </c>
      <c r="B2661" s="10" t="inlineStr">
        <is>
          <t>Insumo</t>
        </is>
      </c>
      <c r="C2661" s="10" t="inlineStr">
        <is>
          <t>Revestimento de Mármore Travertino Romano em Paredes</t>
        </is>
      </c>
      <c r="D2661" s="10" t="inlineStr">
        <is>
          <t>Massa Plastica 400g</t>
        </is>
      </c>
      <c r="E2661" s="11">
        <f t="array" ref="E2661">_xlfn.XLOOKUP(D2661,Insumos!B:B,Insumos!C:$C)</f>
        <v/>
      </c>
      <c r="F2661" s="14" t="n">
        <v>0.5</v>
      </c>
      <c r="G2661" s="92">
        <f t="array" ref="G2661">IF(B2661="insumo",_xlfn.XLOOKUP($D2661,Insumos!$B$1:$B$996,Insumos!$D$1:$D$996),"")</f>
        <v/>
      </c>
      <c r="H2661" s="92" t="n">
        <v>8.664999999999999</v>
      </c>
      <c r="I2661" s="2162" t="e">
        <v>#REF!</v>
      </c>
      <c r="J2661" s="2162" t="e">
        <v>#REF!</v>
      </c>
      <c r="K2661" s="2162" t="n"/>
    </row>
    <row r="2662" outlineLevel="2" ht="15.75" customHeight="1">
      <c r="A2662" s="1067" t="n">
        <v>1</v>
      </c>
      <c r="B2662" s="1067" t="inlineStr">
        <is>
          <t>Serviço</t>
        </is>
      </c>
      <c r="C2662" s="1067" t="inlineStr">
        <is>
          <t>Revestimento de Pedras Quartzito Van Gogh em Paredes</t>
        </is>
      </c>
      <c r="D2662" s="1067" t="inlineStr">
        <is>
          <t>Revestimento de Pedras Quartzito Van Gogh em Paredes</t>
        </is>
      </c>
      <c r="E2662" s="1068" t="inlineStr">
        <is>
          <t>M2</t>
        </is>
      </c>
      <c r="F2662" s="1067" t="n"/>
      <c r="G2662" s="1069">
        <f t="array" ref="G2662">IF(B2662="insumo",_xlfn.XLOOKUP($D2662,Insumos!$B$1:$B$996,Insumos!$D$1:$D$996),"")</f>
        <v/>
      </c>
      <c r="H2662" s="1069" t="n">
        <v>3538.2455</v>
      </c>
      <c r="I2662" s="2161" t="e">
        <v>#REF!</v>
      </c>
      <c r="J2662" s="2161" t="e">
        <v>#REF!</v>
      </c>
      <c r="K2662" s="2161" t="n"/>
    </row>
    <row r="2663" outlineLevel="3" ht="15.75" customHeight="1">
      <c r="A2663" s="10" t="n">
        <v>2</v>
      </c>
      <c r="B2663" s="10" t="inlineStr">
        <is>
          <t>Insumo</t>
        </is>
      </c>
      <c r="C2663" s="10" t="inlineStr">
        <is>
          <t>Revestimento de Pedras Quartzito Van Gogh em Paredes</t>
        </is>
      </c>
      <c r="D2663" s="10" t="inlineStr">
        <is>
          <t>Pedras Quartzito Van Gogh</t>
        </is>
      </c>
      <c r="E2663" s="11">
        <f t="array" ref="E2663">_xlfn.XLOOKUP(D2663,Insumos!B:B,Insumos!C:$C)</f>
        <v/>
      </c>
      <c r="F2663" s="14" t="n">
        <v>1.1</v>
      </c>
      <c r="G2663" s="92">
        <f t="array" ref="G2663">IF(B2663="insumo",_xlfn.XLOOKUP($D2663,Insumos!$B$1:$B$996,Insumos!$D$1:$D$996),"")</f>
        <v/>
      </c>
      <c r="H2663" s="92" t="n">
        <v>3520</v>
      </c>
      <c r="I2663" s="2162" t="e">
        <v>#REF!</v>
      </c>
      <c r="J2663" s="2162" t="e">
        <v>#REF!</v>
      </c>
      <c r="K2663" s="2162" t="n"/>
    </row>
    <row r="2664" outlineLevel="3" ht="15.75" customHeight="1">
      <c r="A2664" s="10" t="n">
        <v>191</v>
      </c>
      <c r="B2664" s="10" t="inlineStr">
        <is>
          <t>Insumo</t>
        </is>
      </c>
      <c r="C2664" s="10" t="inlineStr">
        <is>
          <t>Revestimento de Pedras Quartzito Van Gogh em Paredes</t>
        </is>
      </c>
      <c r="D2664" s="10" t="inlineStr">
        <is>
          <t>Argamassa ACIII</t>
        </is>
      </c>
      <c r="E2664" s="11">
        <f t="array" ref="E2664">_xlfn.XLOOKUP(D2664,Insumos!B:B,Insumos!C:$C)</f>
        <v/>
      </c>
      <c r="F2664" s="14" t="n">
        <v>9</v>
      </c>
      <c r="G2664" s="92">
        <f t="array" ref="G2664">IF(B2664="insumo",_xlfn.XLOOKUP($D2664,Insumos!$B$1:$B$996,Insumos!$D$1:$D$996),"")</f>
        <v/>
      </c>
      <c r="H2664" s="92" t="n">
        <v>9.580500000000001</v>
      </c>
      <c r="I2664" s="2162" t="e">
        <v>#REF!</v>
      </c>
      <c r="J2664" s="2162" t="e">
        <v>#REF!</v>
      </c>
      <c r="K2664" s="2162" t="n"/>
    </row>
    <row r="2665" outlineLevel="3" ht="15.75" customHeight="1">
      <c r="A2665" s="10" t="n">
        <v>34</v>
      </c>
      <c r="B2665" s="10" t="inlineStr">
        <is>
          <t>Insumo</t>
        </is>
      </c>
      <c r="C2665" s="10" t="inlineStr">
        <is>
          <t>Revestimento de Pedras Quartzito Van Gogh em Paredes</t>
        </is>
      </c>
      <c r="D2665" s="10" t="inlineStr">
        <is>
          <t>Massa Plastica 400g</t>
        </is>
      </c>
      <c r="E2665" s="11">
        <f t="array" ref="E2665">_xlfn.XLOOKUP(D2665,Insumos!B:B,Insumos!C:$C)</f>
        <v/>
      </c>
      <c r="F2665" s="14" t="n">
        <v>0.5</v>
      </c>
      <c r="G2665" s="92">
        <f t="array" ref="G2665">IF(B2665="insumo",_xlfn.XLOOKUP($D2665,Insumos!$B$1:$B$996,Insumos!$D$1:$D$996),"")</f>
        <v/>
      </c>
      <c r="H2665" s="92" t="n">
        <v>8.664999999999999</v>
      </c>
      <c r="I2665" s="2162" t="e">
        <v>#REF!</v>
      </c>
      <c r="J2665" s="2162" t="e">
        <v>#REF!</v>
      </c>
      <c r="K2665" s="2162" t="n"/>
    </row>
    <row r="2666" outlineLevel="2" ht="15.75" customHeight="1">
      <c r="A2666" s="1067" t="n">
        <v>1</v>
      </c>
      <c r="B2666" s="1067" t="inlineStr">
        <is>
          <t>Serviço</t>
        </is>
      </c>
      <c r="C2666" s="1067" t="inlineStr">
        <is>
          <t>Revestimento de Pedras Naturais em Paredes</t>
        </is>
      </c>
      <c r="D2666" s="1067" t="inlineStr">
        <is>
          <t>Revestimento de Pedras Naturais em Paredes</t>
        </is>
      </c>
      <c r="E2666" s="1068" t="inlineStr">
        <is>
          <t>M2</t>
        </is>
      </c>
      <c r="F2666" s="1067" t="n"/>
      <c r="G2666" s="1069">
        <f t="array" ref="G2666">IF(B2666="insumo",_xlfn.XLOOKUP($D2666,Insumos!$B$1:$B$996,Insumos!$D$1:$D$996),"")</f>
        <v/>
      </c>
      <c r="H2666" s="1069" t="n">
        <v>898.2455</v>
      </c>
      <c r="I2666" s="2161" t="n">
        <v>0</v>
      </c>
      <c r="J2666" s="2161" t="n">
        <v>0</v>
      </c>
      <c r="K2666" s="2161" t="n"/>
    </row>
    <row r="2667" outlineLevel="3" ht="15.75" customHeight="1">
      <c r="A2667" s="10" t="n">
        <v>10</v>
      </c>
      <c r="B2667" s="10" t="inlineStr">
        <is>
          <t>Insumo</t>
        </is>
      </c>
      <c r="C2667" s="10" t="inlineStr">
        <is>
          <t>Revestimento de Pedras Naturais em Paredes</t>
        </is>
      </c>
      <c r="D2667" s="10" t="inlineStr">
        <is>
          <t>Pedra Natural  para Revestimento</t>
        </is>
      </c>
      <c r="E2667" s="11">
        <f t="array" ref="E2667">_xlfn.XLOOKUP(D2667,Insumos!B:B,Insumos!C:$C)</f>
        <v/>
      </c>
      <c r="F2667" s="14" t="n">
        <v>1.1</v>
      </c>
      <c r="G2667" s="92">
        <f t="array" ref="G2667">IF(B2667="insumo",_xlfn.XLOOKUP($D2667,Insumos!$B$1:$B$996,Insumos!$D$1:$D$996),"")</f>
        <v/>
      </c>
      <c r="H2667" s="92" t="n">
        <v>880</v>
      </c>
      <c r="I2667" s="2162" t="n">
        <v>0</v>
      </c>
      <c r="J2667" s="2162" t="n">
        <v>0</v>
      </c>
      <c r="K2667" s="2162" t="n"/>
    </row>
    <row r="2668" outlineLevel="3" ht="15.75" customHeight="1">
      <c r="A2668" s="10" t="n">
        <v>191</v>
      </c>
      <c r="B2668" s="10" t="inlineStr">
        <is>
          <t>Insumo</t>
        </is>
      </c>
      <c r="C2668" s="10" t="inlineStr">
        <is>
          <t>Revestimento de Pedras Naturais em Paredes</t>
        </is>
      </c>
      <c r="D2668" s="10" t="inlineStr">
        <is>
          <t>Argamassa ACIII</t>
        </is>
      </c>
      <c r="E2668" s="11">
        <f t="array" ref="E2668">_xlfn.XLOOKUP(D2668,Insumos!B:B,Insumos!C:$C)</f>
        <v/>
      </c>
      <c r="F2668" s="14" t="n">
        <v>9</v>
      </c>
      <c r="G2668" s="92">
        <f t="array" ref="G2668">IF(B2668="insumo",_xlfn.XLOOKUP($D2668,Insumos!$B$1:$B$996,Insumos!$D$1:$D$996),"")</f>
        <v/>
      </c>
      <c r="H2668" s="92" t="n">
        <v>9.580500000000001</v>
      </c>
      <c r="I2668" s="2162" t="n">
        <v>0</v>
      </c>
      <c r="J2668" s="2162" t="n">
        <v>0</v>
      </c>
      <c r="K2668" s="2162" t="n"/>
    </row>
    <row r="2669" outlineLevel="3" ht="15.75" customHeight="1">
      <c r="A2669" s="10" t="n">
        <v>34</v>
      </c>
      <c r="B2669" s="10" t="inlineStr">
        <is>
          <t>Insumo</t>
        </is>
      </c>
      <c r="C2669" s="10" t="inlineStr">
        <is>
          <t>Revestimento de Pedras Naturais em Paredes</t>
        </is>
      </c>
      <c r="D2669" s="10" t="inlineStr">
        <is>
          <t>Massa Plastica 400g</t>
        </is>
      </c>
      <c r="E2669" s="11">
        <f t="array" ref="E2669">_xlfn.XLOOKUP(D2669,Insumos!B:B,Insumos!C:$C)</f>
        <v/>
      </c>
      <c r="F2669" s="14" t="n">
        <v>0.5</v>
      </c>
      <c r="G2669" s="92">
        <f t="array" ref="G2669">IF(B2669="insumo",_xlfn.XLOOKUP($D2669,Insumos!$B$1:$B$996,Insumos!$D$1:$D$996),"")</f>
        <v/>
      </c>
      <c r="H2669" s="92" t="n">
        <v>8.664999999999999</v>
      </c>
      <c r="I2669" s="2162" t="n">
        <v>0</v>
      </c>
      <c r="J2669" s="2162" t="n">
        <v>0</v>
      </c>
      <c r="K2669" s="2162" t="n"/>
    </row>
    <row r="2670" outlineLevel="1" ht="15.75" customHeight="1">
      <c r="A2670" s="1090" t="n">
        <v>1</v>
      </c>
      <c r="B2670" s="1090" t="inlineStr">
        <is>
          <t>Subetapa</t>
        </is>
      </c>
      <c r="C2670" s="1090" t="inlineStr">
        <is>
          <t>Revestimento de Pedras Naturais em Paredes</t>
        </is>
      </c>
      <c r="D2670" s="1090" t="inlineStr">
        <is>
          <t>MADEIRA PAREDE</t>
        </is>
      </c>
      <c r="E2670" s="1091" t="n"/>
      <c r="F2670" s="2160" t="n"/>
      <c r="G2670" s="1091" t="n"/>
      <c r="H2670" s="1091" t="n">
        <v>0</v>
      </c>
      <c r="I2670" s="2160" t="n">
        <v>0</v>
      </c>
      <c r="J2670" s="2160" t="n">
        <v>0</v>
      </c>
      <c r="K2670" s="2160" t="n"/>
    </row>
    <row r="2671" outlineLevel="2" ht="15.75" customHeight="1">
      <c r="A2671" s="1067" t="n">
        <v>1</v>
      </c>
      <c r="B2671" s="1067" t="inlineStr">
        <is>
          <t>Serviço</t>
        </is>
      </c>
      <c r="C2671" s="1067" t="inlineStr">
        <is>
          <t xml:space="preserve">Revestimento em Paredes, Marcenaria, incluindo chapa de 18mm, acessorios para instalação - Material e Mão de Obra </t>
        </is>
      </c>
      <c r="D2671" s="1067" t="inlineStr">
        <is>
          <t xml:space="preserve">Revestimento em Paredes, Marcenaria, incluindo chapa de 18mm, acessorios para instalação - Material e Mão de Obra </t>
        </is>
      </c>
      <c r="E2671" s="1068" t="inlineStr">
        <is>
          <t>M2</t>
        </is>
      </c>
      <c r="F2671" s="1067" t="n"/>
      <c r="G2671" s="1069">
        <f t="array" ref="G2671">IF(B2671="insumo",_xlfn.XLOOKUP($D2671,Insumos!$B$1:$B$996,Insumos!$D$1:$D$996),"")</f>
        <v/>
      </c>
      <c r="H2671" s="1069" t="n">
        <v>919.5</v>
      </c>
      <c r="I2671" s="2161" t="e">
        <v>#REF!</v>
      </c>
      <c r="J2671" s="2161" t="e">
        <v>#REF!</v>
      </c>
      <c r="K2671" s="2161" t="n"/>
    </row>
    <row r="2672" outlineLevel="3" ht="15.75" customHeight="1">
      <c r="A2672" s="10" t="n">
        <v>2</v>
      </c>
      <c r="B2672" s="10" t="inlineStr">
        <is>
          <t>Insumo</t>
        </is>
      </c>
      <c r="C2672" s="10" t="inlineStr">
        <is>
          <t xml:space="preserve">Revestimento em Paredes, Marcenaria, incluindo chapa de 18mm, acessorios para instalação - Material e Mão de Obra </t>
        </is>
      </c>
      <c r="D2672" s="10" t="inlineStr">
        <is>
          <t xml:space="preserve">Revestimento em Marcenaria, incluindo chapa de 18mm, acessorios para instalação - Material e Mão de Obra </t>
        </is>
      </c>
      <c r="E2672" s="11">
        <f t="array" ref="E2672">_xlfn.XLOOKUP(D2672,Insumos!B:B,Insumos!C:$C)</f>
        <v/>
      </c>
      <c r="F2672" s="14" t="n">
        <v>1.5</v>
      </c>
      <c r="G2672" s="92">
        <f t="array" ref="G2672">IF(B2672="insumo",_xlfn.XLOOKUP($D2672,Insumos!$B$1:$B$996,Insumos!$D$1:$D$996),"")</f>
        <v/>
      </c>
      <c r="H2672" s="92" t="n">
        <v>919.5</v>
      </c>
      <c r="I2672" s="2162" t="e">
        <v>#REF!</v>
      </c>
      <c r="J2672" s="2162" t="e">
        <v>#REF!</v>
      </c>
      <c r="K2672" s="2162" t="n"/>
    </row>
    <row r="2673" outlineLevel="2" ht="12.75" customHeight="1">
      <c r="A2673" s="1071" t="n">
        <v>1</v>
      </c>
      <c r="B2673" s="1071" t="inlineStr">
        <is>
          <t>Serviço</t>
        </is>
      </c>
      <c r="C2673" s="1071" t="inlineStr">
        <is>
          <t>Revestimento de Mdf em parede</t>
        </is>
      </c>
      <c r="D2673" s="1071" t="inlineStr">
        <is>
          <t>Revestimento de Mdf em parede</t>
        </is>
      </c>
      <c r="E2673" s="1072" t="inlineStr">
        <is>
          <t>M2</t>
        </is>
      </c>
      <c r="F2673" s="1071" t="n"/>
      <c r="G2673" s="1073">
        <f t="array" ref="G2673">IF(B2673="insumo",_xlfn.XLOOKUP($D2673,Insumos!$B$1:$B$996,Insumos!$D$1:$D$996),"")</f>
        <v/>
      </c>
      <c r="H2673" s="1073" t="n">
        <v>242</v>
      </c>
      <c r="I2673" s="2163" t="n">
        <v>0</v>
      </c>
      <c r="J2673" s="2163" t="n">
        <v>0</v>
      </c>
      <c r="K2673" s="2163" t="n"/>
    </row>
    <row r="2674" outlineLevel="3" ht="12.75" customHeight="1">
      <c r="A2674" s="82" t="n">
        <v>1</v>
      </c>
      <c r="B2674" s="82" t="inlineStr">
        <is>
          <t>Insumo</t>
        </is>
      </c>
      <c r="C2674" s="82" t="inlineStr">
        <is>
          <t>Revestimento de Mdf em parede</t>
        </is>
      </c>
      <c r="D2674" s="82" t="inlineStr">
        <is>
          <t>Revestimento de Mdf em parede</t>
        </is>
      </c>
      <c r="E2674" s="11">
        <f t="array" ref="E2674">_xlfn.XLOOKUP(D2674,Insumos!B:B,Insumos!C:$C)</f>
        <v/>
      </c>
      <c r="F2674" s="2164" t="n">
        <v>1.1</v>
      </c>
      <c r="G2674" s="92">
        <f t="array" ref="G2674">IF(B2674="insumo",_xlfn.XLOOKUP($D2674,Insumos!$B$1:$B$996,Insumos!$D$1:$D$996),"")</f>
        <v/>
      </c>
      <c r="H2674" s="92" t="n">
        <v>242</v>
      </c>
      <c r="I2674" s="2165" t="n">
        <v>0</v>
      </c>
      <c r="J2674" s="2165" t="n">
        <v>0</v>
      </c>
      <c r="K2674" s="2165" t="n"/>
    </row>
    <row r="2675" outlineLevel="1" ht="15.75" customHeight="1">
      <c r="A2675" s="1090" t="n">
        <v>1</v>
      </c>
      <c r="B2675" s="1090" t="inlineStr">
        <is>
          <t>Subetapa</t>
        </is>
      </c>
      <c r="C2675" s="1090" t="inlineStr">
        <is>
          <t>Revestimento de Mdf em parede</t>
        </is>
      </c>
      <c r="D2675" s="1090" t="inlineStr">
        <is>
          <t>PAPEL DE PAREDE</t>
        </is>
      </c>
      <c r="E2675" s="1091" t="n"/>
      <c r="F2675" s="2160" t="n"/>
      <c r="G2675" s="1091" t="n"/>
      <c r="H2675" s="1091" t="n">
        <v>0</v>
      </c>
      <c r="I2675" s="2160" t="n">
        <v>0</v>
      </c>
      <c r="J2675" s="2160" t="n">
        <v>0</v>
      </c>
      <c r="K2675" s="2160" t="n"/>
    </row>
    <row r="2676" outlineLevel="2" ht="15.75" customHeight="1">
      <c r="A2676" s="1067" t="n">
        <v>1</v>
      </c>
      <c r="B2676" s="1067" t="inlineStr">
        <is>
          <t>Serviço</t>
        </is>
      </c>
      <c r="C2676" s="1067" t="inlineStr">
        <is>
          <t xml:space="preserve">Revestimento em Paredes, Papel de parede, Degradê Laranja 114, acessorios para instalação - Material e Mão de Obra </t>
        </is>
      </c>
      <c r="D2676" s="1067" t="inlineStr">
        <is>
          <t xml:space="preserve">Revestimento em Paredes, Papel de parede, Degradê Laranja 114, acessorios para instalação - Material e Mão de Obra </t>
        </is>
      </c>
      <c r="E2676" s="1068" t="inlineStr">
        <is>
          <t>M2</t>
        </is>
      </c>
      <c r="F2676" s="1067" t="n"/>
      <c r="G2676" s="1069">
        <f t="array" ref="G2676">IF(B2676="insumo",_xlfn.XLOOKUP($D2676,Insumos!$B$1:$B$996,Insumos!$D$1:$D$996),"")</f>
        <v/>
      </c>
      <c r="H2676" s="1069" t="n">
        <v>286.603773584906</v>
      </c>
      <c r="I2676" s="2161" t="e">
        <v>#REF!</v>
      </c>
      <c r="J2676" s="2161" t="e">
        <v>#REF!</v>
      </c>
      <c r="K2676" s="2161" t="n"/>
    </row>
    <row r="2677" outlineLevel="3" ht="15.75" customHeight="1">
      <c r="A2677" s="10" t="n">
        <v>6</v>
      </c>
      <c r="B2677" s="10" t="inlineStr">
        <is>
          <t>Insumo</t>
        </is>
      </c>
      <c r="C2677" s="10" t="inlineStr">
        <is>
          <t xml:space="preserve">Revestimento em Paredes, Papel de parede, Degradê Laranja 114, acessorios para instalação - Material e Mão de Obra </t>
        </is>
      </c>
      <c r="D2677" s="10" t="inlineStr">
        <is>
          <t>Mão de obra aplicação de papel de parede em paredes</t>
        </is>
      </c>
      <c r="E2677" s="11">
        <f t="array" ref="E2677">_xlfn.XLOOKUP(D2677,Insumos!B:B,Insumos!C:$C)</f>
        <v/>
      </c>
      <c r="F2677" s="14" t="n">
        <v>1</v>
      </c>
      <c r="G2677" s="92">
        <f t="array" ref="G2677">IF(B2677="insumo",_xlfn.XLOOKUP($D2677,Insumos!$B$1:$B$996,Insumos!$D$1:$D$996),"")</f>
        <v/>
      </c>
      <c r="H2677" s="92" t="n">
        <v>50</v>
      </c>
      <c r="I2677" s="2162" t="e">
        <v>#REF!</v>
      </c>
      <c r="J2677" s="2162" t="e">
        <v>#REF!</v>
      </c>
      <c r="K2677" s="2162" t="n"/>
    </row>
    <row r="2678" outlineLevel="3" ht="15.75" customHeight="1">
      <c r="A2678" s="10" t="n">
        <v>1</v>
      </c>
      <c r="B2678" s="10" t="inlineStr">
        <is>
          <t>Insumo</t>
        </is>
      </c>
      <c r="C2678" s="10" t="inlineStr">
        <is>
          <t xml:space="preserve">Revestimento em Paredes, Papel de parede, Degradê Laranja 114, acessorios para instalação - Material e Mão de Obra </t>
        </is>
      </c>
      <c r="D2678" s="10" t="inlineStr">
        <is>
          <t>Revestimento em Paredes, Papel de parede, Degradê Laranja 114, acessorios para instalação - Material</t>
        </is>
      </c>
      <c r="E2678" s="11">
        <f t="array" ref="E2678">_xlfn.XLOOKUP(D2678,Insumos!B:B,Insumos!C:$C)</f>
        <v/>
      </c>
      <c r="F2678" s="14" t="n">
        <v>1.1</v>
      </c>
      <c r="G2678" s="92">
        <f t="array" ref="G2678">IF(B2678="insumo",_xlfn.XLOOKUP($D2678,Insumos!$B$1:$B$996,Insumos!$D$1:$D$996),"")</f>
        <v/>
      </c>
      <c r="H2678" s="92" t="n">
        <v>236.603773584906</v>
      </c>
      <c r="I2678" s="2162" t="e">
        <v>#REF!</v>
      </c>
      <c r="J2678" s="2162" t="e">
        <v>#REF!</v>
      </c>
      <c r="K2678" s="2162" t="n"/>
    </row>
    <row r="2679" outlineLevel="2" ht="15.75" customHeight="1">
      <c r="A2679" s="1067" t="n">
        <v>1</v>
      </c>
      <c r="B2679" s="1067" t="inlineStr">
        <is>
          <t>Serviço</t>
        </is>
      </c>
      <c r="C2679" s="1067" t="inlineStr">
        <is>
          <t xml:space="preserve">Revestimento em Paredes, Papel de parede,  Jeans Cinza 246, acessorios para instalação - Material e Mão de Obra </t>
        </is>
      </c>
      <c r="D2679" s="1067" t="inlineStr">
        <is>
          <t xml:space="preserve">Revestimento em Paredes, Papel de parede,  Jeans Cinza 246, acessorios para instalação - Material e Mão de Obra </t>
        </is>
      </c>
      <c r="E2679" s="1068" t="inlineStr">
        <is>
          <t>M2</t>
        </is>
      </c>
      <c r="F2679" s="1067" t="n"/>
      <c r="G2679" s="1069">
        <f t="array" ref="G2679">IF(B2679="insumo",_xlfn.XLOOKUP($D2679,Insumos!$B$1:$B$996,Insumos!$D$1:$D$996),"")</f>
        <v/>
      </c>
      <c r="H2679" s="1069" t="n">
        <v>268.616352201258</v>
      </c>
      <c r="I2679" s="2161" t="e">
        <v>#REF!</v>
      </c>
      <c r="J2679" s="2161" t="e">
        <v>#REF!</v>
      </c>
      <c r="K2679" s="2161" t="n"/>
    </row>
    <row r="2680" outlineLevel="3" ht="15.75" customHeight="1">
      <c r="A2680" s="10" t="n">
        <v>6</v>
      </c>
      <c r="B2680" s="10" t="inlineStr">
        <is>
          <t>Insumo</t>
        </is>
      </c>
      <c r="C2680" s="10" t="inlineStr">
        <is>
          <t xml:space="preserve">Revestimento em Paredes, Papel de parede,  Jeans Cinza 246, acessorios para instalação - Material e Mão de Obra </t>
        </is>
      </c>
      <c r="D2680" s="10" t="inlineStr">
        <is>
          <t>Mão de obra aplicação de papel de parede em paredes</t>
        </is>
      </c>
      <c r="E2680" s="11">
        <f t="array" ref="E2680">_xlfn.XLOOKUP(D2680,Insumos!B:B,Insumos!C:$C)</f>
        <v/>
      </c>
      <c r="F2680" s="14" t="n">
        <v>1</v>
      </c>
      <c r="G2680" s="92">
        <f t="array" ref="G2680">IF(B2680="insumo",_xlfn.XLOOKUP($D2680,Insumos!$B$1:$B$996,Insumos!$D$1:$D$996),"")</f>
        <v/>
      </c>
      <c r="H2680" s="92" t="n">
        <v>50</v>
      </c>
      <c r="I2680" s="2162" t="e">
        <v>#REF!</v>
      </c>
      <c r="J2680" s="2162" t="e">
        <v>#REF!</v>
      </c>
      <c r="K2680" s="2162" t="n"/>
    </row>
    <row r="2681" outlineLevel="3" ht="15.75" customHeight="1">
      <c r="A2681" s="10" t="n">
        <v>2</v>
      </c>
      <c r="B2681" s="10" t="inlineStr">
        <is>
          <t>Insumo</t>
        </is>
      </c>
      <c r="C2681" s="10" t="inlineStr">
        <is>
          <t xml:space="preserve">Revestimento em Paredes, Papel de parede,  Jeans Cinza 246, acessorios para instalação - Material e Mão de Obra </t>
        </is>
      </c>
      <c r="D2681" s="10" t="inlineStr">
        <is>
          <t>Revestimento em Paredes, Papel de parede,  Jeans Cinza 246, acessorios para instalação - Material</t>
        </is>
      </c>
      <c r="E2681" s="11">
        <f t="array" ref="E2681">_xlfn.XLOOKUP(D2681,Insumos!B:B,Insumos!C:$C)</f>
        <v/>
      </c>
      <c r="F2681" s="14" t="n">
        <v>1.1</v>
      </c>
      <c r="G2681" s="92">
        <f t="array" ref="G2681">IF(B2681="insumo",_xlfn.XLOOKUP($D2681,Insumos!$B$1:$B$996,Insumos!$D$1:$D$996),"")</f>
        <v/>
      </c>
      <c r="H2681" s="92" t="n">
        <v>218.616352201258</v>
      </c>
      <c r="I2681" s="2162" t="e">
        <v>#REF!</v>
      </c>
      <c r="J2681" s="2162" t="e">
        <v>#REF!</v>
      </c>
      <c r="K2681" s="2162" t="n"/>
    </row>
    <row r="2682" outlineLevel="2" ht="12.75" customHeight="1">
      <c r="A2682" s="1071" t="n">
        <v>1</v>
      </c>
      <c r="B2682" s="1071" t="inlineStr">
        <is>
          <t>Serviço</t>
        </is>
      </c>
      <c r="C2682" s="1067" t="inlineStr">
        <is>
          <t xml:space="preserve">Revestimento em Paredes, Papel de parede, Mata Atlântica Azul, acessorios para instalação - Material e Mão de Obra </t>
        </is>
      </c>
      <c r="D2682" s="1067" t="inlineStr">
        <is>
          <t xml:space="preserve">Revestimento em Paredes, Papel de parede, Mata Atlântica Azul, acessorios para instalação - Material e Mão de Obra </t>
        </is>
      </c>
      <c r="E2682" s="1072" t="inlineStr">
        <is>
          <t>M2</t>
        </is>
      </c>
      <c r="F2682" s="1071" t="n"/>
      <c r="G2682" s="1073">
        <f t="array" ref="G2682">IF(B2682="insumo",_xlfn.XLOOKUP($D2682,Insumos!$B$1:$B$996,Insumos!$D$1:$D$996),"")</f>
        <v/>
      </c>
      <c r="H2682" s="1073" t="n">
        <v>328.11320754717</v>
      </c>
      <c r="I2682" s="2163" t="e">
        <v>#REF!</v>
      </c>
      <c r="J2682" s="2163" t="e">
        <v>#REF!</v>
      </c>
      <c r="K2682" s="2163" t="n"/>
    </row>
    <row r="2683" outlineLevel="3" ht="15.75" customHeight="1">
      <c r="A2683" s="10" t="n">
        <v>6</v>
      </c>
      <c r="B2683" s="10" t="inlineStr">
        <is>
          <t>Insumo</t>
        </is>
      </c>
      <c r="C2683" s="10" t="inlineStr">
        <is>
          <t xml:space="preserve">Revestimento em Paredes, Papel de parede, Mata Atlântica Azul, acessorios para instalação - Material e Mão de Obra </t>
        </is>
      </c>
      <c r="D2683" s="10" t="inlineStr">
        <is>
          <t>Mão de obra aplicação de papel de parede em paredes</t>
        </is>
      </c>
      <c r="E2683" s="11">
        <f t="array" ref="E2683">_xlfn.XLOOKUP(D2683,Insumos!B:B,Insumos!C:$C)</f>
        <v/>
      </c>
      <c r="F2683" s="14" t="n">
        <v>1</v>
      </c>
      <c r="G2683" s="92">
        <f t="array" ref="G2683">IF(B2683="insumo",_xlfn.XLOOKUP($D2683,Insumos!$B$1:$B$996,Insumos!$D$1:$D$996),"")</f>
        <v/>
      </c>
      <c r="H2683" s="92" t="n">
        <v>50</v>
      </c>
      <c r="I2683" s="2162" t="e">
        <v>#REF!</v>
      </c>
      <c r="J2683" s="2162" t="e">
        <v>#REF!</v>
      </c>
      <c r="K2683" s="2162" t="n"/>
    </row>
    <row r="2684" outlineLevel="3" ht="12.75" customHeight="1">
      <c r="A2684" s="82" t="n">
        <v>1</v>
      </c>
      <c r="B2684" s="82" t="inlineStr">
        <is>
          <t>Insumo</t>
        </is>
      </c>
      <c r="C2684" s="10" t="inlineStr">
        <is>
          <t xml:space="preserve">Revestimento em Paredes, Papel de parede, Mata Atlântica Azul, acessorios para instalação - Material e Mão de Obra </t>
        </is>
      </c>
      <c r="D2684" s="10" t="inlineStr">
        <is>
          <t>Revestimento em Paredes, Papel de parede, Mata Atlântica Azul, acessorios para instalação - Material</t>
        </is>
      </c>
      <c r="E2684" s="11">
        <f t="array" ref="E2684">_xlfn.XLOOKUP(D2684,Insumos!B:B,Insumos!C:$C)</f>
        <v/>
      </c>
      <c r="F2684" s="2164" t="n">
        <v>1.1</v>
      </c>
      <c r="G2684" s="92">
        <f t="array" ref="G2684">IF(B2684="insumo",_xlfn.XLOOKUP($D2684,Insumos!$B$1:$B$996,Insumos!$D$1:$D$996),"")</f>
        <v/>
      </c>
      <c r="H2684" s="92" t="n">
        <v>278.11320754717</v>
      </c>
      <c r="I2684" s="2165" t="e">
        <v>#REF!</v>
      </c>
      <c r="J2684" s="2165" t="e">
        <v>#REF!</v>
      </c>
      <c r="K2684" s="2165" t="n"/>
    </row>
    <row r="2685" outlineLevel="2" ht="12.75" customHeight="1">
      <c r="A2685" s="1071" t="n">
        <v>1</v>
      </c>
      <c r="B2685" s="1071" t="inlineStr">
        <is>
          <t>Serviço</t>
        </is>
      </c>
      <c r="C2685" s="1067" t="inlineStr">
        <is>
          <t xml:space="preserve">Revestimento em Paredes, Papel de parede, Paisagem Suave Escuro, acessorios para instalação - Material e Mão de Obra </t>
        </is>
      </c>
      <c r="D2685" s="1067" t="inlineStr">
        <is>
          <t xml:space="preserve">Revestimento em Paredes, Papel de parede, Paisagem Suave Escuro, acessorios para instalação - Material e Mão de Obra </t>
        </is>
      </c>
      <c r="E2685" s="1072" t="inlineStr">
        <is>
          <t>M2</t>
        </is>
      </c>
      <c r="F2685" s="1071" t="n"/>
      <c r="G2685" s="1073">
        <f t="array" ref="G2685">IF(B2685="insumo",_xlfn.XLOOKUP($D2685,Insumos!$B$1:$B$996,Insumos!$D$1:$D$996),"")</f>
        <v/>
      </c>
      <c r="H2685" s="1073" t="n">
        <v>328.014375561545</v>
      </c>
      <c r="I2685" s="2163" t="e">
        <v>#REF!</v>
      </c>
      <c r="J2685" s="2163" t="e">
        <v>#REF!</v>
      </c>
      <c r="K2685" s="2163" t="n"/>
    </row>
    <row r="2686" outlineLevel="3" ht="15.75" customHeight="1">
      <c r="A2686" s="10" t="n">
        <v>6</v>
      </c>
      <c r="B2686" s="10" t="inlineStr">
        <is>
          <t>Insumo</t>
        </is>
      </c>
      <c r="C2686" s="10" t="inlineStr">
        <is>
          <t xml:space="preserve">Revestimento em Paredes, Papel de parede, Paisagem Suave Escuro, acessorios para instalação - Material e Mão de Obra </t>
        </is>
      </c>
      <c r="D2686" s="10" t="inlineStr">
        <is>
          <t>Mão de obra aplicação de papel de parede em paredes</t>
        </is>
      </c>
      <c r="E2686" s="11">
        <f t="array" ref="E2686">_xlfn.XLOOKUP(D2686,Insumos!B:B,Insumos!C:$C)</f>
        <v/>
      </c>
      <c r="F2686" s="14" t="n">
        <v>1</v>
      </c>
      <c r="G2686" s="92">
        <f t="array" ref="G2686">IF(B2686="insumo",_xlfn.XLOOKUP($D2686,Insumos!$B$1:$B$996,Insumos!$D$1:$D$996),"")</f>
        <v/>
      </c>
      <c r="H2686" s="92" t="n">
        <v>50</v>
      </c>
      <c r="I2686" s="2162" t="e">
        <v>#REF!</v>
      </c>
      <c r="J2686" s="2162" t="e">
        <v>#REF!</v>
      </c>
      <c r="K2686" s="2162" t="n"/>
    </row>
    <row r="2687" outlineLevel="3" ht="12.75" customHeight="1">
      <c r="A2687" s="82" t="n">
        <v>1</v>
      </c>
      <c r="B2687" s="82" t="inlineStr">
        <is>
          <t>Insumo</t>
        </is>
      </c>
      <c r="C2687" s="10" t="inlineStr">
        <is>
          <t xml:space="preserve">Revestimento em Paredes, Papel de parede, Paisagem Suave Escuro, acessorios para instalação - Material e Mão de Obra </t>
        </is>
      </c>
      <c r="D2687" s="10" t="inlineStr">
        <is>
          <t>Revestimento em Paredes, Papel de parede, Paisagem Suave Escuro, acessorios para instalação - Material</t>
        </is>
      </c>
      <c r="E2687" s="11">
        <f t="array" ref="E2687">_xlfn.XLOOKUP(D2687,Insumos!B:B,Insumos!C:$C)</f>
        <v/>
      </c>
      <c r="F2687" s="2164" t="n">
        <v>1.1</v>
      </c>
      <c r="G2687" s="92">
        <f t="array" ref="G2687">IF(B2687="insumo",_xlfn.XLOOKUP($D2687,Insumos!$B$1:$B$996,Insumos!$D$1:$D$996),"")</f>
        <v/>
      </c>
      <c r="H2687" s="92" t="n">
        <v>278.014375561545</v>
      </c>
      <c r="I2687" s="2165" t="e">
        <v>#REF!</v>
      </c>
      <c r="J2687" s="2165" t="e">
        <v>#REF!</v>
      </c>
      <c r="K2687" s="2165" t="n"/>
    </row>
    <row r="2688" outlineLevel="2" ht="12.75" customHeight="1">
      <c r="A2688" s="1071" t="n">
        <v>1</v>
      </c>
      <c r="B2688" s="1071" t="inlineStr">
        <is>
          <t>Serviço</t>
        </is>
      </c>
      <c r="C2688" s="1067" t="inlineStr">
        <is>
          <t xml:space="preserve">Revestimento em Paredes, Papel de parede, Solar, acessorios para instalação - Material e Mão de Obra </t>
        </is>
      </c>
      <c r="D2688" s="1067" t="inlineStr">
        <is>
          <t xml:space="preserve">Revestimento em Paredes, Papel de parede, Solar, acessorios para instalação - Material e Mão de Obra </t>
        </is>
      </c>
      <c r="E2688" s="1072" t="inlineStr">
        <is>
          <t>M2</t>
        </is>
      </c>
      <c r="F2688" s="1071" t="n"/>
      <c r="G2688" s="1073">
        <f t="array" ref="G2688">IF(B2688="insumo",_xlfn.XLOOKUP($D2688,Insumos!$B$1:$B$996,Insumos!$D$1:$D$996),"")</f>
        <v/>
      </c>
      <c r="H2688" s="1073" t="n">
        <v>346.763803680982</v>
      </c>
      <c r="I2688" s="2163" t="e">
        <v>#REF!</v>
      </c>
      <c r="J2688" s="2163" t="e">
        <v>#REF!</v>
      </c>
      <c r="K2688" s="2163" t="n"/>
    </row>
    <row r="2689" outlineLevel="3" ht="15.75" customHeight="1">
      <c r="A2689" s="10" t="n">
        <v>6</v>
      </c>
      <c r="B2689" s="10" t="inlineStr">
        <is>
          <t>Insumo</t>
        </is>
      </c>
      <c r="C2689" s="10" t="inlineStr">
        <is>
          <t xml:space="preserve">Revestimento em Paredes, Papel de parede, Solar, acessorios para instalação - Material e Mão de Obra </t>
        </is>
      </c>
      <c r="D2689" s="10" t="inlineStr">
        <is>
          <t>Mão de obra aplicação de papel de parede em paredes</t>
        </is>
      </c>
      <c r="E2689" s="11">
        <f t="array" ref="E2689">_xlfn.XLOOKUP(D2689,Insumos!B:B,Insumos!C:$C)</f>
        <v/>
      </c>
      <c r="F2689" s="14" t="n">
        <v>1</v>
      </c>
      <c r="G2689" s="92">
        <f t="array" ref="G2689">IF(B2689="insumo",_xlfn.XLOOKUP($D2689,Insumos!$B$1:$B$996,Insumos!$D$1:$D$996),"")</f>
        <v/>
      </c>
      <c r="H2689" s="92" t="n">
        <v>50</v>
      </c>
      <c r="I2689" s="2162" t="e">
        <v>#REF!</v>
      </c>
      <c r="J2689" s="2162" t="e">
        <v>#REF!</v>
      </c>
      <c r="K2689" s="2162" t="n"/>
    </row>
    <row r="2690" outlineLevel="3" ht="12.75" customHeight="1">
      <c r="A2690" s="82" t="n">
        <v>1</v>
      </c>
      <c r="B2690" s="82" t="inlineStr">
        <is>
          <t>Insumo</t>
        </is>
      </c>
      <c r="C2690" s="10" t="inlineStr">
        <is>
          <t xml:space="preserve">Revestimento em Paredes, Papel de parede, Solar, acessorios para instalação - Material e Mão de Obra </t>
        </is>
      </c>
      <c r="D2690" s="10" t="inlineStr">
        <is>
          <t>Revestimento em Paredes, Papel de parede, Solar, acessorios para instalação - Material</t>
        </is>
      </c>
      <c r="E2690" s="11">
        <f t="array" ref="E2690">_xlfn.XLOOKUP(D2690,Insumos!B:B,Insumos!C:$C)</f>
        <v/>
      </c>
      <c r="F2690" s="2164" t="n">
        <v>1.1</v>
      </c>
      <c r="G2690" s="92">
        <f t="array" ref="G2690">IF(B2690="insumo",_xlfn.XLOOKUP($D2690,Insumos!$B$1:$B$996,Insumos!$D$1:$D$996),"")</f>
        <v/>
      </c>
      <c r="H2690" s="92" t="n">
        <v>296.763803680982</v>
      </c>
      <c r="I2690" s="2165" t="e">
        <v>#REF!</v>
      </c>
      <c r="J2690" s="2165" t="e">
        <v>#REF!</v>
      </c>
      <c r="K2690" s="2165" t="n"/>
    </row>
    <row r="2691" outlineLevel="1" ht="15.75" customHeight="1">
      <c r="A2691" s="1090" t="n">
        <v>1</v>
      </c>
      <c r="B2691" s="1090" t="inlineStr">
        <is>
          <t>Subetapa</t>
        </is>
      </c>
      <c r="C2691" s="1090" t="inlineStr">
        <is>
          <t xml:space="preserve">Revestimento em Paredes, Papel de parede, Solar, acessorios para instalação - Material e Mão de Obra </t>
        </is>
      </c>
      <c r="D2691" s="1090" t="inlineStr">
        <is>
          <t>PEITORIL REQUADRO NICHO PAREDE</t>
        </is>
      </c>
      <c r="E2691" s="1091" t="n"/>
      <c r="F2691" s="2160" t="n"/>
      <c r="G2691" s="1091" t="n"/>
      <c r="H2691" s="1091" t="n">
        <v>0</v>
      </c>
      <c r="I2691" s="2160" t="n">
        <v>0</v>
      </c>
      <c r="J2691" s="2160" t="n">
        <v>0</v>
      </c>
      <c r="K2691" s="2160" t="n"/>
    </row>
    <row r="2692" outlineLevel="2" ht="15.75" customHeight="1">
      <c r="A2692" s="1067" t="n">
        <v>1</v>
      </c>
      <c r="B2692" s="1067" t="inlineStr">
        <is>
          <t>Serviço</t>
        </is>
      </c>
      <c r="C2692" s="1067" t="inlineStr">
        <is>
          <t>Pingadeira em marmore cinza, esp. 2cm</t>
        </is>
      </c>
      <c r="D2692" s="1067" t="inlineStr">
        <is>
          <t>Pingadeira em marmore cinza, esp. 2cm</t>
        </is>
      </c>
      <c r="E2692" s="1068" t="inlineStr">
        <is>
          <t>M2</t>
        </is>
      </c>
      <c r="F2692" s="1067" t="n"/>
      <c r="G2692" s="1069">
        <f t="array" ref="G2692">IF(B2692="insumo",_xlfn.XLOOKUP($D2692,Insumos!$B$1:$B$996,Insumos!$D$1:$D$996),"")</f>
        <v/>
      </c>
      <c r="H2692" s="1069" t="n">
        <v>513.1547</v>
      </c>
      <c r="I2692" s="2161" t="n">
        <v>0</v>
      </c>
      <c r="J2692" s="2161" t="n">
        <v>0</v>
      </c>
      <c r="K2692" s="2161" t="n"/>
    </row>
    <row r="2693" outlineLevel="3" ht="15.75" customHeight="1">
      <c r="A2693" s="10" t="n">
        <v>3</v>
      </c>
      <c r="B2693" s="10" t="inlineStr">
        <is>
          <t>Insumo</t>
        </is>
      </c>
      <c r="C2693" s="10" t="inlineStr">
        <is>
          <t>Pingadeira em marmore cinza, esp. 2cm</t>
        </is>
      </c>
      <c r="D2693" s="10" t="inlineStr">
        <is>
          <t>Marmore Cinza</t>
        </is>
      </c>
      <c r="E2693" s="11">
        <f t="array" ref="E2693">_xlfn.XLOOKUP(D2693,Insumos!B:B,Insumos!C:$C)</f>
        <v/>
      </c>
      <c r="F2693" s="14" t="n">
        <v>1.05</v>
      </c>
      <c r="G2693" s="92">
        <f t="array" ref="G2693">IF(B2693="insumo",_xlfn.XLOOKUP($D2693,Insumos!$B$1:$B$996,Insumos!$D$1:$D$996),"")</f>
        <v/>
      </c>
      <c r="H2693" s="92" t="n">
        <v>504</v>
      </c>
      <c r="I2693" s="2162" t="n">
        <v>0</v>
      </c>
      <c r="J2693" s="2162" t="n">
        <v>0</v>
      </c>
      <c r="K2693" s="2162" t="n"/>
    </row>
    <row r="2694" outlineLevel="3" ht="15.75" customHeight="1">
      <c r="A2694" s="10" t="n">
        <v>191</v>
      </c>
      <c r="B2694" s="10" t="inlineStr">
        <is>
          <t>Insumo</t>
        </is>
      </c>
      <c r="C2694" s="10" t="inlineStr">
        <is>
          <t>Pingadeira em marmore cinza, esp. 2cm</t>
        </is>
      </c>
      <c r="D2694" s="10" t="inlineStr">
        <is>
          <t>Argamassa ACIII</t>
        </is>
      </c>
      <c r="E2694" s="11">
        <f t="array" ref="E2694">_xlfn.XLOOKUP(D2694,Insumos!B:B,Insumos!C:$C)</f>
        <v/>
      </c>
      <c r="F2694" s="14" t="n">
        <v>8.6</v>
      </c>
      <c r="G2694" s="92">
        <f t="array" ref="G2694">IF(B2694="insumo",_xlfn.XLOOKUP($D2694,Insumos!$B$1:$B$996,Insumos!$D$1:$D$996),"")</f>
        <v/>
      </c>
      <c r="H2694" s="92" t="n">
        <v>9.1547</v>
      </c>
      <c r="I2694" s="2162" t="n">
        <v>0</v>
      </c>
      <c r="J2694" s="2162" t="n">
        <v>0</v>
      </c>
      <c r="K2694" s="2162" t="n"/>
    </row>
    <row r="2695" outlineLevel="2" ht="15.75" customHeight="1">
      <c r="A2695" s="1067" t="n">
        <v>1</v>
      </c>
      <c r="B2695" s="1067" t="inlineStr">
        <is>
          <t>Serviço</t>
        </is>
      </c>
      <c r="C2695" s="1067" t="inlineStr">
        <is>
          <t>Peitoril em Granito, Branco Ceara, esp. 2cm</t>
        </is>
      </c>
      <c r="D2695" s="1067" t="inlineStr">
        <is>
          <t>Peitoril em Granito, Branco Ceara, esp. 2cm</t>
        </is>
      </c>
      <c r="E2695" s="1068" t="inlineStr">
        <is>
          <t>M2</t>
        </is>
      </c>
      <c r="F2695" s="1067" t="n"/>
      <c r="G2695" s="1069">
        <f t="array" ref="G2695">IF(B2695="insumo",_xlfn.XLOOKUP($D2695,Insumos!$B$1:$B$996,Insumos!$D$1:$D$996),"")</f>
        <v/>
      </c>
      <c r="H2695" s="1069" t="n">
        <v>692.0805</v>
      </c>
      <c r="I2695" s="2161" t="n">
        <v>0</v>
      </c>
      <c r="J2695" s="2161" t="n">
        <v>0</v>
      </c>
      <c r="K2695" s="2161" t="n"/>
    </row>
    <row r="2696" outlineLevel="3" ht="15.75" customHeight="1">
      <c r="A2696" s="10" t="n">
        <v>2</v>
      </c>
      <c r="B2696" s="10" t="inlineStr">
        <is>
          <t>Insumo</t>
        </is>
      </c>
      <c r="C2696" s="10" t="inlineStr">
        <is>
          <t>Peitoril em Granito, Branco Ceara, esp. 2cm</t>
        </is>
      </c>
      <c r="D2696" s="10" t="inlineStr">
        <is>
          <t>Granito branco Ceará</t>
        </is>
      </c>
      <c r="E2696" s="11">
        <f t="array" ref="E2696">_xlfn.XLOOKUP(D2696,Insumos!B:B,Insumos!C:$C)</f>
        <v/>
      </c>
      <c r="F2696" s="14" t="n">
        <v>1.05</v>
      </c>
      <c r="G2696" s="92">
        <f t="array" ref="G2696">IF(B2696="insumo",_xlfn.XLOOKUP($D2696,Insumos!$B$1:$B$996,Insumos!$D$1:$D$996),"")</f>
        <v/>
      </c>
      <c r="H2696" s="92" t="n">
        <v>682.5</v>
      </c>
      <c r="I2696" s="2162" t="n">
        <v>0</v>
      </c>
      <c r="J2696" s="2162" t="n">
        <v>0</v>
      </c>
      <c r="K2696" s="2162" t="n"/>
    </row>
    <row r="2697" outlineLevel="3" ht="15.75" customHeight="1">
      <c r="A2697" s="10" t="n">
        <v>191</v>
      </c>
      <c r="B2697" s="10" t="inlineStr">
        <is>
          <t>Insumo</t>
        </is>
      </c>
      <c r="C2697" s="10" t="inlineStr">
        <is>
          <t>Peitoril em Granito, Branco Ceara, esp. 2cm</t>
        </is>
      </c>
      <c r="D2697" s="10" t="inlineStr">
        <is>
          <t>Argamassa ACIII</t>
        </is>
      </c>
      <c r="E2697" s="11">
        <f t="array" ref="E2697">_xlfn.XLOOKUP(D2697,Insumos!B:B,Insumos!C:$C)</f>
        <v/>
      </c>
      <c r="F2697" s="14">
        <f>9</f>
        <v/>
      </c>
      <c r="G2697" s="92">
        <f t="array" ref="G2697">IF(B2697="insumo",_xlfn.XLOOKUP($D2697,Insumos!$B$1:$B$996,Insumos!$D$1:$D$996),"")</f>
        <v/>
      </c>
      <c r="H2697" s="92" t="n">
        <v>9.580500000000001</v>
      </c>
      <c r="I2697" s="2162" t="n">
        <v>0</v>
      </c>
      <c r="J2697" s="2162" t="n">
        <v>0</v>
      </c>
      <c r="K2697" s="2162" t="n"/>
    </row>
    <row r="2698" outlineLevel="2" ht="15.75" customHeight="1">
      <c r="A2698" s="1067" t="n">
        <v>1</v>
      </c>
      <c r="B2698" s="1067" t="inlineStr">
        <is>
          <t>Serviço</t>
        </is>
      </c>
      <c r="C2698" s="1067" t="inlineStr">
        <is>
          <t>Peitoril em Granito, esp. 2cm</t>
        </is>
      </c>
      <c r="D2698" s="1067" t="inlineStr">
        <is>
          <t>Peitoril em Granito, esp. 2cm</t>
        </is>
      </c>
      <c r="E2698" s="1068" t="inlineStr">
        <is>
          <t>M</t>
        </is>
      </c>
      <c r="F2698" s="1067" t="n"/>
      <c r="G2698" s="1069">
        <f t="array" ref="G2698">IF(B2698="insumo",_xlfn.XLOOKUP($D2698,Insumos!$B$1:$B$996,Insumos!$D$1:$D$996),"")</f>
        <v/>
      </c>
      <c r="H2698" s="1069" t="n">
        <v>205.98615</v>
      </c>
      <c r="I2698" s="2161" t="n">
        <v>0</v>
      </c>
      <c r="J2698" s="2161" t="n">
        <v>0</v>
      </c>
      <c r="K2698" s="2161" t="n"/>
    </row>
    <row r="2699" outlineLevel="3" ht="15.75" customHeight="1">
      <c r="A2699" s="10" t="n">
        <v>3</v>
      </c>
      <c r="B2699" s="10" t="inlineStr">
        <is>
          <t>Insumo</t>
        </is>
      </c>
      <c r="C2699" s="10" t="inlineStr">
        <is>
          <t>Peitoril em Granito, esp. 2cm</t>
        </is>
      </c>
      <c r="D2699" s="10" t="inlineStr">
        <is>
          <t xml:space="preserve">Granito Comercial </t>
        </is>
      </c>
      <c r="E2699" s="11">
        <f t="array" ref="E2699">_xlfn.XLOOKUP(D2699,Insumos!B:B,Insumos!C:$C)</f>
        <v/>
      </c>
      <c r="F2699" s="14">
        <f>0.3*1.0416</f>
        <v/>
      </c>
      <c r="G2699" s="92">
        <f t="array" ref="G2699">IF(B2699="insumo",_xlfn.XLOOKUP($D2699,Insumos!$B$1:$B$996,Insumos!$D$1:$D$996),"")</f>
        <v/>
      </c>
      <c r="H2699" s="92" t="n">
        <v>203.112</v>
      </c>
      <c r="I2699" s="2162" t="n">
        <v>0</v>
      </c>
      <c r="J2699" s="2162" t="n">
        <v>0</v>
      </c>
      <c r="K2699" s="2162" t="n"/>
    </row>
    <row r="2700" outlineLevel="3" ht="15.75" customHeight="1">
      <c r="A2700" s="10" t="n">
        <v>191</v>
      </c>
      <c r="B2700" s="10" t="inlineStr">
        <is>
          <t>Insumo</t>
        </is>
      </c>
      <c r="C2700" s="10" t="inlineStr">
        <is>
          <t>Peitoril em Granito, esp. 2cm</t>
        </is>
      </c>
      <c r="D2700" s="10" t="inlineStr">
        <is>
          <t>Argamassa ACIII</t>
        </is>
      </c>
      <c r="E2700" s="11">
        <f t="array" ref="E2700">_xlfn.XLOOKUP(D2700,Insumos!B:B,Insumos!C:$C)</f>
        <v/>
      </c>
      <c r="F2700" s="14">
        <f>9*0.3</f>
        <v/>
      </c>
      <c r="G2700" s="92">
        <f t="array" ref="G2700">IF(B2700="insumo",_xlfn.XLOOKUP($D2700,Insumos!$B$1:$B$996,Insumos!$D$1:$D$996),"")</f>
        <v/>
      </c>
      <c r="H2700" s="92" t="n">
        <v>2.87415</v>
      </c>
      <c r="I2700" s="2162" t="n">
        <v>0</v>
      </c>
      <c r="J2700" s="2162" t="n">
        <v>0</v>
      </c>
      <c r="K2700" s="2162" t="n"/>
    </row>
    <row r="2701" outlineLevel="2" ht="15.75" customHeight="1">
      <c r="A2701" s="1067" t="n">
        <v>1</v>
      </c>
      <c r="B2701" s="1067" t="inlineStr">
        <is>
          <t>Serviço</t>
        </is>
      </c>
      <c r="C2701" s="1067" t="inlineStr">
        <is>
          <t>Peitoril em Mármore Travertino Romano,  esp. 2cm</t>
        </is>
      </c>
      <c r="D2701" s="1067" t="inlineStr">
        <is>
          <t>Peitoril em Mármore Travertino Romano,  esp. 2cm</t>
        </is>
      </c>
      <c r="E2701" s="1068" t="inlineStr">
        <is>
          <t>M2</t>
        </is>
      </c>
      <c r="F2701" s="1067" t="n"/>
      <c r="G2701" s="1069">
        <f t="array" ref="G2701">IF(B2701="insumo",_xlfn.XLOOKUP($D2701,Insumos!$B$1:$B$996,Insumos!$D$1:$D$996),"")</f>
        <v/>
      </c>
      <c r="H2701" s="1069" t="n">
        <v>1374.1547</v>
      </c>
      <c r="I2701" s="2161" t="e">
        <v>#REF!</v>
      </c>
      <c r="J2701" s="2161" t="e">
        <v>#REF!</v>
      </c>
      <c r="K2701" s="2161" t="n"/>
    </row>
    <row r="2702" outlineLevel="3" ht="15.75" customHeight="1">
      <c r="A2702" s="10" t="n">
        <v>5</v>
      </c>
      <c r="B2702" s="10" t="inlineStr">
        <is>
          <t>Insumo</t>
        </is>
      </c>
      <c r="C2702" s="10" t="inlineStr">
        <is>
          <t>Peitoril em Mármore Travertino Romano,  esp. 2cm</t>
        </is>
      </c>
      <c r="D2702" s="10" t="inlineStr">
        <is>
          <t>Mármore Travertino Romano</t>
        </is>
      </c>
      <c r="E2702" s="11">
        <f t="array" ref="E2702">_xlfn.XLOOKUP(D2702,Insumos!B:B,Insumos!C:$C)</f>
        <v/>
      </c>
      <c r="F2702" s="14" t="n">
        <v>1.05</v>
      </c>
      <c r="G2702" s="92">
        <f t="array" ref="G2702">IF(B2702="insumo",_xlfn.XLOOKUP($D2702,Insumos!$B$1:$B$996,Insumos!$D$1:$D$996),"")</f>
        <v/>
      </c>
      <c r="H2702" s="92" t="n">
        <v>1365</v>
      </c>
      <c r="I2702" s="2162" t="e">
        <v>#REF!</v>
      </c>
      <c r="J2702" s="2162" t="e">
        <v>#REF!</v>
      </c>
      <c r="K2702" s="2162" t="n"/>
    </row>
    <row r="2703" outlineLevel="3" ht="15.75" customHeight="1">
      <c r="A2703" s="10" t="n">
        <v>191</v>
      </c>
      <c r="B2703" s="10" t="inlineStr">
        <is>
          <t>Insumo</t>
        </is>
      </c>
      <c r="C2703" s="10" t="inlineStr">
        <is>
          <t>Peitoril em Mármore Travertino Romano,  esp. 2cm</t>
        </is>
      </c>
      <c r="D2703" s="10" t="inlineStr">
        <is>
          <t>Argamassa ACIII</t>
        </is>
      </c>
      <c r="E2703" s="11">
        <f t="array" ref="E2703">_xlfn.XLOOKUP(D2703,Insumos!B:B,Insumos!C:$C)</f>
        <v/>
      </c>
      <c r="F2703" s="14" t="n">
        <v>8.6</v>
      </c>
      <c r="G2703" s="92">
        <f t="array" ref="G2703">IF(B2703="insumo",_xlfn.XLOOKUP($D2703,Insumos!$B$1:$B$996,Insumos!$D$1:$D$996),"")</f>
        <v/>
      </c>
      <c r="H2703" s="92" t="n">
        <v>9.1547</v>
      </c>
      <c r="I2703" s="2162" t="e">
        <v>#REF!</v>
      </c>
      <c r="J2703" s="2162" t="e">
        <v>#REF!</v>
      </c>
      <c r="K2703" s="2162" t="n"/>
    </row>
    <row r="2704" outlineLevel="2" ht="15.75" customHeight="1">
      <c r="A2704" s="1067" t="n">
        <v>1</v>
      </c>
      <c r="B2704" s="1067" t="inlineStr">
        <is>
          <t>Serviço</t>
        </is>
      </c>
      <c r="C2704" s="1067" t="inlineStr">
        <is>
          <t>Peitoril em pedra natural,  esp. 2cm</t>
        </is>
      </c>
      <c r="D2704" s="1067" t="inlineStr">
        <is>
          <t>Peitoril em pedra natural,  esp. 2cm</t>
        </is>
      </c>
      <c r="E2704" s="1068" t="inlineStr">
        <is>
          <t>M2</t>
        </is>
      </c>
      <c r="F2704" s="1067" t="n"/>
      <c r="G2704" s="1069">
        <f t="array" ref="G2704">IF(B2704="insumo",_xlfn.XLOOKUP($D2704,Insumos!$B$1:$B$996,Insumos!$D$1:$D$996),"")</f>
        <v/>
      </c>
      <c r="H2704" s="1069" t="n">
        <v>849.1547</v>
      </c>
      <c r="I2704" s="2161" t="e">
        <v>#REF!</v>
      </c>
      <c r="J2704" s="2161" t="e">
        <v>#REF!</v>
      </c>
      <c r="K2704" s="2161" t="n"/>
    </row>
    <row r="2705" outlineLevel="3" ht="15.75" customHeight="1">
      <c r="A2705" s="10" t="n">
        <v>10</v>
      </c>
      <c r="B2705" s="10" t="inlineStr">
        <is>
          <t>Insumo</t>
        </is>
      </c>
      <c r="C2705" s="10" t="inlineStr">
        <is>
          <t>Peitoril em pedra natural,  esp. 2cm</t>
        </is>
      </c>
      <c r="D2705" s="10" t="inlineStr">
        <is>
          <t>Pedra Natural  para Revestimento</t>
        </is>
      </c>
      <c r="E2705" s="11">
        <f t="array" ref="E2705">_xlfn.XLOOKUP(D2705,Insumos!B:B,Insumos!C:$C)</f>
        <v/>
      </c>
      <c r="F2705" s="14" t="n">
        <v>1.05</v>
      </c>
      <c r="G2705" s="92">
        <f t="array" ref="G2705">IF(B2705="insumo",_xlfn.XLOOKUP($D2705,Insumos!$B$1:$B$996,Insumos!$D$1:$D$996),"")</f>
        <v/>
      </c>
      <c r="H2705" s="92" t="n">
        <v>840</v>
      </c>
      <c r="I2705" s="2162" t="e">
        <v>#REF!</v>
      </c>
      <c r="J2705" s="2162" t="e">
        <v>#REF!</v>
      </c>
      <c r="K2705" s="2162" t="n"/>
    </row>
    <row r="2706" outlineLevel="3" ht="15.75" customHeight="1">
      <c r="A2706" s="10" t="n">
        <v>191</v>
      </c>
      <c r="B2706" s="10" t="inlineStr">
        <is>
          <t>Insumo</t>
        </is>
      </c>
      <c r="C2706" s="10" t="inlineStr">
        <is>
          <t>Peitoril em pedra natural,  esp. 2cm</t>
        </is>
      </c>
      <c r="D2706" s="10" t="inlineStr">
        <is>
          <t>Argamassa ACIII</t>
        </is>
      </c>
      <c r="E2706" s="11">
        <f t="array" ref="E2706">_xlfn.XLOOKUP(D2706,Insumos!B:B,Insumos!C:$C)</f>
        <v/>
      </c>
      <c r="F2706" s="14" t="n">
        <v>8.6</v>
      </c>
      <c r="G2706" s="92">
        <f t="array" ref="G2706">IF(B2706="insumo",_xlfn.XLOOKUP($D2706,Insumos!$B$1:$B$996,Insumos!$D$1:$D$996),"")</f>
        <v/>
      </c>
      <c r="H2706" s="92" t="n">
        <v>9.1547</v>
      </c>
      <c r="I2706" s="2162" t="e">
        <v>#REF!</v>
      </c>
      <c r="J2706" s="2162" t="e">
        <v>#REF!</v>
      </c>
      <c r="K2706" s="2162" t="n"/>
    </row>
    <row r="2707" outlineLevel="2" ht="15.75" customHeight="1">
      <c r="A2707" s="1067" t="n">
        <v>1</v>
      </c>
      <c r="B2707" s="1067" t="inlineStr">
        <is>
          <t>Serviço</t>
        </is>
      </c>
      <c r="C2707" s="1067" t="inlineStr">
        <is>
          <t>Requadro de portas dos Elevadores Granito,Largura de 20cm</t>
        </is>
      </c>
      <c r="D2707" s="1067" t="inlineStr">
        <is>
          <t>Requadro de portas dos Elevadores Granito,Largura de 20cm</t>
        </is>
      </c>
      <c r="E2707" s="1068" t="inlineStr">
        <is>
          <t>M</t>
        </is>
      </c>
      <c r="F2707" s="1067" t="n"/>
      <c r="G2707" s="1069">
        <f t="array" ref="G2707">IF(B2707="insumo",_xlfn.XLOOKUP($D2707,Insumos!$B$1:$B$996,Insumos!$D$1:$D$996),"")</f>
        <v/>
      </c>
      <c r="H2707" s="1069" t="n">
        <v>205.98615</v>
      </c>
      <c r="I2707" s="2161" t="n">
        <v>0</v>
      </c>
      <c r="J2707" s="2161" t="n">
        <v>0</v>
      </c>
      <c r="K2707" s="2161" t="n"/>
    </row>
    <row r="2708" outlineLevel="3" ht="15.75" customHeight="1">
      <c r="A2708" s="10" t="n">
        <v>3</v>
      </c>
      <c r="B2708" s="10" t="inlineStr">
        <is>
          <t>Insumo</t>
        </is>
      </c>
      <c r="C2708" s="10" t="inlineStr">
        <is>
          <t>Requadro de portas dos Elevadores Granito,Largura de 20cm</t>
        </is>
      </c>
      <c r="D2708" s="10" t="inlineStr">
        <is>
          <t xml:space="preserve">Granito Comercial </t>
        </is>
      </c>
      <c r="E2708" s="11">
        <f t="array" ref="E2708">_xlfn.XLOOKUP(D2708,Insumos!B:B,Insumos!C:$C)</f>
        <v/>
      </c>
      <c r="F2708" s="14">
        <f>0.3*1.0416</f>
        <v/>
      </c>
      <c r="G2708" s="92">
        <f t="array" ref="G2708">IF(B2708="insumo",_xlfn.XLOOKUP($D2708,Insumos!$B$1:$B$996,Insumos!$D$1:$D$996),"")</f>
        <v/>
      </c>
      <c r="H2708" s="92" t="n">
        <v>203.112</v>
      </c>
      <c r="I2708" s="2162" t="n">
        <v>0</v>
      </c>
      <c r="J2708" s="2162" t="n">
        <v>0</v>
      </c>
      <c r="K2708" s="2162" t="n"/>
    </row>
    <row r="2709" outlineLevel="3" ht="15.75" customHeight="1">
      <c r="A2709" s="10" t="n">
        <v>191</v>
      </c>
      <c r="B2709" s="10" t="inlineStr">
        <is>
          <t>Insumo</t>
        </is>
      </c>
      <c r="C2709" s="10" t="inlineStr">
        <is>
          <t>Requadro de portas dos Elevadores Granito,Largura de 20cm</t>
        </is>
      </c>
      <c r="D2709" s="10" t="inlineStr">
        <is>
          <t>Argamassa ACIII</t>
        </is>
      </c>
      <c r="E2709" s="11">
        <f t="array" ref="E2709">_xlfn.XLOOKUP(D2709,Insumos!B:B,Insumos!C:$C)</f>
        <v/>
      </c>
      <c r="F2709" s="14">
        <f>9*0.3</f>
        <v/>
      </c>
      <c r="G2709" s="92">
        <f t="array" ref="G2709">IF(B2709="insumo",_xlfn.XLOOKUP($D2709,Insumos!$B$1:$B$996,Insumos!$D$1:$D$996),"")</f>
        <v/>
      </c>
      <c r="H2709" s="92" t="n">
        <v>2.87415</v>
      </c>
      <c r="I2709" s="2162" t="n">
        <v>0</v>
      </c>
      <c r="J2709" s="2162" t="n">
        <v>0</v>
      </c>
      <c r="K2709" s="2162" t="n"/>
    </row>
    <row r="2710" outlineLevel="2" ht="15.75" customHeight="1">
      <c r="A2710" s="1067" t="n">
        <v>1</v>
      </c>
      <c r="B2710" s="1067" t="inlineStr">
        <is>
          <t>Serviço</t>
        </is>
      </c>
      <c r="C2710" s="1067" t="inlineStr">
        <is>
          <t>Nicho em Marmore Carrara Branco</t>
        </is>
      </c>
      <c r="D2710" s="1067" t="inlineStr">
        <is>
          <t>Nicho em Marmore Carrara Branco</t>
        </is>
      </c>
      <c r="E2710" s="1068" t="inlineStr">
        <is>
          <t>un</t>
        </is>
      </c>
      <c r="F2710" s="1067" t="n"/>
      <c r="G2710" s="1069">
        <f t="array" ref="G2710">IF(B2710="insumo",_xlfn.XLOOKUP($D2710,Insumos!$B$1:$B$996,Insumos!$D$1:$D$996),"")</f>
        <v/>
      </c>
      <c r="H2710" s="1069" t="n">
        <v>413.8515</v>
      </c>
      <c r="I2710" s="2161" t="n">
        <v>0</v>
      </c>
      <c r="J2710" s="2161" t="n">
        <v>0</v>
      </c>
      <c r="K2710" s="2161" t="n"/>
    </row>
    <row r="2711" outlineLevel="3" ht="15.75" customHeight="1">
      <c r="A2711" s="10" t="n">
        <v>1</v>
      </c>
      <c r="B2711" s="10" t="inlineStr">
        <is>
          <t>Insumo</t>
        </is>
      </c>
      <c r="C2711" s="10" t="inlineStr">
        <is>
          <t>Nicho em Marmore Carrara Branco</t>
        </is>
      </c>
      <c r="D2711" s="10" t="inlineStr">
        <is>
          <t>Nicho Em Porcelanato 65x35cm Carrara Cristal Borda Dupla</t>
        </is>
      </c>
      <c r="E2711" s="11">
        <f t="array" ref="E2711">_xlfn.XLOOKUP(D2711,Insumos!B:B,Insumos!C:$C)</f>
        <v/>
      </c>
      <c r="F2711" s="14" t="n">
        <v>1</v>
      </c>
      <c r="G2711" s="92">
        <f t="array" ref="G2711">IF(B2711="insumo",_xlfn.XLOOKUP($D2711,Insumos!$B$1:$B$996,Insumos!$D$1:$D$996),"")</f>
        <v/>
      </c>
      <c r="H2711" s="92" t="n">
        <v>409</v>
      </c>
      <c r="I2711" s="2162" t="n">
        <v>0</v>
      </c>
      <c r="J2711" s="2162" t="n">
        <v>0</v>
      </c>
      <c r="K2711" s="2162" t="n"/>
    </row>
    <row r="2712" outlineLevel="3" ht="15.75" customHeight="1">
      <c r="A2712" s="10" t="n">
        <v>191</v>
      </c>
      <c r="B2712" s="10" t="inlineStr">
        <is>
          <t>Insumo</t>
        </is>
      </c>
      <c r="C2712" s="10" t="inlineStr">
        <is>
          <t>Nicho em Marmore Carrara Branco</t>
        </is>
      </c>
      <c r="D2712" s="10" t="inlineStr">
        <is>
          <t>Argamassa ACIII</t>
        </is>
      </c>
      <c r="E2712" s="11">
        <f t="array" ref="E2712">_xlfn.XLOOKUP(D2712,Insumos!B:B,Insumos!C:$C)</f>
        <v/>
      </c>
      <c r="F2712" s="14" t="n">
        <v>3</v>
      </c>
      <c r="G2712" s="92">
        <f t="array" ref="G2712">IF(B2712="insumo",_xlfn.XLOOKUP($D2712,Insumos!$B$1:$B$996,Insumos!$D$1:$D$996),"")</f>
        <v/>
      </c>
      <c r="H2712" s="92" t="n">
        <v>3.1935</v>
      </c>
      <c r="I2712" s="2162" t="n">
        <v>0</v>
      </c>
      <c r="J2712" s="2162" t="n">
        <v>0</v>
      </c>
      <c r="K2712" s="2162" t="n"/>
    </row>
    <row r="2713" outlineLevel="3" ht="15.75" customHeight="1">
      <c r="A2713" s="10" t="n">
        <v>142</v>
      </c>
      <c r="B2713" s="10" t="inlineStr">
        <is>
          <t>Insumo</t>
        </is>
      </c>
      <c r="C2713" s="10" t="inlineStr">
        <is>
          <t>Nicho em Marmore Carrara Branco</t>
        </is>
      </c>
      <c r="D2713" s="10" t="inlineStr">
        <is>
          <t>Espeçador junta piso 2mm</t>
        </is>
      </c>
      <c r="E2713" s="11">
        <f t="array" ref="E2713">_xlfn.XLOOKUP(D2713,Insumos!B:B,Insumos!C:$C)</f>
        <v/>
      </c>
      <c r="F2713" s="14" t="n">
        <v>4</v>
      </c>
      <c r="G2713" s="92">
        <f t="array" ref="G2713">IF(B2713="insumo",_xlfn.XLOOKUP($D2713,Insumos!$B$1:$B$996,Insumos!$D$1:$D$996),"")</f>
        <v/>
      </c>
      <c r="H2713" s="92" t="n">
        <v>0.32</v>
      </c>
      <c r="I2713" s="2162" t="n">
        <v>0</v>
      </c>
      <c r="J2713" s="2162" t="n">
        <v>0</v>
      </c>
      <c r="K2713" s="2162" t="n"/>
    </row>
    <row r="2714" outlineLevel="3" ht="15.75" customHeight="1">
      <c r="A2714" s="10" t="n">
        <v>101</v>
      </c>
      <c r="B2714" s="10" t="inlineStr">
        <is>
          <t>Insumo</t>
        </is>
      </c>
      <c r="C2714" s="10" t="inlineStr">
        <is>
          <t>Nicho em Marmore Carrara Branco</t>
        </is>
      </c>
      <c r="D2714" s="10" t="inlineStr">
        <is>
          <t>Rejunte Cimentício</t>
        </is>
      </c>
      <c r="E2714" s="11">
        <f t="array" ref="E2714">_xlfn.XLOOKUP(D2714,Insumos!B:B,Insumos!C:$C)</f>
        <v/>
      </c>
      <c r="F2714" s="14" t="n">
        <v>0.12</v>
      </c>
      <c r="G2714" s="92">
        <f t="array" ref="G2714">IF(B2714="insumo",_xlfn.XLOOKUP($D2714,Insumos!$B$1:$B$996,Insumos!$D$1:$D$996),"")</f>
        <v/>
      </c>
      <c r="H2714" s="92" t="n">
        <v>1.338</v>
      </c>
      <c r="I2714" s="2162" t="n">
        <v>0</v>
      </c>
      <c r="J2714" s="2162" t="n">
        <v>0</v>
      </c>
      <c r="K2714" s="2162" t="n"/>
    </row>
    <row r="2715" outlineLevel="2" ht="15.75" customHeight="1">
      <c r="A2715" s="1067" t="n">
        <v>1</v>
      </c>
      <c r="B2715" s="1067" t="inlineStr">
        <is>
          <t>Serviço</t>
        </is>
      </c>
      <c r="C2715" s="1067" t="inlineStr">
        <is>
          <t>Revestimento de Marmore Preto em batente de elevador</t>
        </is>
      </c>
      <c r="D2715" s="1067" t="inlineStr">
        <is>
          <t>Revestimento de Marmore Preto em batente de elevador</t>
        </is>
      </c>
      <c r="E2715" s="1068" t="inlineStr">
        <is>
          <t>M2</t>
        </is>
      </c>
      <c r="F2715" s="1067" t="n"/>
      <c r="G2715" s="1069">
        <f t="array" ref="G2715">IF(B2715="insumo",_xlfn.XLOOKUP($D2715,Insumos!$B$1:$B$996,Insumos!$D$1:$D$996),"")</f>
        <v/>
      </c>
      <c r="H2715" s="1069" t="n">
        <v>232.7455</v>
      </c>
      <c r="I2715" s="2161" t="n">
        <v>0</v>
      </c>
      <c r="J2715" s="2161" t="n">
        <v>0</v>
      </c>
      <c r="K2715" s="2161" t="n"/>
    </row>
    <row r="2716" outlineLevel="3" ht="15.75" customHeight="1">
      <c r="A2716" s="10" t="n">
        <v>1</v>
      </c>
      <c r="B2716" s="10" t="inlineStr">
        <is>
          <t>Insumo</t>
        </is>
      </c>
      <c r="C2716" s="10" t="inlineStr">
        <is>
          <t>Revestimento de Marmore Preto em batente de elevador</t>
        </is>
      </c>
      <c r="D2716" s="10" t="inlineStr">
        <is>
          <t>Marmore Preto</t>
        </is>
      </c>
      <c r="E2716" s="11">
        <f t="array" ref="E2716">_xlfn.XLOOKUP(D2716,Insumos!B:B,Insumos!C:$C)</f>
        <v/>
      </c>
      <c r="F2716" s="14" t="n">
        <v>1.1</v>
      </c>
      <c r="G2716" s="92">
        <f t="array" ref="G2716">IF(B2716="insumo",_xlfn.XLOOKUP($D2716,Insumos!$B$1:$B$996,Insumos!$D$1:$D$996),"")</f>
        <v/>
      </c>
      <c r="H2716" s="92" t="n">
        <v>214.5</v>
      </c>
      <c r="I2716" s="2162" t="n">
        <v>0</v>
      </c>
      <c r="J2716" s="2162" t="n">
        <v>0</v>
      </c>
      <c r="K2716" s="2162" t="n"/>
    </row>
    <row r="2717" outlineLevel="3" ht="15.75" customHeight="1">
      <c r="A2717" s="10" t="n">
        <v>191</v>
      </c>
      <c r="B2717" s="10" t="inlineStr">
        <is>
          <t>Insumo</t>
        </is>
      </c>
      <c r="C2717" s="10" t="inlineStr">
        <is>
          <t>Revestimento de Marmore Preto em batente de elevador</t>
        </is>
      </c>
      <c r="D2717" s="10" t="inlineStr">
        <is>
          <t>Argamassa ACIII</t>
        </is>
      </c>
      <c r="E2717" s="11">
        <f t="array" ref="E2717">_xlfn.XLOOKUP(D2717,Insumos!B:B,Insumos!C:$C)</f>
        <v/>
      </c>
      <c r="F2717" s="14" t="n">
        <v>9</v>
      </c>
      <c r="G2717" s="92">
        <f t="array" ref="G2717">IF(B2717="insumo",_xlfn.XLOOKUP($D2717,Insumos!$B$1:$B$996,Insumos!$D$1:$D$996),"")</f>
        <v/>
      </c>
      <c r="H2717" s="92" t="n">
        <v>9.580500000000001</v>
      </c>
      <c r="I2717" s="2162" t="n">
        <v>0</v>
      </c>
      <c r="J2717" s="2162" t="n">
        <v>0</v>
      </c>
      <c r="K2717" s="2162" t="n"/>
    </row>
    <row r="2718" outlineLevel="3" ht="15.75" customHeight="1">
      <c r="A2718" s="10" t="n">
        <v>34</v>
      </c>
      <c r="B2718" s="10" t="inlineStr">
        <is>
          <t>Insumo</t>
        </is>
      </c>
      <c r="C2718" s="10" t="inlineStr">
        <is>
          <t>Revestimento de Marmore Preto em batente de elevador</t>
        </is>
      </c>
      <c r="D2718" s="10" t="inlineStr">
        <is>
          <t>Massa Plastica 400g</t>
        </is>
      </c>
      <c r="E2718" s="11">
        <f t="array" ref="E2718">_xlfn.XLOOKUP(D2718,Insumos!B:B,Insumos!C:$C)</f>
        <v/>
      </c>
      <c r="F2718" s="14" t="n">
        <v>0.5</v>
      </c>
      <c r="G2718" s="92">
        <f t="array" ref="G2718">IF(B2718="insumo",_xlfn.XLOOKUP($D2718,Insumos!$B$1:$B$996,Insumos!$D$1:$D$996),"")</f>
        <v/>
      </c>
      <c r="H2718" s="92" t="n">
        <v>8.664999999999999</v>
      </c>
      <c r="I2718" s="2162" t="n">
        <v>0</v>
      </c>
      <c r="J2718" s="2162" t="n">
        <v>0</v>
      </c>
      <c r="K2718" s="2162" t="n"/>
    </row>
    <row r="2719" outlineLevel="2" ht="12.75" customHeight="1">
      <c r="A2719" s="1071" t="n">
        <v>1</v>
      </c>
      <c r="B2719" s="1071" t="inlineStr">
        <is>
          <t>Serviço</t>
        </is>
      </c>
      <c r="C2719" s="1071" t="inlineStr">
        <is>
          <t xml:space="preserve">Requadro de portas dos Elevadores Granito preto são gabriel </t>
        </is>
      </c>
      <c r="D2719" s="1071" t="inlineStr">
        <is>
          <t xml:space="preserve">Requadro de portas dos Elevadores Granito preto são gabriel </t>
        </is>
      </c>
      <c r="E2719" s="1072" t="inlineStr">
        <is>
          <t>M2</t>
        </is>
      </c>
      <c r="F2719" s="1071" t="n"/>
      <c r="G2719" s="1073">
        <f t="array" ref="G2719">IF(B2719="insumo",_xlfn.XLOOKUP($D2719,Insumos!$B$1:$B$996,Insumos!$D$1:$D$996),"")</f>
        <v/>
      </c>
      <c r="H2719" s="1073" t="n">
        <v>691.6547</v>
      </c>
      <c r="I2719" s="2163" t="n">
        <v>0</v>
      </c>
      <c r="J2719" s="2163" t="n">
        <v>0</v>
      </c>
      <c r="K2719" s="2163" t="n"/>
    </row>
    <row r="2720" outlineLevel="3" ht="12.75" customHeight="1">
      <c r="A2720" s="82" t="n">
        <v>4</v>
      </c>
      <c r="B2720" s="82" t="inlineStr">
        <is>
          <t>Insumo</t>
        </is>
      </c>
      <c r="C2720" s="82" t="inlineStr">
        <is>
          <t xml:space="preserve">Requadro de portas dos Elevadores Granito preto são gabriel </t>
        </is>
      </c>
      <c r="D2720" s="82" t="inlineStr">
        <is>
          <t xml:space="preserve">Granito preto são gabriel </t>
        </is>
      </c>
      <c r="E2720" s="11">
        <f t="array" ref="E2720">_xlfn.XLOOKUP(D2720,Insumos!B:B,Insumos!C:$C)</f>
        <v/>
      </c>
      <c r="F2720" s="2164" t="n">
        <v>1.05</v>
      </c>
      <c r="G2720" s="92">
        <f t="array" ref="G2720">IF(B2720="insumo",_xlfn.XLOOKUP($D2720,Insumos!$B$1:$B$996,Insumos!$D$1:$D$996),"")</f>
        <v/>
      </c>
      <c r="H2720" s="92" t="n">
        <v>682.5</v>
      </c>
      <c r="I2720" s="2165" t="n">
        <v>0</v>
      </c>
      <c r="J2720" s="2165" t="n">
        <v>0</v>
      </c>
      <c r="K2720" s="2165" t="n"/>
    </row>
    <row r="2721" outlineLevel="3" ht="12.75" customHeight="1">
      <c r="A2721" s="82" t="n">
        <v>191</v>
      </c>
      <c r="B2721" s="82" t="inlineStr">
        <is>
          <t>Insumo</t>
        </is>
      </c>
      <c r="C2721" s="82" t="inlineStr">
        <is>
          <t xml:space="preserve">Requadro de portas dos Elevadores Granito preto são gabriel </t>
        </is>
      </c>
      <c r="D2721" s="82" t="inlineStr">
        <is>
          <t>Argamassa ACIII</t>
        </is>
      </c>
      <c r="E2721" s="11">
        <f t="array" ref="E2721">_xlfn.XLOOKUP(D2721,Insumos!B:B,Insumos!C:$C)</f>
        <v/>
      </c>
      <c r="F2721" s="2164" t="n">
        <v>8.6</v>
      </c>
      <c r="G2721" s="92">
        <f t="array" ref="G2721">IF(B2721="insumo",_xlfn.XLOOKUP($D2721,Insumos!$B$1:$B$996,Insumos!$D$1:$D$996),"")</f>
        <v/>
      </c>
      <c r="H2721" s="92" t="n">
        <v>9.1547</v>
      </c>
      <c r="I2721" s="2165" t="n">
        <v>0</v>
      </c>
      <c r="J2721" s="2165" t="n">
        <v>0</v>
      </c>
      <c r="K2721" s="2165" t="n"/>
    </row>
    <row r="2722" outlineLevel="2" ht="12.75" customHeight="1">
      <c r="A2722" s="1071" t="n">
        <v>1</v>
      </c>
      <c r="B2722" s="1071" t="inlineStr">
        <is>
          <t>Serviço</t>
        </is>
      </c>
      <c r="C2722" s="1071" t="inlineStr">
        <is>
          <t>Peitoril em granito preto são gabriel</t>
        </is>
      </c>
      <c r="D2722" s="1071" t="inlineStr">
        <is>
          <t>Peitoril em granito preto são gabriel</t>
        </is>
      </c>
      <c r="E2722" s="1072" t="inlineStr">
        <is>
          <t>M2</t>
        </is>
      </c>
      <c r="F2722" s="1071" t="n"/>
      <c r="G2722" s="1073">
        <f t="array" ref="G2722">IF(B2722="insumo",_xlfn.XLOOKUP($D2722,Insumos!$B$1:$B$996,Insumos!$D$1:$D$996),"")</f>
        <v/>
      </c>
      <c r="H2722" s="1073" t="n">
        <v>691.6547</v>
      </c>
      <c r="I2722" s="2163" t="n">
        <v>0</v>
      </c>
      <c r="J2722" s="2163" t="n">
        <v>0</v>
      </c>
      <c r="K2722" s="2163" t="n"/>
    </row>
    <row r="2723" outlineLevel="3" ht="12.75" customHeight="1">
      <c r="A2723" s="82" t="n">
        <v>4</v>
      </c>
      <c r="B2723" s="82" t="inlineStr">
        <is>
          <t>Insumo</t>
        </is>
      </c>
      <c r="C2723" s="82" t="inlineStr">
        <is>
          <t>Peitoril em granito preto são gabriel</t>
        </is>
      </c>
      <c r="D2723" s="82" t="inlineStr">
        <is>
          <t xml:space="preserve">Granito preto são gabriel </t>
        </is>
      </c>
      <c r="E2723" s="11">
        <f t="array" ref="E2723">_xlfn.XLOOKUP(D2723,Insumos!B:B,Insumos!C:$C)</f>
        <v/>
      </c>
      <c r="F2723" s="2164" t="n">
        <v>1.05</v>
      </c>
      <c r="G2723" s="92">
        <f t="array" ref="G2723">IF(B2723="insumo",_xlfn.XLOOKUP($D2723,Insumos!$B$1:$B$996,Insumos!$D$1:$D$996),"")</f>
        <v/>
      </c>
      <c r="H2723" s="92" t="n">
        <v>682.5</v>
      </c>
      <c r="I2723" s="2165" t="n">
        <v>0</v>
      </c>
      <c r="J2723" s="2165" t="n">
        <v>0</v>
      </c>
      <c r="K2723" s="2165" t="n"/>
    </row>
    <row r="2724" outlineLevel="3" ht="12.75" customHeight="1">
      <c r="A2724" s="82" t="n">
        <v>191</v>
      </c>
      <c r="B2724" s="82" t="inlineStr">
        <is>
          <t>Insumo</t>
        </is>
      </c>
      <c r="C2724" s="82" t="inlineStr">
        <is>
          <t>Peitoril em granito preto são gabriel</t>
        </is>
      </c>
      <c r="D2724" s="82" t="inlineStr">
        <is>
          <t>Argamassa ACIII</t>
        </is>
      </c>
      <c r="E2724" s="11">
        <f t="array" ref="E2724">_xlfn.XLOOKUP(D2724,Insumos!B:B,Insumos!C:$C)</f>
        <v/>
      </c>
      <c r="F2724" s="2164" t="n">
        <v>8.6</v>
      </c>
      <c r="G2724" s="92">
        <f t="array" ref="G2724">IF(B2724="insumo",_xlfn.XLOOKUP($D2724,Insumos!$B$1:$B$996,Insumos!$D$1:$D$996),"")</f>
        <v/>
      </c>
      <c r="H2724" s="92" t="n">
        <v>9.1547</v>
      </c>
      <c r="I2724" s="2165" t="n">
        <v>0</v>
      </c>
      <c r="J2724" s="2165" t="n">
        <v>0</v>
      </c>
      <c r="K2724" s="2165" t="n"/>
    </row>
    <row r="2725" outlineLevel="2" ht="12.75" customHeight="1">
      <c r="A2725" s="1071" t="n">
        <v>1</v>
      </c>
      <c r="B2725" s="1071" t="inlineStr">
        <is>
          <t>Serviço</t>
        </is>
      </c>
      <c r="C2725" s="1071" t="inlineStr">
        <is>
          <t>Peitoril em pedra moledo,  esp. 2cm</t>
        </is>
      </c>
      <c r="D2725" s="1071" t="inlineStr">
        <is>
          <t>Peitoril em pedra moledo,  esp. 2cm</t>
        </is>
      </c>
      <c r="E2725" s="1072" t="inlineStr">
        <is>
          <t>M2</t>
        </is>
      </c>
      <c r="F2725" s="1071" t="n"/>
      <c r="G2725" s="1073">
        <f t="array" ref="G2725">IF(B2725="insumo",_xlfn.XLOOKUP($D2725,Insumos!$B$1:$B$996,Insumos!$D$1:$D$996),"")</f>
        <v/>
      </c>
      <c r="H2725" s="1073" t="n">
        <v>288.3497</v>
      </c>
      <c r="I2725" s="2163" t="n">
        <v>0</v>
      </c>
      <c r="J2725" s="2163" t="n">
        <v>0</v>
      </c>
      <c r="K2725" s="2163" t="n"/>
    </row>
    <row r="2726" outlineLevel="3" ht="12.75" customHeight="1">
      <c r="A2726" s="82" t="n">
        <v>1</v>
      </c>
      <c r="B2726" s="82" t="inlineStr">
        <is>
          <t>Insumo</t>
        </is>
      </c>
      <c r="C2726" s="82" t="inlineStr">
        <is>
          <t>Peitoril em pedra moledo,  esp. 2cm</t>
        </is>
      </c>
      <c r="D2726" s="82" t="inlineStr">
        <is>
          <t>Pedra Moledo Natural Cinza</t>
        </is>
      </c>
      <c r="E2726" s="11">
        <f t="array" ref="E2726">_xlfn.XLOOKUP(D2726,Insumos!B:B,Insumos!C:$C)</f>
        <v/>
      </c>
      <c r="F2726" s="2164" t="n">
        <v>1.05</v>
      </c>
      <c r="G2726" s="92">
        <f t="array" ref="G2726">IF(B2726="insumo",_xlfn.XLOOKUP($D2726,Insumos!$B$1:$B$996,Insumos!$D$1:$D$996),"")</f>
        <v/>
      </c>
      <c r="H2726" s="92" t="n">
        <v>279.195</v>
      </c>
      <c r="I2726" s="2165" t="n">
        <v>0</v>
      </c>
      <c r="J2726" s="2165" t="n">
        <v>0</v>
      </c>
      <c r="K2726" s="2165" t="n"/>
    </row>
    <row r="2727" outlineLevel="3" ht="12.75" customHeight="1">
      <c r="A2727" s="82" t="n">
        <v>191</v>
      </c>
      <c r="B2727" s="82" t="inlineStr">
        <is>
          <t>Insumo</t>
        </is>
      </c>
      <c r="C2727" s="82" t="inlineStr">
        <is>
          <t>Peitoril em pedra moledo,  esp. 2cm</t>
        </is>
      </c>
      <c r="D2727" s="82" t="inlineStr">
        <is>
          <t>Argamassa ACIII</t>
        </is>
      </c>
      <c r="E2727" s="11">
        <f t="array" ref="E2727">_xlfn.XLOOKUP(D2727,Insumos!B:B,Insumos!C:$C)</f>
        <v/>
      </c>
      <c r="F2727" s="2164" t="n">
        <v>8.6</v>
      </c>
      <c r="G2727" s="92">
        <f t="array" ref="G2727">IF(B2727="insumo",_xlfn.XLOOKUP($D2727,Insumos!$B$1:$B$996,Insumos!$D$1:$D$996),"")</f>
        <v/>
      </c>
      <c r="H2727" s="92" t="n">
        <v>9.1547</v>
      </c>
      <c r="I2727" s="2165" t="n">
        <v>0</v>
      </c>
      <c r="J2727" s="2165" t="n">
        <v>0</v>
      </c>
      <c r="K2727" s="2165" t="n"/>
    </row>
    <row r="2728" outlineLevel="2" ht="12.75" customHeight="1">
      <c r="A2728" s="1071" t="n">
        <v>1</v>
      </c>
      <c r="B2728" s="1071" t="inlineStr">
        <is>
          <t>Serviço</t>
        </is>
      </c>
      <c r="C2728" s="1071" t="inlineStr">
        <is>
          <t>Peitoril em granito,  esp. 2cm</t>
        </is>
      </c>
      <c r="D2728" s="1071" t="inlineStr">
        <is>
          <t>Peitoril em granito,  esp. 2cm</t>
        </is>
      </c>
      <c r="E2728" s="1072" t="inlineStr">
        <is>
          <t>M2</t>
        </is>
      </c>
      <c r="F2728" s="1071" t="n"/>
      <c r="G2728" s="1073">
        <f t="array" ref="G2728">IF(B2728="insumo",_xlfn.XLOOKUP($D2728,Insumos!$B$1:$B$996,Insumos!$D$1:$D$996),"")</f>
        <v/>
      </c>
      <c r="H2728" s="1073" t="n">
        <v>691.6547</v>
      </c>
      <c r="I2728" s="2163" t="n">
        <v>0</v>
      </c>
      <c r="J2728" s="2163" t="n">
        <v>0</v>
      </c>
      <c r="K2728" s="2163" t="n"/>
    </row>
    <row r="2729" outlineLevel="3" ht="12.75" customHeight="1">
      <c r="A2729" s="82" t="n">
        <v>3</v>
      </c>
      <c r="B2729" s="82" t="inlineStr">
        <is>
          <t>Insumo</t>
        </is>
      </c>
      <c r="C2729" s="82" t="inlineStr">
        <is>
          <t>Peitoril em granito,  esp. 2cm</t>
        </is>
      </c>
      <c r="D2729" s="82" t="inlineStr">
        <is>
          <t>Granito siena branco</t>
        </is>
      </c>
      <c r="E2729" s="11">
        <f t="array" ref="E2729">_xlfn.XLOOKUP(D2729,Insumos!B:B,Insumos!C:$C)</f>
        <v/>
      </c>
      <c r="F2729" s="2164" t="n">
        <v>1.05</v>
      </c>
      <c r="G2729" s="92">
        <f t="array" ref="G2729">IF(B2729="insumo",_xlfn.XLOOKUP($D2729,Insumos!$B$1:$B$996,Insumos!$D$1:$D$996),"")</f>
        <v/>
      </c>
      <c r="H2729" s="92" t="n">
        <v>682.5</v>
      </c>
      <c r="I2729" s="2165" t="n">
        <v>0</v>
      </c>
      <c r="J2729" s="2165" t="n">
        <v>0</v>
      </c>
      <c r="K2729" s="2165" t="n"/>
    </row>
    <row r="2730" outlineLevel="3" ht="12.75" customHeight="1">
      <c r="A2730" s="82" t="n">
        <v>191</v>
      </c>
      <c r="B2730" s="82" t="inlineStr">
        <is>
          <t>Insumo</t>
        </is>
      </c>
      <c r="C2730" s="82" t="inlineStr">
        <is>
          <t>Peitoril em granito,  esp. 2cm</t>
        </is>
      </c>
      <c r="D2730" s="82" t="inlineStr">
        <is>
          <t>Argamassa ACIII</t>
        </is>
      </c>
      <c r="E2730" s="11">
        <f t="array" ref="E2730">_xlfn.XLOOKUP(D2730,Insumos!B:B,Insumos!C:$C)</f>
        <v/>
      </c>
      <c r="F2730" s="2164" t="n">
        <v>8.6</v>
      </c>
      <c r="G2730" s="92">
        <f t="array" ref="G2730">IF(B2730="insumo",_xlfn.XLOOKUP($D2730,Insumos!$B$1:$B$996,Insumos!$D$1:$D$996),"")</f>
        <v/>
      </c>
      <c r="H2730" s="92" t="n">
        <v>9.1547</v>
      </c>
      <c r="I2730" s="2165" t="n">
        <v>0</v>
      </c>
      <c r="J2730" s="2165" t="n">
        <v>0</v>
      </c>
      <c r="K2730" s="2165" t="n"/>
    </row>
    <row r="2731" outlineLevel="1" ht="15.75" customHeight="1">
      <c r="A2731" s="1090" t="n">
        <v>1</v>
      </c>
      <c r="B2731" s="1090" t="inlineStr">
        <is>
          <t>Subetapa</t>
        </is>
      </c>
      <c r="C2731" s="1090" t="inlineStr">
        <is>
          <t>Peitoril em granito,  esp. 2cm</t>
        </is>
      </c>
      <c r="D2731" s="1090" t="inlineStr">
        <is>
          <t>MÃO DE OBRA REVESTIMENTOS</t>
        </is>
      </c>
      <c r="E2731" s="1091" t="n"/>
      <c r="F2731" s="2160" t="n"/>
      <c r="G2731" s="1091" t="n"/>
      <c r="H2731" s="1091" t="n">
        <v>0</v>
      </c>
      <c r="I2731" s="2160" t="n">
        <v>0</v>
      </c>
      <c r="J2731" s="2160" t="n">
        <v>0</v>
      </c>
      <c r="K2731" s="2160" t="n"/>
    </row>
    <row r="2732" outlineLevel="2" ht="15.75" customHeight="1">
      <c r="A2732" s="1067" t="n">
        <v>1</v>
      </c>
      <c r="B2732" s="1067" t="inlineStr">
        <is>
          <t>Serviço</t>
        </is>
      </c>
      <c r="C2732" s="1067" t="inlineStr">
        <is>
          <t>Mão de obra execução de massa única em paredes interna, incluindo chapisco</t>
        </is>
      </c>
      <c r="D2732" s="1067" t="inlineStr">
        <is>
          <t>Mão de obra execução de massa única em paredes interna, incluindo chapisco</t>
        </is>
      </c>
      <c r="E2732" s="1068" t="inlineStr">
        <is>
          <t>M2</t>
        </is>
      </c>
      <c r="F2732" s="1075" t="n"/>
      <c r="G2732" s="1069">
        <f t="array" ref="G2732">IF(B2732="insumo",_xlfn.XLOOKUP($D2732,Insumos!$B$1:$B$996,Insumos!$D$1:$D$996),"")</f>
        <v/>
      </c>
      <c r="H2732" s="1069" t="n">
        <v>42</v>
      </c>
      <c r="I2732" s="2161" t="e">
        <v>#REF!</v>
      </c>
      <c r="J2732" s="2161" t="e">
        <v>#REF!</v>
      </c>
      <c r="K2732" s="2161" t="n"/>
    </row>
    <row r="2733" outlineLevel="3" ht="15.75" customHeight="1">
      <c r="A2733" s="10" t="n">
        <v>1</v>
      </c>
      <c r="B2733" s="10" t="inlineStr">
        <is>
          <t>Insumo</t>
        </is>
      </c>
      <c r="C2733" s="10" t="inlineStr">
        <is>
          <t>Mão de obra execução de massa única em paredes interna, incluindo chapisco</t>
        </is>
      </c>
      <c r="D2733" s="10" t="inlineStr">
        <is>
          <t>Mão de obra execução de massa única em paredes interna, incluindo chapisco</t>
        </is>
      </c>
      <c r="E2733" s="11">
        <f t="array" ref="E2733">_xlfn.XLOOKUP(D2733,Insumos!B:B,Insumos!C:$C)</f>
        <v/>
      </c>
      <c r="F2733" s="14" t="n">
        <v>1</v>
      </c>
      <c r="G2733" s="92">
        <f t="array" ref="G2733">IF(B2733="insumo",_xlfn.XLOOKUP($D2733,Insumos!$B$1:$B$996,Insumos!$D$1:$D$996),"")</f>
        <v/>
      </c>
      <c r="H2733" s="92" t="n">
        <v>42</v>
      </c>
      <c r="I2733" s="2162" t="e">
        <v>#REF!</v>
      </c>
      <c r="J2733" s="2162" t="e">
        <v>#REF!</v>
      </c>
      <c r="K2733" s="2162" t="n"/>
    </row>
    <row r="2734" outlineLevel="2" ht="15.75" customHeight="1">
      <c r="A2734" s="1067" t="n">
        <v>1</v>
      </c>
      <c r="B2734" s="1067" t="inlineStr">
        <is>
          <t>Serviço</t>
        </is>
      </c>
      <c r="C2734" s="1067" t="inlineStr">
        <is>
          <t>Mão de obra estucamento de paredes</t>
        </is>
      </c>
      <c r="D2734" s="1067" t="inlineStr">
        <is>
          <t>Mão de obra estucamento de paredes</t>
        </is>
      </c>
      <c r="E2734" s="1068" t="inlineStr">
        <is>
          <t>M2</t>
        </is>
      </c>
      <c r="F2734" s="1075" t="n"/>
      <c r="G2734" s="1069">
        <f t="array" ref="G2734">IF(B2734="insumo",_xlfn.XLOOKUP($D2734,Insumos!$B$1:$B$996,Insumos!$D$1:$D$996),"")</f>
        <v/>
      </c>
      <c r="H2734" s="1069" t="n">
        <v>30</v>
      </c>
      <c r="I2734" s="2161" t="e">
        <v>#REF!</v>
      </c>
      <c r="J2734" s="2161" t="e">
        <v>#REF!</v>
      </c>
      <c r="K2734" s="2161" t="n"/>
    </row>
    <row r="2735" outlineLevel="3" ht="15.75" customHeight="1">
      <c r="A2735" s="10" t="n">
        <v>2</v>
      </c>
      <c r="B2735" s="10" t="inlineStr">
        <is>
          <t>Insumo</t>
        </is>
      </c>
      <c r="C2735" s="10" t="inlineStr">
        <is>
          <t>Mão de obra estucamento de paredes</t>
        </is>
      </c>
      <c r="D2735" s="10" t="inlineStr">
        <is>
          <t>Mão de obra estucamento de paredes</t>
        </is>
      </c>
      <c r="E2735" s="11">
        <f t="array" ref="E2735">_xlfn.XLOOKUP(D2735,Insumos!B:B,Insumos!C:$C)</f>
        <v/>
      </c>
      <c r="F2735" s="14" t="n">
        <v>1</v>
      </c>
      <c r="G2735" s="92">
        <f t="array" ref="G2735">IF(B2735="insumo",_xlfn.XLOOKUP($D2735,Insumos!$B$1:$B$996,Insumos!$D$1:$D$996),"")</f>
        <v/>
      </c>
      <c r="H2735" s="92" t="n">
        <v>30</v>
      </c>
      <c r="I2735" s="2162" t="e">
        <v>#REF!</v>
      </c>
      <c r="J2735" s="2162" t="e">
        <v>#REF!</v>
      </c>
      <c r="K2735" s="2162" t="n"/>
    </row>
    <row r="2736" outlineLevel="1" ht="15.75" customHeight="1">
      <c r="A2736" s="1090" t="n">
        <v>1</v>
      </c>
      <c r="B2736" s="1090" t="inlineStr">
        <is>
          <t>Subetapa</t>
        </is>
      </c>
      <c r="C2736" s="1090" t="inlineStr">
        <is>
          <t>Mão de obra estucamento de paredes</t>
        </is>
      </c>
      <c r="D2736" s="1090" t="inlineStr">
        <is>
          <t>MÃO DE OBRA GESSO PAREDE</t>
        </is>
      </c>
      <c r="E2736" s="1091" t="n"/>
      <c r="F2736" s="2160" t="n"/>
      <c r="G2736" s="1091" t="n"/>
      <c r="H2736" s="1091" t="n">
        <v>0</v>
      </c>
      <c r="I2736" s="2160" t="n">
        <v>0</v>
      </c>
      <c r="J2736" s="2160" t="n">
        <v>0</v>
      </c>
      <c r="K2736" s="2160" t="n"/>
    </row>
    <row r="2737" outlineLevel="2" ht="15.75" customHeight="1">
      <c r="A2737" s="1067" t="n">
        <v>1</v>
      </c>
      <c r="B2737" s="1067" t="inlineStr">
        <is>
          <t>Serviço</t>
        </is>
      </c>
      <c r="C2737" s="1067" t="inlineStr">
        <is>
          <t>Mão de obra execução de massa para Drywall em paredes</t>
        </is>
      </c>
      <c r="D2737" s="1067" t="inlineStr">
        <is>
          <t>Mão de obra execução de massa para Drywall em paredes</t>
        </is>
      </c>
      <c r="E2737" s="1068" t="inlineStr">
        <is>
          <t>M2</t>
        </is>
      </c>
      <c r="F2737" s="1075" t="n"/>
      <c r="G2737" s="1069">
        <f t="array" ref="G2737">IF(B2737="insumo",_xlfn.XLOOKUP($D2737,Insumos!$B$1:$B$996,Insumos!$D$1:$D$996),"")</f>
        <v/>
      </c>
      <c r="H2737" s="1069" t="n">
        <v>15</v>
      </c>
      <c r="I2737" s="2161" t="n">
        <v>0</v>
      </c>
      <c r="J2737" s="2161" t="n">
        <v>0</v>
      </c>
      <c r="K2737" s="2161" t="n"/>
    </row>
    <row r="2738" outlineLevel="3" ht="15.75" customHeight="1">
      <c r="A2738" s="10" t="n">
        <v>1</v>
      </c>
      <c r="B2738" s="10" t="inlineStr">
        <is>
          <t>Insumo</t>
        </is>
      </c>
      <c r="C2738" s="10" t="inlineStr">
        <is>
          <t>Mão de obra execução de massa para Drywall em paredes</t>
        </is>
      </c>
      <c r="D2738" s="10" t="inlineStr">
        <is>
          <t>Mão de obra execução de massa para Drywall em paredes</t>
        </is>
      </c>
      <c r="E2738" s="11">
        <f t="array" ref="E2738">_xlfn.XLOOKUP(D2738,Insumos!B:B,Insumos!C:$C)</f>
        <v/>
      </c>
      <c r="F2738" s="14" t="n">
        <v>1</v>
      </c>
      <c r="G2738" s="92">
        <f t="array" ref="G2738">IF(B2738="insumo",_xlfn.XLOOKUP($D2738,Insumos!$B$1:$B$996,Insumos!$D$1:$D$996),"")</f>
        <v/>
      </c>
      <c r="H2738" s="92" t="n">
        <v>15</v>
      </c>
      <c r="I2738" s="2162" t="n">
        <v>0</v>
      </c>
      <c r="J2738" s="2162" t="n">
        <v>0</v>
      </c>
      <c r="K2738" s="2162" t="n"/>
    </row>
    <row r="2739" outlineLevel="2" ht="15.75" customHeight="1">
      <c r="A2739" s="1067" t="n">
        <v>1</v>
      </c>
      <c r="B2739" s="1067" t="inlineStr">
        <is>
          <t>Serviço</t>
        </is>
      </c>
      <c r="C2739" s="1067" t="inlineStr">
        <is>
          <t>Mão de obra execução de massa de gesso em paredes</t>
        </is>
      </c>
      <c r="D2739" s="1067" t="inlineStr">
        <is>
          <t>Mão de obra execução de massa de gesso em paredes</t>
        </is>
      </c>
      <c r="E2739" s="1068" t="inlineStr">
        <is>
          <t>M2</t>
        </is>
      </c>
      <c r="F2739" s="1075" t="n"/>
      <c r="G2739" s="1069">
        <f t="array" ref="G2739">IF(B2739="insumo",_xlfn.XLOOKUP($D2739,Insumos!$B$1:$B$996,Insumos!$D$1:$D$996),"")</f>
        <v/>
      </c>
      <c r="H2739" s="1069" t="n">
        <v>15</v>
      </c>
      <c r="I2739" s="2161" t="n">
        <v>0</v>
      </c>
      <c r="J2739" s="2161" t="n">
        <v>0</v>
      </c>
      <c r="K2739" s="2161" t="n"/>
    </row>
    <row r="2740" outlineLevel="3" ht="15.75" customHeight="1">
      <c r="A2740" s="10" t="n">
        <v>1</v>
      </c>
      <c r="B2740" s="10" t="inlineStr">
        <is>
          <t>Insumo</t>
        </is>
      </c>
      <c r="C2740" s="10" t="inlineStr">
        <is>
          <t>Mão de obra execução de massa de gesso em paredes</t>
        </is>
      </c>
      <c r="D2740" s="10" t="inlineStr">
        <is>
          <t>Mão de obra execução de massa de gesso em paredes</t>
        </is>
      </c>
      <c r="E2740" s="11">
        <f t="array" ref="E2740">_xlfn.XLOOKUP(D2740,Insumos!B:B,Insumos!C:$C)</f>
        <v/>
      </c>
      <c r="F2740" s="14" t="n">
        <v>1</v>
      </c>
      <c r="G2740" s="92">
        <f t="array" ref="G2740">IF(B2740="insumo",_xlfn.XLOOKUP($D2740,Insumos!$B$1:$B$996,Insumos!$D$1:$D$996),"")</f>
        <v/>
      </c>
      <c r="H2740" s="92" t="n">
        <v>15</v>
      </c>
      <c r="I2740" s="2162" t="n">
        <v>0</v>
      </c>
      <c r="J2740" s="2162" t="n">
        <v>0</v>
      </c>
      <c r="K2740" s="2162" t="n"/>
    </row>
    <row r="2741" outlineLevel="1" ht="15.75" customHeight="1">
      <c r="A2741" s="1090" t="n">
        <v>2</v>
      </c>
      <c r="B2741" s="1090" t="inlineStr">
        <is>
          <t>Subetapa</t>
        </is>
      </c>
      <c r="C2741" s="1090" t="inlineStr">
        <is>
          <t>Mão de obra execução de massa de gesso em paredes</t>
        </is>
      </c>
      <c r="D2741" s="1090" t="inlineStr">
        <is>
          <t>MÃO DE OBRA ACABAMENTOS PAREDE</t>
        </is>
      </c>
      <c r="E2741" s="1091" t="n"/>
      <c r="F2741" s="2160" t="n"/>
      <c r="G2741" s="1091" t="n"/>
      <c r="H2741" s="1091" t="n">
        <v>0</v>
      </c>
      <c r="I2741" s="2160" t="n">
        <v>0</v>
      </c>
      <c r="J2741" s="2160" t="n">
        <v>0</v>
      </c>
      <c r="K2741" s="2160" t="n"/>
    </row>
    <row r="2742" outlineLevel="2" ht="15.75" customHeight="1">
      <c r="A2742" s="1067" t="n">
        <v>1</v>
      </c>
      <c r="B2742" s="1067" t="inlineStr">
        <is>
          <t>Serviço</t>
        </is>
      </c>
      <c r="C2742" s="1067" t="inlineStr">
        <is>
          <t>Mão de obra para assentamento de Pastilhas em Piscina</t>
        </is>
      </c>
      <c r="D2742" s="1067" t="inlineStr">
        <is>
          <t>Mão de obra para assentamento de Pastilhas em Piscina</t>
        </is>
      </c>
      <c r="E2742" s="1068" t="inlineStr">
        <is>
          <t>M2</t>
        </is>
      </c>
      <c r="F2742" s="1075" t="n"/>
      <c r="G2742" s="1069">
        <f t="array" ref="G2742">IF(B2742="insumo",_xlfn.XLOOKUP($D2742,Insumos!$B$1:$B$996,Insumos!$D$1:$D$996),"")</f>
        <v/>
      </c>
      <c r="H2742" s="1069" t="n">
        <v>55</v>
      </c>
      <c r="I2742" s="2161" t="n">
        <v>0</v>
      </c>
      <c r="J2742" s="2161" t="n">
        <v>0</v>
      </c>
      <c r="K2742" s="2161" t="n"/>
    </row>
    <row r="2743" outlineLevel="3" ht="15.75" customHeight="1">
      <c r="A2743" s="10" t="n">
        <v>1</v>
      </c>
      <c r="B2743" s="10" t="inlineStr">
        <is>
          <t>Insumo</t>
        </is>
      </c>
      <c r="C2743" s="10" t="inlineStr">
        <is>
          <t>Mão de obra para assentamento de Pastilhas em Piscina</t>
        </is>
      </c>
      <c r="D2743" s="10" t="inlineStr">
        <is>
          <t>Mão de obra para assentamento de Pastilhas em Piscina</t>
        </is>
      </c>
      <c r="E2743" s="11">
        <f t="array" ref="E2743">_xlfn.XLOOKUP(D2743,Insumos!B:B,Insumos!C:$C)</f>
        <v/>
      </c>
      <c r="F2743" s="14" t="n">
        <v>1</v>
      </c>
      <c r="G2743" s="92">
        <f t="array" ref="G2743">IF(B2743="insumo",_xlfn.XLOOKUP($D2743,Insumos!$B$1:$B$996,Insumos!$D$1:$D$996),"")</f>
        <v/>
      </c>
      <c r="H2743" s="92" t="n">
        <v>55</v>
      </c>
      <c r="I2743" s="2162" t="n">
        <v>0</v>
      </c>
      <c r="J2743" s="2162" t="n">
        <v>0</v>
      </c>
      <c r="K2743" s="2162" t="n"/>
    </row>
    <row r="2744" outlineLevel="2" ht="15.75" customHeight="1">
      <c r="A2744" s="1067" t="n">
        <v>1</v>
      </c>
      <c r="B2744" s="1067" t="inlineStr">
        <is>
          <t>Serviço</t>
        </is>
      </c>
      <c r="C2744" s="1067" t="inlineStr">
        <is>
          <t>Mão de obra para assentamento de Ladrilhos</t>
        </is>
      </c>
      <c r="D2744" s="1067" t="inlineStr">
        <is>
          <t>Mão de obra para assentamento de Ladrilhos</t>
        </is>
      </c>
      <c r="E2744" s="1068" t="inlineStr">
        <is>
          <t>M2</t>
        </is>
      </c>
      <c r="F2744" s="1075" t="n"/>
      <c r="G2744" s="1069">
        <f t="array" ref="G2744">IF(B2744="insumo",_xlfn.XLOOKUP($D2744,Insumos!$B$1:$B$996,Insumos!$D$1:$D$996),"")</f>
        <v/>
      </c>
      <c r="H2744" s="1069" t="n">
        <v>75</v>
      </c>
      <c r="I2744" s="2161" t="e">
        <v>#REF!</v>
      </c>
      <c r="J2744" s="2161" t="e">
        <v>#REF!</v>
      </c>
      <c r="K2744" s="2161" t="n"/>
    </row>
    <row r="2745" outlineLevel="3" ht="15.75" customHeight="1">
      <c r="A2745" s="10" t="n">
        <v>1</v>
      </c>
      <c r="B2745" s="10" t="inlineStr">
        <is>
          <t>Insumo</t>
        </is>
      </c>
      <c r="C2745" s="10" t="inlineStr">
        <is>
          <t>Mão de obra para assentamento de Ladrilhos</t>
        </is>
      </c>
      <c r="D2745" s="10" t="inlineStr">
        <is>
          <t>Mão de obra para assentamento de Ladrilhos</t>
        </is>
      </c>
      <c r="E2745" s="11">
        <f t="array" ref="E2745">_xlfn.XLOOKUP(D2745,Insumos!B:B,Insumos!C:$C)</f>
        <v/>
      </c>
      <c r="F2745" s="14" t="n">
        <v>1</v>
      </c>
      <c r="G2745" s="92">
        <f t="array" ref="G2745">IF(B2745="insumo",_xlfn.XLOOKUP($D2745,Insumos!$B$1:$B$996,Insumos!$D$1:$D$996),"")</f>
        <v/>
      </c>
      <c r="H2745" s="92" t="n">
        <v>75</v>
      </c>
      <c r="I2745" s="2162" t="e">
        <v>#REF!</v>
      </c>
      <c r="J2745" s="2162" t="e">
        <v>#REF!</v>
      </c>
      <c r="K2745" s="2162" t="n"/>
    </row>
    <row r="2746" outlineLevel="2" ht="15.75" customHeight="1">
      <c r="A2746" s="1067" t="n">
        <v>1</v>
      </c>
      <c r="B2746" s="1067" t="inlineStr">
        <is>
          <t>Serviço</t>
        </is>
      </c>
      <c r="C2746" s="1067" t="inlineStr">
        <is>
          <t>Mão de obra para assentamento de Pedras Naturais em parede</t>
        </is>
      </c>
      <c r="D2746" s="1067" t="inlineStr">
        <is>
          <t>Mão de obra para assentamento de Pedras Naturais em parede</t>
        </is>
      </c>
      <c r="E2746" s="1068" t="inlineStr">
        <is>
          <t>M2</t>
        </is>
      </c>
      <c r="F2746" s="1075" t="n"/>
      <c r="G2746" s="1069">
        <f t="array" ref="G2746">IF(B2746="insumo",_xlfn.XLOOKUP($D2746,Insumos!$B$1:$B$996,Insumos!$D$1:$D$996),"")</f>
        <v/>
      </c>
      <c r="H2746" s="1069" t="n">
        <v>75</v>
      </c>
      <c r="I2746" s="2161" t="e">
        <v>#REF!</v>
      </c>
      <c r="J2746" s="2161" t="e">
        <v>#REF!</v>
      </c>
      <c r="K2746" s="2161" t="n"/>
    </row>
    <row r="2747" outlineLevel="3" ht="15.75" customHeight="1">
      <c r="A2747" s="10" t="n">
        <v>1</v>
      </c>
      <c r="B2747" s="10" t="inlineStr">
        <is>
          <t>Insumo</t>
        </is>
      </c>
      <c r="C2747" s="10" t="inlineStr">
        <is>
          <t>Mão de obra para assentamento de Pedras Naturais em parede</t>
        </is>
      </c>
      <c r="D2747" s="10" t="inlineStr">
        <is>
          <t>Mão de obra para assentamento de Pedras Naturais em parede</t>
        </is>
      </c>
      <c r="E2747" s="11">
        <f t="array" ref="E2747">_xlfn.XLOOKUP(D2747,Insumos!B:B,Insumos!C:$C)</f>
        <v/>
      </c>
      <c r="F2747" s="14" t="n">
        <v>1</v>
      </c>
      <c r="G2747" s="92">
        <f t="array" ref="G2747">IF(B2747="insumo",_xlfn.XLOOKUP($D2747,Insumos!$B$1:$B$996,Insumos!$D$1:$D$996),"")</f>
        <v/>
      </c>
      <c r="H2747" s="92" t="n">
        <v>75</v>
      </c>
      <c r="I2747" s="2162" t="e">
        <v>#REF!</v>
      </c>
      <c r="J2747" s="2162" t="e">
        <v>#REF!</v>
      </c>
      <c r="K2747" s="2162" t="n"/>
    </row>
    <row r="2748" outlineLevel="2" ht="15.75" customHeight="1">
      <c r="A2748" s="1067" t="n">
        <v>1</v>
      </c>
      <c r="B2748" s="1067" t="inlineStr">
        <is>
          <t>Serviço</t>
        </is>
      </c>
      <c r="C2748" s="1067" t="inlineStr">
        <is>
          <t>Mão de obra para assentamento de revestimento cerâmico em parede</t>
        </is>
      </c>
      <c r="D2748" s="1067" t="inlineStr">
        <is>
          <t>Mão de obra para assentamento de revestimento cerâmico em parede</t>
        </is>
      </c>
      <c r="E2748" s="1068" t="inlineStr">
        <is>
          <t>M2</t>
        </is>
      </c>
      <c r="F2748" s="1075" t="n"/>
      <c r="G2748" s="1069">
        <f t="array" ref="G2748">IF(B2748="insumo",_xlfn.XLOOKUP($D2748,Insumos!$B$1:$B$996,Insumos!$D$1:$D$996),"")</f>
        <v/>
      </c>
      <c r="H2748" s="1069" t="n">
        <v>75</v>
      </c>
      <c r="I2748" s="2161" t="e">
        <v>#REF!</v>
      </c>
      <c r="J2748" s="2161" t="e">
        <v>#REF!</v>
      </c>
      <c r="K2748" s="2161" t="n"/>
    </row>
    <row r="2749" outlineLevel="3" ht="15.75" customHeight="1">
      <c r="A2749" s="10" t="n">
        <v>1</v>
      </c>
      <c r="B2749" s="10" t="inlineStr">
        <is>
          <t>Insumo</t>
        </is>
      </c>
      <c r="C2749" s="10" t="inlineStr">
        <is>
          <t>Mão de obra para assentamento de revestimento cerâmico em parede</t>
        </is>
      </c>
      <c r="D2749" s="10" t="inlineStr">
        <is>
          <t>Mão de obra para assentamento de revestimento cerâmico em parede</t>
        </is>
      </c>
      <c r="E2749" s="11">
        <f t="array" ref="E2749">_xlfn.XLOOKUP(D2749,Insumos!B:B,Insumos!C:$C)</f>
        <v/>
      </c>
      <c r="F2749" s="14" t="n">
        <v>1</v>
      </c>
      <c r="G2749" s="92">
        <f t="array" ref="G2749">IF(B2749="insumo",_xlfn.XLOOKUP($D2749,Insumos!$B$1:$B$996,Insumos!$D$1:$D$996),"")</f>
        <v/>
      </c>
      <c r="H2749" s="92" t="n">
        <v>75</v>
      </c>
      <c r="I2749" s="2162" t="e">
        <v>#REF!</v>
      </c>
      <c r="J2749" s="2162" t="e">
        <v>#REF!</v>
      </c>
      <c r="K2749" s="2162" t="n"/>
    </row>
    <row r="2750" outlineLevel="2" ht="15.75" customHeight="1">
      <c r="A2750" s="1067" t="n">
        <v>1</v>
      </c>
      <c r="B2750" s="1067" t="inlineStr">
        <is>
          <t>Serviço</t>
        </is>
      </c>
      <c r="C2750" s="1067" t="inlineStr">
        <is>
          <t>Mão de obra para colocação de peitoril e pingadeira</t>
        </is>
      </c>
      <c r="D2750" s="1067" t="inlineStr">
        <is>
          <t>Mão de obra para colocação de peitoril e pingadeira</t>
        </is>
      </c>
      <c r="E2750" s="1068" t="inlineStr">
        <is>
          <t>M2</t>
        </is>
      </c>
      <c r="F2750" s="1075" t="n"/>
      <c r="G2750" s="1069">
        <f t="array" ref="G2750">IF(B2750="insumo",_xlfn.XLOOKUP($D2750,Insumos!$B$1:$B$996,Insumos!$D$1:$D$996),"")</f>
        <v/>
      </c>
      <c r="H2750" s="1069" t="n">
        <v>50</v>
      </c>
      <c r="I2750" s="2161" t="e">
        <v>#REF!</v>
      </c>
      <c r="J2750" s="2161" t="e">
        <v>#REF!</v>
      </c>
      <c r="K2750" s="2161" t="n"/>
    </row>
    <row r="2751" outlineLevel="3" ht="15.75" customHeight="1">
      <c r="A2751" s="10" t="n">
        <v>1</v>
      </c>
      <c r="B2751" s="10" t="inlineStr">
        <is>
          <t>Insumo</t>
        </is>
      </c>
      <c r="C2751" s="10" t="inlineStr">
        <is>
          <t>Mão de obra para colocação de peitoril e pingadeira</t>
        </is>
      </c>
      <c r="D2751" s="10" t="inlineStr">
        <is>
          <t>Mão de obra para colocação de peitoril e pingadeira</t>
        </is>
      </c>
      <c r="E2751" s="11">
        <f t="array" ref="E2751">_xlfn.XLOOKUP(D2751,Insumos!B:B,Insumos!C:$C)</f>
        <v/>
      </c>
      <c r="F2751" s="14" t="n">
        <v>1</v>
      </c>
      <c r="G2751" s="92">
        <f t="array" ref="G2751">IF(B2751="insumo",_xlfn.XLOOKUP($D2751,Insumos!$B$1:$B$996,Insumos!$D$1:$D$996),"")</f>
        <v/>
      </c>
      <c r="H2751" s="92" t="n">
        <v>50</v>
      </c>
      <c r="I2751" s="2162" t="e">
        <v>#REF!</v>
      </c>
      <c r="J2751" s="2162" t="e">
        <v>#REF!</v>
      </c>
      <c r="K2751" s="2162" t="n"/>
    </row>
    <row r="2752" outlineLevel="2" ht="15.75" customHeight="1">
      <c r="A2752" s="1067" t="n">
        <v>1</v>
      </c>
      <c r="B2752" s="1067" t="inlineStr">
        <is>
          <t>Serviço</t>
        </is>
      </c>
      <c r="C2752" s="1067" t="inlineStr">
        <is>
          <t>Mão de obra para assentamento de requadros em portas de elevador</t>
        </is>
      </c>
      <c r="D2752" s="1067" t="inlineStr">
        <is>
          <t>Mão de obra para assentamento de requadros em portas de elevador</t>
        </is>
      </c>
      <c r="E2752" s="1068" t="inlineStr">
        <is>
          <t>M2</t>
        </is>
      </c>
      <c r="F2752" s="1075" t="n"/>
      <c r="G2752" s="1069">
        <f t="array" ref="G2752">IF(B2752="insumo",_xlfn.XLOOKUP($D2752,Insumos!$B$1:$B$996,Insumos!$D$1:$D$996),"")</f>
        <v/>
      </c>
      <c r="H2752" s="1069" t="n">
        <v>50</v>
      </c>
      <c r="I2752" s="2161" t="n">
        <v>0</v>
      </c>
      <c r="J2752" s="2161" t="n">
        <v>0</v>
      </c>
      <c r="K2752" s="2161" t="n"/>
    </row>
    <row r="2753" outlineLevel="3" ht="15.75" customHeight="1">
      <c r="A2753" s="10" t="n">
        <v>1</v>
      </c>
      <c r="B2753" s="10" t="inlineStr">
        <is>
          <t>Insumo</t>
        </is>
      </c>
      <c r="C2753" s="10" t="inlineStr">
        <is>
          <t>Mão de obra para assentamento de requadros em portas de elevador</t>
        </is>
      </c>
      <c r="D2753" s="10" t="inlineStr">
        <is>
          <t>Mão de obra para assentamento de requadros em portas de elevador</t>
        </is>
      </c>
      <c r="E2753" s="11">
        <f t="array" ref="E2753">_xlfn.XLOOKUP(D2753,Insumos!B:B,Insumos!C:$C)</f>
        <v/>
      </c>
      <c r="F2753" s="14" t="n">
        <v>1</v>
      </c>
      <c r="G2753" s="92">
        <f t="array" ref="G2753">IF(B2753="insumo",_xlfn.XLOOKUP($D2753,Insumos!$B$1:$B$996,Insumos!$D$1:$D$996),"")</f>
        <v/>
      </c>
      <c r="H2753" s="92" t="n">
        <v>50</v>
      </c>
      <c r="I2753" s="2162" t="n">
        <v>0</v>
      </c>
      <c r="J2753" s="2162" t="n">
        <v>0</v>
      </c>
      <c r="K2753" s="2162" t="n"/>
    </row>
    <row r="2754" ht="15.75" customHeight="1">
      <c r="A2754" s="7" t="n">
        <v>1</v>
      </c>
      <c r="B2754" s="7" t="inlineStr">
        <is>
          <t>Etapa</t>
        </is>
      </c>
      <c r="C2754" s="7" t="inlineStr">
        <is>
          <t>Mão de obra para assentamento de requadros em portas de elevador</t>
        </is>
      </c>
      <c r="D2754" s="7" t="inlineStr">
        <is>
          <t>REVESTIMENTOS INTERNOS DE TETO</t>
        </is>
      </c>
      <c r="E2754" s="8" t="n"/>
      <c r="F2754" s="2159" t="n"/>
      <c r="G2754" s="91">
        <f t="array" ref="G2754">IF(B2754="insumo",_xlfn.XLOOKUP($D2754,Insumos!$B$1:$B$996,Insumos!$D$1:$D$996),"")</f>
        <v/>
      </c>
      <c r="H2754" s="91" t="n">
        <v>0</v>
      </c>
      <c r="I2754" s="2159" t="n">
        <v>0</v>
      </c>
      <c r="J2754" s="2159" t="n">
        <v>0</v>
      </c>
      <c r="K2754" s="2159" t="n"/>
    </row>
    <row r="2755" outlineLevel="1" ht="15.75" customHeight="1">
      <c r="A2755" s="1090" t="n">
        <v>1</v>
      </c>
      <c r="B2755" s="1090" t="inlineStr">
        <is>
          <t>Subetapa</t>
        </is>
      </c>
      <c r="C2755" s="1090" t="inlineStr">
        <is>
          <t>Mão de obra para assentamento de requadros em portas de elevador</t>
        </is>
      </c>
      <c r="D2755" s="1090" t="inlineStr">
        <is>
          <t>ESTUCAMENTO/REBOCO TETO</t>
        </is>
      </c>
      <c r="E2755" s="1091" t="n"/>
      <c r="F2755" s="2160" t="n"/>
      <c r="G2755" s="1091" t="n"/>
      <c r="H2755" s="1091" t="n">
        <v>0</v>
      </c>
      <c r="I2755" s="2160" t="n">
        <v>0</v>
      </c>
      <c r="J2755" s="2160" t="n">
        <v>0</v>
      </c>
      <c r="K2755" s="2160" t="n"/>
    </row>
    <row r="2756" outlineLevel="2" ht="15.75" customHeight="1">
      <c r="A2756" s="1067" t="n">
        <v>1</v>
      </c>
      <c r="B2756" s="1067" t="inlineStr">
        <is>
          <t>Serviço</t>
        </is>
      </c>
      <c r="C2756" s="1067" t="inlineStr">
        <is>
          <t xml:space="preserve">Regularização de Teto 0,50 cm </t>
        </is>
      </c>
      <c r="D2756" s="1067" t="inlineStr">
        <is>
          <t xml:space="preserve">Regularização de Teto 0,50 cm </t>
        </is>
      </c>
      <c r="E2756" s="1068" t="inlineStr">
        <is>
          <t>M2</t>
        </is>
      </c>
      <c r="F2756" s="1067" t="n"/>
      <c r="G2756" s="1069">
        <f t="array" ref="G2756">IF(B2756="insumo",_xlfn.XLOOKUP($D2756,Insumos!$B$1:$B$996,Insumos!$D$1:$D$996),"")</f>
        <v/>
      </c>
      <c r="H2756" s="1069" t="n">
        <v>3.15602333333333</v>
      </c>
      <c r="I2756" s="2161" t="n">
        <v>0</v>
      </c>
      <c r="J2756" s="2161" t="n">
        <v>0</v>
      </c>
      <c r="K2756" s="2161" t="n"/>
    </row>
    <row r="2757" outlineLevel="3" ht="15.75" customHeight="1">
      <c r="A2757" s="10" t="n">
        <v>32</v>
      </c>
      <c r="B2757" s="10" t="inlineStr">
        <is>
          <t>Insumo</t>
        </is>
      </c>
      <c r="C2757" s="10" t="inlineStr">
        <is>
          <t xml:space="preserve">Regularização de Teto 0,50 cm </t>
        </is>
      </c>
      <c r="D2757" s="10" t="inlineStr">
        <is>
          <t>Argamassa usninada para contrapiso</t>
        </is>
      </c>
      <c r="E2757" s="11">
        <f t="array" ref="E2757">_xlfn.XLOOKUP(D2757,Insumos!B:B,Insumos!C:$C)</f>
        <v/>
      </c>
      <c r="F2757" s="14" t="n">
        <v>0.005500000000000001</v>
      </c>
      <c r="G2757" s="92">
        <f t="array" ref="G2757">IF(B2757="insumo",_xlfn.XLOOKUP($D2757,Insumos!$B$1:$B$996,Insumos!$D$1:$D$996),"")</f>
        <v/>
      </c>
      <c r="H2757" s="92" t="n">
        <v>3.025</v>
      </c>
      <c r="I2757" s="2162" t="n">
        <v>0</v>
      </c>
      <c r="J2757" s="2162" t="n">
        <v>0</v>
      </c>
      <c r="K2757" s="2162" t="n"/>
    </row>
    <row r="2758" outlineLevel="3" ht="15.75" customHeight="1">
      <c r="A2758" s="10" t="n">
        <v>41</v>
      </c>
      <c r="B2758" s="10" t="inlineStr">
        <is>
          <t>Insumo</t>
        </is>
      </c>
      <c r="C2758" s="10" t="inlineStr">
        <is>
          <t xml:space="preserve">Regularização de Teto 0,50 cm </t>
        </is>
      </c>
      <c r="D2758" s="10" t="inlineStr">
        <is>
          <t>Aditivo Adesivo Liquido Para Argamassas De Revestimentos Cimenticios</t>
        </is>
      </c>
      <c r="E2758" s="11">
        <f t="array" ref="E2758">_xlfn.XLOOKUP(D2758,Insumos!B:B,Insumos!C:$C)</f>
        <v/>
      </c>
      <c r="F2758" s="14" t="n">
        <v>0.003500000000000001</v>
      </c>
      <c r="G2758" s="92">
        <f t="array" ref="G2758">IF(B2758="insumo",_xlfn.XLOOKUP($D2758,Insumos!$B$1:$B$996,Insumos!$D$1:$D$996),"")</f>
        <v/>
      </c>
      <c r="H2758" s="92" t="n">
        <v>0.06769</v>
      </c>
      <c r="I2758" s="2162" t="n">
        <v>0</v>
      </c>
      <c r="J2758" s="2162" t="n">
        <v>0</v>
      </c>
      <c r="K2758" s="2162" t="n"/>
    </row>
    <row r="2759" outlineLevel="3" ht="15.75" customHeight="1">
      <c r="A2759" s="10" t="n">
        <v>62</v>
      </c>
      <c r="B2759" s="10" t="inlineStr">
        <is>
          <t>Insumo</t>
        </is>
      </c>
      <c r="C2759" s="10" t="inlineStr">
        <is>
          <t xml:space="preserve">Regularização de Teto 0,50 cm </t>
        </is>
      </c>
      <c r="D2759" s="10" t="inlineStr">
        <is>
          <t>Cimento Portland Composto CP II-32</t>
        </is>
      </c>
      <c r="E2759" s="11">
        <f t="array" ref="E2759">_xlfn.XLOOKUP(D2759,Insumos!B:B,Insumos!C:$C)</f>
        <v/>
      </c>
      <c r="F2759" s="14" t="n">
        <v>0.08333333333333334</v>
      </c>
      <c r="G2759" s="92">
        <f t="array" ref="G2759">IF(B2759="insumo",_xlfn.XLOOKUP($D2759,Insumos!$B$1:$B$996,Insumos!$D$1:$D$996),"")</f>
        <v/>
      </c>
      <c r="H2759" s="92" t="n">
        <v>0.0633333333333333</v>
      </c>
      <c r="I2759" s="2162" t="n">
        <v>0</v>
      </c>
      <c r="J2759" s="2162" t="n">
        <v>0</v>
      </c>
      <c r="K2759" s="2162" t="n"/>
    </row>
    <row r="2760" outlineLevel="2" ht="15.75" customHeight="1">
      <c r="A2760" s="1067" t="n">
        <v>1</v>
      </c>
      <c r="B2760" s="1067" t="inlineStr">
        <is>
          <t>Serviço</t>
        </is>
      </c>
      <c r="C2760" s="1067" t="inlineStr">
        <is>
          <t>Estucamento de teto</t>
        </is>
      </c>
      <c r="D2760" s="1067" t="inlineStr">
        <is>
          <t>Estucamento de teto</t>
        </is>
      </c>
      <c r="E2760" s="1068" t="inlineStr">
        <is>
          <t>M2</t>
        </is>
      </c>
      <c r="F2760" s="1067" t="n"/>
      <c r="G2760" s="1069">
        <f t="array" ref="G2760">IF(B2760="insumo",_xlfn.XLOOKUP($D2760,Insumos!$B$1:$B$996,Insumos!$D$1:$D$996),"")</f>
        <v/>
      </c>
      <c r="H2760" s="1069" t="n">
        <v>5.10291666666667</v>
      </c>
      <c r="I2760" s="2161" t="e">
        <v>#REF!</v>
      </c>
      <c r="J2760" s="2161" t="e">
        <v>#REF!</v>
      </c>
      <c r="K2760" s="2161" t="n"/>
    </row>
    <row r="2761" outlineLevel="3" ht="15.75" customHeight="1">
      <c r="A2761" s="10" t="n">
        <v>62</v>
      </c>
      <c r="B2761" s="10" t="inlineStr">
        <is>
          <t>Insumo</t>
        </is>
      </c>
      <c r="C2761" s="10" t="inlineStr">
        <is>
          <t>Estucamento de teto</t>
        </is>
      </c>
      <c r="D2761" s="10" t="inlineStr">
        <is>
          <t>Cimento Portland Composto CP II-32</t>
        </is>
      </c>
      <c r="E2761" s="11">
        <f t="array" ref="E2761">_xlfn.XLOOKUP(D2761,Insumos!B:B,Insumos!C:$C)</f>
        <v/>
      </c>
      <c r="F2761" s="14" t="n">
        <v>0.6</v>
      </c>
      <c r="G2761" s="92">
        <f t="array" ref="G2761">IF(B2761="insumo",_xlfn.XLOOKUP($D2761,Insumos!$B$1:$B$996,Insumos!$D$1:$D$996),"")</f>
        <v/>
      </c>
      <c r="H2761" s="92" t="n">
        <v>0.456</v>
      </c>
      <c r="I2761" s="2162" t="e">
        <v>#REF!</v>
      </c>
      <c r="J2761" s="2162" t="e">
        <v>#REF!</v>
      </c>
      <c r="K2761" s="2162" t="n"/>
    </row>
    <row r="2762" outlineLevel="3" ht="15.75" customHeight="1">
      <c r="A2762" s="10" t="n">
        <v>2</v>
      </c>
      <c r="B2762" s="10" t="inlineStr">
        <is>
          <t>Insumo</t>
        </is>
      </c>
      <c r="C2762" s="10" t="inlineStr">
        <is>
          <t>Estucamento de teto</t>
        </is>
      </c>
      <c r="D2762" s="10" t="inlineStr">
        <is>
          <t>LIXA EM FOLHA PARA FERRO, NÚMERO 100</t>
        </is>
      </c>
      <c r="E2762" s="11">
        <f t="array" ref="E2762">_xlfn.XLOOKUP(D2762,Insumos!B:B,Insumos!C:$C)</f>
        <v/>
      </c>
      <c r="F2762" s="14" t="n">
        <v>0.05</v>
      </c>
      <c r="G2762" s="92">
        <f t="array" ref="G2762">IF(B2762="insumo",_xlfn.XLOOKUP($D2762,Insumos!$B$1:$B$996,Insumos!$D$1:$D$996),"")</f>
        <v/>
      </c>
      <c r="H2762" s="92" t="n">
        <v>0.1565</v>
      </c>
      <c r="I2762" s="2162" t="e">
        <v>#REF!</v>
      </c>
      <c r="J2762" s="2162" t="e">
        <v>#REF!</v>
      </c>
      <c r="K2762" s="2162" t="n"/>
    </row>
    <row r="2763" outlineLevel="3" ht="15.75" customHeight="1">
      <c r="A2763" s="10" t="n">
        <v>2</v>
      </c>
      <c r="B2763" s="10" t="inlineStr">
        <is>
          <t>Insumo</t>
        </is>
      </c>
      <c r="C2763" s="10" t="inlineStr">
        <is>
          <t>Estucamento de teto</t>
        </is>
      </c>
      <c r="D2763" s="10" t="inlineStr">
        <is>
          <t>CIMENTO BRANCO NÃO ESTRUTURAL</t>
        </is>
      </c>
      <c r="E2763" s="11">
        <f t="array" ref="E2763">_xlfn.XLOOKUP(D2763,Insumos!B:B,Insumos!C:$C)</f>
        <v/>
      </c>
      <c r="F2763" s="14" t="n">
        <v>0.3</v>
      </c>
      <c r="G2763" s="92">
        <f t="array" ref="G2763">IF(B2763="insumo",_xlfn.XLOOKUP($D2763,Insumos!$B$1:$B$996,Insumos!$D$1:$D$996),"")</f>
        <v/>
      </c>
      <c r="H2763" s="92" t="n">
        <v>1.047</v>
      </c>
      <c r="I2763" s="2162" t="e">
        <v>#REF!</v>
      </c>
      <c r="J2763" s="2162" t="e">
        <v>#REF!</v>
      </c>
      <c r="K2763" s="2162" t="n"/>
    </row>
    <row r="2764" outlineLevel="3" ht="15.75" customHeight="1">
      <c r="A2764" s="10" t="n">
        <v>2</v>
      </c>
      <c r="B2764" s="10" t="inlineStr">
        <is>
          <t>Insumo</t>
        </is>
      </c>
      <c r="C2764" s="10" t="inlineStr">
        <is>
          <t>Estucamento de teto</t>
        </is>
      </c>
      <c r="D2764" s="10" t="inlineStr">
        <is>
          <t>ADESIVO DE BASE ACRÍLICA COMPATÍVEL COM CIMENTO</t>
        </is>
      </c>
      <c r="E2764" s="11">
        <f t="array" ref="E2764">_xlfn.XLOOKUP(D2764,Insumos!B:B,Insumos!C:$C)</f>
        <v/>
      </c>
      <c r="F2764" s="14" t="n">
        <v>0.15</v>
      </c>
      <c r="G2764" s="92">
        <f t="array" ref="G2764">IF(B2764="insumo",_xlfn.XLOOKUP($D2764,Insumos!$B$1:$B$996,Insumos!$D$1:$D$996),"")</f>
        <v/>
      </c>
      <c r="H2764" s="92" t="n">
        <v>3.44341666666667</v>
      </c>
      <c r="I2764" s="2162" t="e">
        <v>#REF!</v>
      </c>
      <c r="J2764" s="2162" t="e">
        <v>#REF!</v>
      </c>
      <c r="K2764" s="2162" t="n"/>
    </row>
    <row r="2765" outlineLevel="2" ht="12.75" customHeight="1">
      <c r="A2765" s="1071" t="n">
        <v>1</v>
      </c>
      <c r="B2765" s="1071" t="inlineStr">
        <is>
          <t>Serviço</t>
        </is>
      </c>
      <c r="C2765" s="1071" t="inlineStr">
        <is>
          <t>Chapisco aplicado em teto, com argamassa pré-fabricada adesiva de cimento colante, aplicação convencional</t>
        </is>
      </c>
      <c r="D2765" s="1071" t="inlineStr">
        <is>
          <t>Chapisco aplicado em teto, com argamassa pré-fabricada adesiva de cimento colante, aplicação convencional</t>
        </is>
      </c>
      <c r="E2765" s="1072" t="inlineStr">
        <is>
          <t>M2</t>
        </is>
      </c>
      <c r="F2765" s="1071" t="n"/>
      <c r="G2765" s="1073">
        <f t="array" ref="G2765">IF(B2765="insumo",_xlfn.XLOOKUP($D2765,Insumos!$B$1:$B$996,Insumos!$D$1:$D$996),"")</f>
        <v/>
      </c>
      <c r="H2765" s="1073" t="n">
        <v>10.11778</v>
      </c>
      <c r="I2765" s="2163" t="e">
        <v>#REF!</v>
      </c>
      <c r="J2765" s="2163" t="e">
        <v>#REF!</v>
      </c>
      <c r="K2765" s="2163" t="n"/>
    </row>
    <row r="2766" outlineLevel="3" ht="12.75" customHeight="1">
      <c r="A2766" s="82" t="n">
        <v>191</v>
      </c>
      <c r="B2766" s="82" t="inlineStr">
        <is>
          <t>Insumo</t>
        </is>
      </c>
      <c r="C2766" s="82" t="inlineStr">
        <is>
          <t>Chapisco aplicado em teto, com argamassa pré-fabricada adesiva de cimento colante, aplicação convencional</t>
        </is>
      </c>
      <c r="D2766" s="82" t="inlineStr">
        <is>
          <t>Argamassa ACIII</t>
        </is>
      </c>
      <c r="E2766" s="11">
        <f t="array" ref="E2766">_xlfn.XLOOKUP(D2766,Insumos!B:B,Insumos!C:$C)</f>
        <v/>
      </c>
      <c r="F2766" s="2164" t="n">
        <v>6.34</v>
      </c>
      <c r="G2766" s="92">
        <f t="array" ref="G2766">IF(B2766="insumo",_xlfn.XLOOKUP($D2766,Insumos!$B$1:$B$996,Insumos!$D$1:$D$996),"")</f>
        <v/>
      </c>
      <c r="H2766" s="92" t="n">
        <v>6.74893</v>
      </c>
      <c r="I2766" s="2165" t="e">
        <v>#REF!</v>
      </c>
      <c r="J2766" s="2165" t="e">
        <v>#REF!</v>
      </c>
      <c r="K2766" s="2165" t="n"/>
    </row>
    <row r="2767" outlineLevel="3" ht="12.75" customHeight="1">
      <c r="A2767" s="82" t="n">
        <v>4</v>
      </c>
      <c r="B2767" s="82" t="inlineStr">
        <is>
          <t>Insumo</t>
        </is>
      </c>
      <c r="C2767" s="82" t="inlineStr">
        <is>
          <t>Chapisco aplicado em teto, com argamassa pré-fabricada adesiva de cimento colante, aplicação convencional</t>
        </is>
      </c>
      <c r="D2767" s="82" t="inlineStr">
        <is>
          <t xml:space="preserve">Aditivo Bianco Adesivo Argamassa Chapisco </t>
        </is>
      </c>
      <c r="E2767" s="11">
        <f t="array" ref="E2767">_xlfn.XLOOKUP(D2767,Insumos!B:B,Insumos!C:$C)</f>
        <v/>
      </c>
      <c r="F2767" s="2164" t="n">
        <v>0.3</v>
      </c>
      <c r="G2767" s="92">
        <f t="array" ref="G2767">IF(B2767="insumo",_xlfn.XLOOKUP($D2767,Insumos!$B$1:$B$996,Insumos!$D$1:$D$996),"")</f>
        <v/>
      </c>
      <c r="H2767" s="92" t="n">
        <v>3.36885</v>
      </c>
      <c r="I2767" s="2165" t="e">
        <v>#REF!</v>
      </c>
      <c r="J2767" s="2165" t="e">
        <v>#REF!</v>
      </c>
      <c r="K2767" s="2165" t="n"/>
    </row>
    <row r="2768" outlineLevel="2" ht="15.75" customHeight="1">
      <c r="A2768" s="1067" t="n">
        <v>1</v>
      </c>
      <c r="B2768" s="1067" t="inlineStr">
        <is>
          <t>Serviço</t>
        </is>
      </c>
      <c r="C2768" s="1067" t="inlineStr">
        <is>
          <t>Massa unica para reboco interno em Tetos com argamassa estabilizada, espessura de 2,5cm, com execução desempenado fino</t>
        </is>
      </c>
      <c r="D2768" s="1067" t="inlineStr">
        <is>
          <t>Massa unica para reboco interno em Tetos com argamassa estabilizada, espessura de 2,5cm, com execução desempenado fino</t>
        </is>
      </c>
      <c r="E2768" s="1068" t="inlineStr">
        <is>
          <t>M2</t>
        </is>
      </c>
      <c r="F2768" s="1067" t="n"/>
      <c r="G2768" s="1069">
        <f t="array" ref="G2768">IF(B2768="insumo",_xlfn.XLOOKUP($D2768,Insumos!$B$1:$B$996,Insumos!$D$1:$D$996),"")</f>
        <v/>
      </c>
      <c r="H2768" s="1069" t="n">
        <v>10.89375</v>
      </c>
      <c r="I2768" s="2161" t="e">
        <v>#REF!</v>
      </c>
      <c r="J2768" s="2161" t="e">
        <v>#REF!</v>
      </c>
      <c r="K2768" s="2161" t="n"/>
    </row>
    <row r="2769" outlineLevel="3" ht="15.75" customHeight="1">
      <c r="A2769" s="10" t="n">
        <v>7</v>
      </c>
      <c r="B2769" s="10" t="inlineStr">
        <is>
          <t>Insumo</t>
        </is>
      </c>
      <c r="C2769" s="10" t="inlineStr">
        <is>
          <t>Massa unica para reboco interno em Tetos com argamassa estabilizada, espessura de 2,5cm, com execução desempenado fino</t>
        </is>
      </c>
      <c r="D2769" s="10" t="inlineStr">
        <is>
          <t>Argamassa Usinada para emboço/massa única</t>
        </is>
      </c>
      <c r="E2769" s="11">
        <f t="array" ref="E2769">_xlfn.XLOOKUP(D2769,Insumos!B:B,Insumos!C:$C)</f>
        <v/>
      </c>
      <c r="F2769" s="14" t="n">
        <v>0.02625</v>
      </c>
      <c r="G2769" s="92">
        <f t="array" ref="G2769">IF(B2769="insumo",_xlfn.XLOOKUP($D2769,Insumos!$B$1:$B$996,Insumos!$D$1:$D$996),"")</f>
        <v/>
      </c>
      <c r="H2769" s="92" t="n">
        <v>10.89375</v>
      </c>
      <c r="I2769" s="2162" t="e">
        <v>#REF!</v>
      </c>
      <c r="J2769" s="2162" t="e">
        <v>#REF!</v>
      </c>
      <c r="K2769" s="2162" t="n"/>
    </row>
    <row r="2770" outlineLevel="2" ht="15.75" customHeight="1">
      <c r="A2770" s="1067" t="n">
        <v>1</v>
      </c>
      <c r="B2770" s="1067" t="inlineStr">
        <is>
          <t>Serviço</t>
        </is>
      </c>
      <c r="C2770" s="1067" t="inlineStr">
        <is>
          <t>Massa unica para reboco interno em tetos com argamassa estabilizada projetada, espessura 2,0cm, desempenado fino</t>
        </is>
      </c>
      <c r="D2770" s="1067" t="inlineStr">
        <is>
          <t>Massa unica para reboco interno em tetos com argamassa estabilizada projetada, espessura 2,0cm, desempenado fino</t>
        </is>
      </c>
      <c r="E2770" s="1068" t="inlineStr">
        <is>
          <t>M2</t>
        </is>
      </c>
      <c r="F2770" s="1067" t="n"/>
      <c r="G2770" s="1069">
        <f t="array" ref="G2770">IF(B2770="insumo",_xlfn.XLOOKUP($D2770,Insumos!$B$1:$B$996,Insumos!$D$1:$D$996),"")</f>
        <v/>
      </c>
      <c r="H2770" s="1069" t="n">
        <v>19</v>
      </c>
      <c r="I2770" s="2161" t="n">
        <v>0</v>
      </c>
      <c r="J2770" s="2161" t="n">
        <v>0</v>
      </c>
      <c r="K2770" s="2161" t="n"/>
    </row>
    <row r="2771" outlineLevel="3" ht="15.75" customHeight="1">
      <c r="A2771" s="10" t="n">
        <v>3</v>
      </c>
      <c r="B2771" s="10" t="inlineStr">
        <is>
          <t>Insumo</t>
        </is>
      </c>
      <c r="C2771" s="10" t="inlineStr">
        <is>
          <t>Massa unica para reboco interno em tetos com argamassa estabilizada projetada, espessura 2,0cm, desempenado fino</t>
        </is>
      </c>
      <c r="D2771" s="10" t="inlineStr">
        <is>
          <t>Argamassa industrializada para Para Reboco</t>
        </is>
      </c>
      <c r="E2771" s="11">
        <f t="array" ref="E2771">_xlfn.XLOOKUP(D2771,Insumos!B:B,Insumos!C:$C)</f>
        <v/>
      </c>
      <c r="F2771" s="14" t="n">
        <v>20</v>
      </c>
      <c r="G2771" s="92">
        <f t="array" ref="G2771">IF(B2771="insumo",_xlfn.XLOOKUP($D2771,Insumos!$B$1:$B$996,Insumos!$D$1:$D$996),"")</f>
        <v/>
      </c>
      <c r="H2771" s="92" t="n">
        <v>19</v>
      </c>
      <c r="I2771" s="2162" t="n">
        <v>0</v>
      </c>
      <c r="J2771" s="2162" t="n">
        <v>0</v>
      </c>
      <c r="K2771" s="2162" t="n"/>
    </row>
    <row r="2772" outlineLevel="1" ht="15.75" customHeight="1">
      <c r="A2772" s="1090" t="n">
        <v>1</v>
      </c>
      <c r="B2772" s="1090" t="inlineStr">
        <is>
          <t>Subetapa</t>
        </is>
      </c>
      <c r="C2772" s="1090" t="inlineStr">
        <is>
          <t>Massa unica para reboco interno em tetos com argamassa estabilizada projetada, espessura 2,0cm, desempenado fino</t>
        </is>
      </c>
      <c r="D2772" s="1090" t="inlineStr">
        <is>
          <t>FORRO DE GESSO</t>
        </is>
      </c>
      <c r="E2772" s="1091" t="n"/>
      <c r="F2772" s="2160" t="n"/>
      <c r="G2772" s="1091" t="n"/>
      <c r="H2772" s="1091" t="n">
        <v>0</v>
      </c>
      <c r="I2772" s="2160" t="n">
        <v>0</v>
      </c>
      <c r="J2772" s="2160" t="n">
        <v>0</v>
      </c>
      <c r="K2772" s="2160" t="n"/>
    </row>
    <row r="2773" outlineLevel="2" ht="15.75" customHeight="1">
      <c r="A2773" s="1067" t="n">
        <v>1</v>
      </c>
      <c r="B2773" s="1067" t="inlineStr">
        <is>
          <t>Serviço</t>
        </is>
      </c>
      <c r="C2773" s="1067" t="inlineStr">
        <is>
          <t>Cortineiro em gesso</t>
        </is>
      </c>
      <c r="D2773" s="1067" t="inlineStr">
        <is>
          <t>Cortineiro em gesso</t>
        </is>
      </c>
      <c r="E2773" s="1068" t="inlineStr">
        <is>
          <t>M</t>
        </is>
      </c>
      <c r="F2773" s="1067" t="n"/>
      <c r="G2773" s="1069">
        <f t="array" ref="G2773">IF(B2773="insumo",_xlfn.XLOOKUP($D2773,Insumos!$B$1:$B$996,Insumos!$D$1:$D$996),"")</f>
        <v/>
      </c>
      <c r="H2773" s="1069" t="n">
        <v>44.8</v>
      </c>
      <c r="I2773" s="2161" t="n">
        <v>0</v>
      </c>
      <c r="J2773" s="2161" t="n">
        <v>0</v>
      </c>
      <c r="K2773" s="2161" t="n"/>
    </row>
    <row r="2774" outlineLevel="3" ht="15.75" customHeight="1">
      <c r="A2774" s="10" t="n">
        <v>1</v>
      </c>
      <c r="B2774" s="10" t="inlineStr">
        <is>
          <t>Insumo</t>
        </is>
      </c>
      <c r="C2774" s="10" t="inlineStr">
        <is>
          <t>Cortineiro em gesso</t>
        </is>
      </c>
      <c r="D2774" s="10" t="inlineStr">
        <is>
          <t>Cortineiro Isopor Cortina Sanca 1 Metro 15cm L X 10cm A - Branco, , COLOR Branco</t>
        </is>
      </c>
      <c r="E2774" s="11">
        <f t="array" ref="E2774">_xlfn.XLOOKUP(D2774,Insumos!B:B,Insumos!C:$C)</f>
        <v/>
      </c>
      <c r="F2774" s="14" t="n">
        <v>1</v>
      </c>
      <c r="G2774" s="92">
        <f t="array" ref="G2774">IF(B2774="insumo",_xlfn.XLOOKUP($D2774,Insumos!$B$1:$B$996,Insumos!$D$1:$D$996),"")</f>
        <v/>
      </c>
      <c r="H2774" s="92" t="n">
        <v>44.8</v>
      </c>
      <c r="I2774" s="2162" t="n">
        <v>0</v>
      </c>
      <c r="J2774" s="2162" t="n">
        <v>0</v>
      </c>
      <c r="K2774" s="2162" t="n"/>
    </row>
    <row r="2775" outlineLevel="2" ht="15.75" customHeight="1">
      <c r="A2775" s="1067" t="n">
        <v>1</v>
      </c>
      <c r="B2775" s="1067" t="inlineStr">
        <is>
          <t>Serviço</t>
        </is>
      </c>
      <c r="C2775" s="1067" t="inlineStr">
        <is>
          <t>Cortineiro em gesso com rasgo iluminado</t>
        </is>
      </c>
      <c r="D2775" s="1067" t="inlineStr">
        <is>
          <t>Cortineiro em gesso com rasgo iluminado</t>
        </is>
      </c>
      <c r="E2775" s="1068" t="inlineStr">
        <is>
          <t>M</t>
        </is>
      </c>
      <c r="F2775" s="1067" t="n"/>
      <c r="G2775" s="1069">
        <f t="array" ref="G2775">IF(B2775="insumo",_xlfn.XLOOKUP($D2775,Insumos!$B$1:$B$996,Insumos!$D$1:$D$996),"")</f>
        <v/>
      </c>
      <c r="H2775" s="1069" t="n">
        <v>82.374</v>
      </c>
      <c r="I2775" s="2161" t="e">
        <v>#REF!</v>
      </c>
      <c r="J2775" s="2161" t="e">
        <v>#REF!</v>
      </c>
      <c r="K2775" s="2161" t="n"/>
    </row>
    <row r="2776" outlineLevel="3" ht="15.75" customHeight="1">
      <c r="A2776" s="10" t="n">
        <v>1</v>
      </c>
      <c r="B2776" s="10" t="inlineStr">
        <is>
          <t>Insumo</t>
        </is>
      </c>
      <c r="C2776" s="10" t="inlineStr">
        <is>
          <t>Cortineiro em gesso com rasgo iluminado</t>
        </is>
      </c>
      <c r="D2776" s="10" t="inlineStr">
        <is>
          <t>Cortineiro em gesso com rasgo iluminado</t>
        </is>
      </c>
      <c r="E2776" s="11">
        <f t="array" ref="E2776">_xlfn.XLOOKUP(D2776,Insumos!B:B,Insumos!C:$C)</f>
        <v/>
      </c>
      <c r="F2776" s="14" t="n">
        <v>1.3729</v>
      </c>
      <c r="G2776" s="92">
        <f t="array" ref="G2776">IF(B2776="insumo",_xlfn.XLOOKUP($D2776,Insumos!$B$1:$B$996,Insumos!$D$1:$D$996),"")</f>
        <v/>
      </c>
      <c r="H2776" s="92" t="n">
        <v>82.374</v>
      </c>
      <c r="I2776" s="2162" t="e">
        <v>#REF!</v>
      </c>
      <c r="J2776" s="2162" t="e">
        <v>#REF!</v>
      </c>
      <c r="K2776" s="2162" t="n"/>
    </row>
    <row r="2777" outlineLevel="2" ht="15.75" customHeight="1">
      <c r="A2777" s="1067" t="n">
        <v>1</v>
      </c>
      <c r="B2777" s="1067" t="inlineStr">
        <is>
          <t>Serviço</t>
        </is>
      </c>
      <c r="C2777" s="1067" t="inlineStr">
        <is>
          <t>Tabica em gesso com perfil metálico LED</t>
        </is>
      </c>
      <c r="D2777" s="1067" t="inlineStr">
        <is>
          <t>Tabica em gesso com perfil metálico LED</t>
        </is>
      </c>
      <c r="E2777" s="1068" t="inlineStr">
        <is>
          <t>M</t>
        </is>
      </c>
      <c r="F2777" s="1067" t="n"/>
      <c r="G2777" s="1069">
        <f t="array" ref="G2777">IF(B2777="insumo",_xlfn.XLOOKUP($D2777,Insumos!$B$1:$B$996,Insumos!$D$1:$D$996),"")</f>
        <v/>
      </c>
      <c r="H2777" s="1069" t="n">
        <v>61.7805</v>
      </c>
      <c r="I2777" s="2161" t="e">
        <v>#REF!</v>
      </c>
      <c r="J2777" s="2161" t="e">
        <v>#REF!</v>
      </c>
      <c r="K2777" s="2161" t="n"/>
    </row>
    <row r="2778" outlineLevel="3" ht="15.75" customHeight="1">
      <c r="A2778" s="10" t="n">
        <v>1</v>
      </c>
      <c r="B2778" s="10" t="inlineStr">
        <is>
          <t>Insumo</t>
        </is>
      </c>
      <c r="C2778" s="10" t="inlineStr">
        <is>
          <t>Tabica em gesso com perfil metálico LED</t>
        </is>
      </c>
      <c r="D2778" s="10" t="inlineStr">
        <is>
          <t>Tabica em gesso com perfil metálico LED</t>
        </is>
      </c>
      <c r="E2778" s="11">
        <f t="array" ref="E2778">_xlfn.XLOOKUP(D2778,Insumos!B:B,Insumos!C:$C)</f>
        <v/>
      </c>
      <c r="F2778" s="14" t="n">
        <v>1.3729</v>
      </c>
      <c r="G2778" s="92">
        <f t="array" ref="G2778">IF(B2778="insumo",_xlfn.XLOOKUP($D2778,Insumos!$B$1:$B$996,Insumos!$D$1:$D$996),"")</f>
        <v/>
      </c>
      <c r="H2778" s="92" t="n">
        <v>61.7805</v>
      </c>
      <c r="I2778" s="2162" t="e">
        <v>#REF!</v>
      </c>
      <c r="J2778" s="2162" t="e">
        <v>#REF!</v>
      </c>
      <c r="K2778" s="2162" t="n"/>
    </row>
    <row r="2779" outlineLevel="2" ht="15.75" customHeight="1">
      <c r="A2779" s="1067" t="n">
        <v>1</v>
      </c>
      <c r="B2779" s="1067" t="inlineStr">
        <is>
          <t>Serviço</t>
        </is>
      </c>
      <c r="C2779" s="1067" t="inlineStr">
        <is>
          <t>Tabica em gesso</t>
        </is>
      </c>
      <c r="D2779" s="1067" t="inlineStr">
        <is>
          <t>Tabica em gesso</t>
        </is>
      </c>
      <c r="E2779" s="1068" t="inlineStr">
        <is>
          <t>M</t>
        </is>
      </c>
      <c r="F2779" s="1067" t="n"/>
      <c r="G2779" s="1069">
        <f t="array" ref="G2779">IF(B2779="insumo",_xlfn.XLOOKUP($D2779,Insumos!$B$1:$B$996,Insumos!$D$1:$D$996),"")</f>
        <v/>
      </c>
      <c r="H2779" s="1069" t="n">
        <v>32.4</v>
      </c>
      <c r="I2779" s="2161" t="n">
        <v>0</v>
      </c>
      <c r="J2779" s="2161" t="n">
        <v>0</v>
      </c>
      <c r="K2779" s="2161" t="n"/>
    </row>
    <row r="2780" outlineLevel="3" ht="15.75" customHeight="1">
      <c r="A2780" s="10" t="n">
        <v>1</v>
      </c>
      <c r="B2780" s="10" t="inlineStr">
        <is>
          <t>Insumo</t>
        </is>
      </c>
      <c r="C2780" s="10" t="inlineStr">
        <is>
          <t>Tabica em gesso</t>
        </is>
      </c>
      <c r="D2780" s="10" t="inlineStr">
        <is>
          <t>Tabica em gesso</t>
        </is>
      </c>
      <c r="E2780" s="11">
        <f t="array" ref="E2780">_xlfn.XLOOKUP(D2780,Insumos!B:B,Insumos!C:$C)</f>
        <v/>
      </c>
      <c r="F2780" s="14" t="n">
        <v>1</v>
      </c>
      <c r="G2780" s="92">
        <f t="array" ref="G2780">IF(B2780="insumo",_xlfn.XLOOKUP($D2780,Insumos!$B$1:$B$996,Insumos!$D$1:$D$996),"")</f>
        <v/>
      </c>
      <c r="H2780" s="92" t="n">
        <v>32.4</v>
      </c>
      <c r="I2780" s="2162" t="n">
        <v>0</v>
      </c>
      <c r="J2780" s="2162" t="n">
        <v>0</v>
      </c>
      <c r="K2780" s="2162" t="n"/>
    </row>
    <row r="2781" outlineLevel="2" ht="15.75" customHeight="1">
      <c r="A2781" s="1067" t="n">
        <v>1</v>
      </c>
      <c r="B2781" s="1067" t="inlineStr">
        <is>
          <t>Serviço</t>
        </is>
      </c>
      <c r="C2781" s="1067" t="inlineStr">
        <is>
          <t>Sanca em gesso</t>
        </is>
      </c>
      <c r="D2781" s="1067" t="inlineStr">
        <is>
          <t>Sanca em gesso</t>
        </is>
      </c>
      <c r="E2781" s="1068" t="inlineStr">
        <is>
          <t>M</t>
        </is>
      </c>
      <c r="F2781" s="1067" t="n"/>
      <c r="G2781" s="1069">
        <f t="array" ref="G2781">IF(B2781="insumo",_xlfn.XLOOKUP($D2781,Insumos!$B$1:$B$996,Insumos!$D$1:$D$996),"")</f>
        <v/>
      </c>
      <c r="H2781" s="1069" t="n">
        <v>67.2</v>
      </c>
      <c r="I2781" s="2161" t="n">
        <v>0</v>
      </c>
      <c r="J2781" s="2161" t="n">
        <v>0</v>
      </c>
      <c r="K2781" s="2161" t="n"/>
    </row>
    <row r="2782" outlineLevel="3" ht="15.75" customHeight="1">
      <c r="A2782" s="10" t="n">
        <v>1</v>
      </c>
      <c r="B2782" s="10" t="inlineStr">
        <is>
          <t>Insumo</t>
        </is>
      </c>
      <c r="C2782" s="10" t="inlineStr">
        <is>
          <t>Sanca em gesso</t>
        </is>
      </c>
      <c r="D2782" s="10" t="inlineStr">
        <is>
          <t>Sanca em gesso</t>
        </is>
      </c>
      <c r="E2782" s="11">
        <f t="array" ref="E2782">_xlfn.XLOOKUP(D2782,Insumos!B:B,Insumos!C:$C)</f>
        <v/>
      </c>
      <c r="F2782" s="14" t="n">
        <v>1</v>
      </c>
      <c r="G2782" s="92">
        <f t="array" ref="G2782">IF(B2782="insumo",_xlfn.XLOOKUP($D2782,Insumos!$B$1:$B$996,Insumos!$D$1:$D$996),"")</f>
        <v/>
      </c>
      <c r="H2782" s="92" t="n">
        <v>67.2</v>
      </c>
      <c r="I2782" s="2162" t="n">
        <v>0</v>
      </c>
      <c r="J2782" s="2162" t="n">
        <v>0</v>
      </c>
      <c r="K2782" s="2162" t="n"/>
    </row>
    <row r="2783" outlineLevel="2" ht="15.75" customHeight="1">
      <c r="A2783" s="1067" t="n">
        <v>1</v>
      </c>
      <c r="B2783" s="1067" t="inlineStr">
        <is>
          <t>Serviço</t>
        </is>
      </c>
      <c r="C2783" s="1067" t="inlineStr">
        <is>
          <t>Sanca em gesso com iluminação indireta + LED + perfil</t>
        </is>
      </c>
      <c r="D2783" s="1067" t="inlineStr">
        <is>
          <t>Sanca em gesso com iluminação indireta + LED + perfil</t>
        </is>
      </c>
      <c r="E2783" s="1068" t="inlineStr">
        <is>
          <t>M</t>
        </is>
      </c>
      <c r="F2783" s="1067" t="n"/>
      <c r="G2783" s="1069">
        <f t="array" ref="G2783">IF(B2783="insumo",_xlfn.XLOOKUP($D2783,Insumos!$B$1:$B$996,Insumos!$D$1:$D$996),"")</f>
        <v/>
      </c>
      <c r="H2783" s="1069" t="n">
        <v>116.6965</v>
      </c>
      <c r="I2783" s="2161" t="e">
        <v>#REF!</v>
      </c>
      <c r="J2783" s="2161" t="e">
        <v>#REF!</v>
      </c>
      <c r="K2783" s="2161" t="n"/>
    </row>
    <row r="2784" outlineLevel="3" ht="15.75" customHeight="1">
      <c r="A2784" s="10" t="n">
        <v>1</v>
      </c>
      <c r="B2784" s="10" t="inlineStr">
        <is>
          <t>Insumo</t>
        </is>
      </c>
      <c r="C2784" s="10" t="inlineStr">
        <is>
          <t>Sanca em gesso com iluminação indireta + LED + perfil</t>
        </is>
      </c>
      <c r="D2784" s="10" t="inlineStr">
        <is>
          <t>Sanca em gesso com iluminação indireta + LED + perfil</t>
        </is>
      </c>
      <c r="E2784" s="11">
        <f t="array" ref="E2784">_xlfn.XLOOKUP(D2784,Insumos!B:B,Insumos!C:$C)</f>
        <v/>
      </c>
      <c r="F2784" s="14" t="n">
        <v>1.3729</v>
      </c>
      <c r="G2784" s="92">
        <f t="array" ref="G2784">IF(B2784="insumo",_xlfn.XLOOKUP($D2784,Insumos!$B$1:$B$996,Insumos!$D$1:$D$996),"")</f>
        <v/>
      </c>
      <c r="H2784" s="92" t="n">
        <v>116.6965</v>
      </c>
      <c r="I2784" s="2162" t="e">
        <v>#REF!</v>
      </c>
      <c r="J2784" s="2162" t="e">
        <v>#REF!</v>
      </c>
      <c r="K2784" s="2162" t="n"/>
    </row>
    <row r="2785" outlineLevel="2" ht="15.75" customHeight="1">
      <c r="A2785" s="1067" t="n">
        <v>1</v>
      </c>
      <c r="B2785" s="1067" t="inlineStr">
        <is>
          <t>Serviço</t>
        </is>
      </c>
      <c r="C2785" s="1067" t="inlineStr">
        <is>
          <t>Isolmento acustico em teto</t>
        </is>
      </c>
      <c r="D2785" s="1067" t="inlineStr">
        <is>
          <t>Isolmento acustico em teto</t>
        </is>
      </c>
      <c r="E2785" s="1068" t="inlineStr">
        <is>
          <t>M2</t>
        </is>
      </c>
      <c r="F2785" s="1067" t="n"/>
      <c r="G2785" s="1069">
        <f t="array" ref="G2785">IF(B2785="insumo",_xlfn.XLOOKUP($D2785,Insumos!$B$1:$B$996,Insumos!$D$1:$D$996),"")</f>
        <v/>
      </c>
      <c r="H2785" s="1069" t="n">
        <v>88.4270666666667</v>
      </c>
      <c r="I2785" s="2161" t="n">
        <v>0</v>
      </c>
      <c r="J2785" s="2161" t="n">
        <v>0</v>
      </c>
      <c r="K2785" s="2161" t="n"/>
    </row>
    <row r="2786" outlineLevel="3" ht="15.75" customHeight="1">
      <c r="A2786" s="10" t="n">
        <v>1</v>
      </c>
      <c r="B2786" s="10" t="inlineStr">
        <is>
          <t>Insumo</t>
        </is>
      </c>
      <c r="C2786" s="10" t="inlineStr">
        <is>
          <t>Isolmento acustico em teto</t>
        </is>
      </c>
      <c r="D2786" s="10" t="inlineStr">
        <is>
          <t>Forro De Fibra Mineral Armstrong Ceilings Scala Lay-in 1250 X 625 X 16mm</t>
        </is>
      </c>
      <c r="E2786" s="11">
        <f t="array" ref="E2786">_xlfn.XLOOKUP(D2786,Insumos!B:B,Insumos!C:$C)</f>
        <v/>
      </c>
      <c r="F2786" s="14" t="n">
        <v>1</v>
      </c>
      <c r="G2786" s="92">
        <f t="array" ref="G2786">IF(B2786="insumo",_xlfn.XLOOKUP($D2786,Insumos!$B$1:$B$996,Insumos!$D$1:$D$996),"")</f>
        <v/>
      </c>
      <c r="H2786" s="92" t="n">
        <v>75.5984</v>
      </c>
      <c r="I2786" s="2162" t="n">
        <v>0</v>
      </c>
      <c r="J2786" s="2162" t="n">
        <v>0</v>
      </c>
      <c r="K2786" s="2162" t="n"/>
    </row>
    <row r="2787" outlineLevel="3" ht="15.75" customHeight="1">
      <c r="A2787" s="10" t="n">
        <v>5</v>
      </c>
      <c r="B2787" s="10" t="inlineStr">
        <is>
          <t>Insumo</t>
        </is>
      </c>
      <c r="C2787" s="10" t="inlineStr">
        <is>
          <t>Isolmento acustico em teto</t>
        </is>
      </c>
      <c r="D2787" s="10" t="inlineStr">
        <is>
          <t>LÂ DE VIDRO PARA ISOLAMENTO 50mm</t>
        </is>
      </c>
      <c r="E2787" s="11">
        <f t="array" ref="E2787">_xlfn.XLOOKUP(D2787,Insumos!B:B,Insumos!C:$C)</f>
        <v/>
      </c>
      <c r="F2787" s="14" t="n">
        <v>1</v>
      </c>
      <c r="G2787" s="92">
        <f t="array" ref="G2787">IF(B2787="insumo",_xlfn.XLOOKUP($D2787,Insumos!$B$1:$B$996,Insumos!$D$1:$D$996),"")</f>
        <v/>
      </c>
      <c r="H2787" s="92" t="n">
        <v>12.8286666666667</v>
      </c>
      <c r="I2787" s="2162" t="n">
        <v>0</v>
      </c>
      <c r="J2787" s="2162" t="n">
        <v>0</v>
      </c>
      <c r="K2787" s="2162" t="n"/>
    </row>
    <row r="2788" outlineLevel="2" ht="15.75" customHeight="1">
      <c r="A2788" s="1067" t="n">
        <v>1</v>
      </c>
      <c r="B2788" s="1067" t="inlineStr">
        <is>
          <t>Serviço</t>
        </is>
      </c>
      <c r="C2788" s="1067" t="inlineStr">
        <is>
          <t>Forro de gesso mineral em tetos - Material e Mão de Obra</t>
        </is>
      </c>
      <c r="D2788" s="1067" t="inlineStr">
        <is>
          <t>Forro de gesso mineral em tetos - Material e Mão de Obra</t>
        </is>
      </c>
      <c r="E2788" s="1068" t="inlineStr">
        <is>
          <t>M2</t>
        </is>
      </c>
      <c r="F2788" s="1067" t="n"/>
      <c r="G2788" s="1069" t="n"/>
      <c r="H2788" s="1069" t="n">
        <v>55</v>
      </c>
      <c r="I2788" s="2161" t="n">
        <v>0</v>
      </c>
      <c r="J2788" s="2161" t="n">
        <v>0</v>
      </c>
      <c r="K2788" s="2161" t="n"/>
    </row>
    <row r="2789" outlineLevel="3" ht="15.75" customHeight="1">
      <c r="A2789" s="10" t="n">
        <v>1</v>
      </c>
      <c r="B2789" s="10" t="inlineStr">
        <is>
          <t>Insumo</t>
        </is>
      </c>
      <c r="C2789" s="10" t="inlineStr">
        <is>
          <t>Forro de gesso mineral em tetos - Material e Mão de Obra</t>
        </is>
      </c>
      <c r="D2789" s="10" t="inlineStr">
        <is>
          <t>Forro de gesso mineral em tetos - Material e Mão de Obra</t>
        </is>
      </c>
      <c r="E2789" s="11">
        <f t="array" ref="E2789">_xlfn.XLOOKUP(D2789,Insumos!B:B,Insumos!C:$C)</f>
        <v/>
      </c>
      <c r="F2789" s="14" t="n">
        <v>1</v>
      </c>
      <c r="G2789" s="92">
        <f t="array" ref="G2789">IF(B2789="insumo",_xlfn.XLOOKUP($D2789,Insumos!$B$1:$B$996,Insumos!$D$1:$D$996),"")</f>
        <v/>
      </c>
      <c r="H2789" s="92" t="n">
        <v>55</v>
      </c>
      <c r="I2789" s="2162" t="n">
        <v>0</v>
      </c>
      <c r="J2789" s="2162" t="n">
        <v>0</v>
      </c>
      <c r="K2789" s="2162" t="n"/>
    </row>
    <row r="2790" outlineLevel="2" ht="15.75" customHeight="1">
      <c r="A2790" s="1067" t="n">
        <v>1</v>
      </c>
      <c r="B2790" s="1067" t="inlineStr">
        <is>
          <t>Serviço</t>
        </is>
      </c>
      <c r="C2790" s="1067" t="inlineStr">
        <is>
          <t>Negativo de forro de gesso mineral</t>
        </is>
      </c>
      <c r="D2790" s="1067" t="inlineStr">
        <is>
          <t>Negativo de forro de gesso mineral</t>
        </is>
      </c>
      <c r="E2790" s="1068" t="inlineStr">
        <is>
          <t>M2</t>
        </is>
      </c>
      <c r="F2790" s="1067" t="n"/>
      <c r="G2790" s="1069">
        <f t="array" ref="G2790">IF(B2790="insumo",_xlfn.XLOOKUP($D2790,Insumos!$B$1:$B$996,Insumos!$D$1:$D$996),"")</f>
        <v/>
      </c>
      <c r="H2790" s="1069" t="n">
        <v>35</v>
      </c>
      <c r="I2790" s="2161" t="n">
        <v>0</v>
      </c>
      <c r="J2790" s="2161" t="n">
        <v>0</v>
      </c>
      <c r="K2790" s="2161" t="n"/>
    </row>
    <row r="2791" outlineLevel="3" ht="15.75" customHeight="1">
      <c r="A2791" s="10" t="n">
        <v>1</v>
      </c>
      <c r="B2791" s="10" t="inlineStr">
        <is>
          <t>Insumo</t>
        </is>
      </c>
      <c r="C2791" s="10" t="inlineStr">
        <is>
          <t>Negativo de forro de gesso mineral</t>
        </is>
      </c>
      <c r="D2791" s="10" t="inlineStr">
        <is>
          <t>Negativo de forro de gesso mineral</t>
        </is>
      </c>
      <c r="E2791" s="11">
        <f t="array" ref="E2791">_xlfn.XLOOKUP(D2791,Insumos!B:B,Insumos!C:$C)</f>
        <v/>
      </c>
      <c r="F2791" s="14" t="n">
        <v>1</v>
      </c>
      <c r="G2791" s="92">
        <f t="array" ref="G2791">IF(B2791="insumo",_xlfn.XLOOKUP($D2791,Insumos!$B$1:$B$996,Insumos!$D$1:$D$996),"")</f>
        <v/>
      </c>
      <c r="H2791" s="92" t="n">
        <v>35</v>
      </c>
      <c r="I2791" s="2162" t="n">
        <v>0</v>
      </c>
      <c r="J2791" s="2162" t="n">
        <v>0</v>
      </c>
      <c r="K2791" s="2162" t="n"/>
    </row>
    <row r="2792" outlineLevel="2" ht="15.75" customHeight="1">
      <c r="A2792" s="1067" t="n">
        <v>1</v>
      </c>
      <c r="B2792" s="1067" t="inlineStr">
        <is>
          <t>Serviço</t>
        </is>
      </c>
      <c r="C2792" s="1067" t="inlineStr">
        <is>
          <t>Gesso corrido em tetos - Material e Mão de Obra</t>
        </is>
      </c>
      <c r="D2792" s="1067" t="inlineStr">
        <is>
          <t>Gesso corrido em tetos - Material e Mão de Obra</t>
        </is>
      </c>
      <c r="E2792" s="1068" t="inlineStr">
        <is>
          <t>M2</t>
        </is>
      </c>
      <c r="F2792" s="1067" t="n"/>
      <c r="G2792" s="1370" t="n"/>
      <c r="H2792" s="1069" t="n">
        <v>80.54213215777619</v>
      </c>
      <c r="I2792" s="2161" t="e">
        <v>#REF!</v>
      </c>
      <c r="J2792" s="2161" t="e">
        <v>#REF!</v>
      </c>
      <c r="K2792" s="2161" t="n"/>
    </row>
    <row r="2793" outlineLevel="3" ht="15.75" customHeight="1">
      <c r="A2793" s="10" t="n">
        <v>1</v>
      </c>
      <c r="B2793" s="10" t="inlineStr">
        <is>
          <t>Insumo</t>
        </is>
      </c>
      <c r="C2793" s="10" t="inlineStr">
        <is>
          <t>Gesso corrido em tetos - Material e Mão de Obra</t>
        </is>
      </c>
      <c r="D2793" s="10" t="inlineStr">
        <is>
          <t>Forro de gesso corrido - Material e Mão de Obra</t>
        </is>
      </c>
      <c r="E2793" s="11">
        <f t="array" ref="E2793">_xlfn.XLOOKUP(D2793,Insumos!B:B,Insumos!C:$C)</f>
        <v/>
      </c>
      <c r="F2793" s="14" t="n">
        <v>1.34236886929627</v>
      </c>
      <c r="G2793" s="92">
        <f t="array" ref="G2793">IF(B2793="insumo",_xlfn.XLOOKUP($D2793,Insumos!$B$1:$B$996,Insumos!$D$1:$D$996),"")</f>
        <v/>
      </c>
      <c r="H2793" s="92" t="n">
        <v>80.54213215777619</v>
      </c>
      <c r="I2793" s="2162" t="e">
        <v>#REF!</v>
      </c>
      <c r="J2793" s="2162" t="e">
        <v>#REF!</v>
      </c>
      <c r="K2793" s="2162" t="n"/>
    </row>
    <row r="2794" outlineLevel="2" ht="15.75" customHeight="1">
      <c r="A2794" s="1067" t="n">
        <v>1</v>
      </c>
      <c r="B2794" s="1067" t="inlineStr">
        <is>
          <t>Serviço</t>
        </is>
      </c>
      <c r="C2794" s="1067" t="inlineStr">
        <is>
          <t>Forro de gesso em forma de vigotas, imitando madeira - áreas úmidas - Material e Mão de Obra</t>
        </is>
      </c>
      <c r="D2794" s="1067" t="inlineStr">
        <is>
          <t>Forro de gesso em forma de vigotas, imitando madeira - áreas úmidas - Material e Mão de Obra</t>
        </is>
      </c>
      <c r="E2794" s="1068" t="inlineStr">
        <is>
          <t>M</t>
        </is>
      </c>
      <c r="F2794" s="1067" t="n"/>
      <c r="G2794" s="1069">
        <f t="array" ref="G2794">IF(B2794="insumo",_xlfn.XLOOKUP($D2794,Insumos!$B$1:$B$996,Insumos!$D$1:$D$996),"")</f>
        <v/>
      </c>
      <c r="H2794" s="1069" t="n">
        <v>343.225</v>
      </c>
      <c r="I2794" s="2161" t="e">
        <v>#REF!</v>
      </c>
      <c r="J2794" s="2161" t="e">
        <v>#REF!</v>
      </c>
      <c r="K2794" s="2161" t="n"/>
    </row>
    <row r="2795" outlineLevel="3" ht="15.75" customHeight="1">
      <c r="A2795" s="10" t="n">
        <v>1</v>
      </c>
      <c r="B2795" s="10" t="inlineStr">
        <is>
          <t>Insumo</t>
        </is>
      </c>
      <c r="C2795" s="10" t="inlineStr">
        <is>
          <t>Forro de gesso em forma de vigotas, imitando madeira - áreas úmidas - Material e Mão de Obra</t>
        </is>
      </c>
      <c r="D2795" s="10" t="inlineStr">
        <is>
          <t>Forro de gesso em forma de vigotas, imitando madeira - áreas úmidas - Material e Mão de Obra - incluso estrutura metálica + placa ru + fechamento de caixa + pintura efeito amdeira + instalação</t>
        </is>
      </c>
      <c r="E2795" s="11">
        <f t="array" ref="E2795">_xlfn.XLOOKUP(D2795,Insumos!B:B,Insumos!C:$C)</f>
        <v/>
      </c>
      <c r="F2795" s="14" t="n">
        <v>1.3729</v>
      </c>
      <c r="G2795" s="92">
        <f t="array" ref="G2795">IF(B2795="insumo",_xlfn.XLOOKUP($D2795,Insumos!$B$1:$B$996,Insumos!$D$1:$D$996),"")</f>
        <v/>
      </c>
      <c r="H2795" s="92" t="n">
        <v>343.225</v>
      </c>
      <c r="I2795" s="2162" t="e">
        <v>#REF!</v>
      </c>
      <c r="J2795" s="2162" t="e">
        <v>#REF!</v>
      </c>
      <c r="K2795" s="2162" t="n"/>
    </row>
    <row r="2796" outlineLevel="2" ht="15.75" customHeight="1">
      <c r="A2796" s="1067" t="n">
        <v>1</v>
      </c>
      <c r="B2796" s="1067" t="inlineStr">
        <is>
          <t>Serviço</t>
        </is>
      </c>
      <c r="C2796" s="1067" t="inlineStr">
        <is>
          <t>Forro de gesso acartonado - áreas secas - Material e Mão de Obra</t>
        </is>
      </c>
      <c r="D2796" s="1067" t="inlineStr">
        <is>
          <t>Forro de gesso acartonado - áreas secas - Material e Mão de Obra</t>
        </is>
      </c>
      <c r="E2796" s="1068" t="inlineStr">
        <is>
          <t>M2</t>
        </is>
      </c>
      <c r="F2796" s="1067" t="n"/>
      <c r="G2796" s="1069">
        <f t="array" ref="G2796">IF(B2796="insumo",_xlfn.XLOOKUP($D2796,Insumos!$B$1:$B$996,Insumos!$D$1:$D$996),"")</f>
        <v/>
      </c>
      <c r="H2796" s="1069" t="n">
        <v>137.29</v>
      </c>
      <c r="I2796" s="2161" t="e">
        <v>#REF!</v>
      </c>
      <c r="J2796" s="2161" t="e">
        <v>#REF!</v>
      </c>
      <c r="K2796" s="2161" t="n"/>
    </row>
    <row r="2797" outlineLevel="3" ht="15.75" customHeight="1">
      <c r="A2797" s="10" t="n">
        <v>2</v>
      </c>
      <c r="B2797" s="10" t="inlineStr">
        <is>
          <t>Insumo</t>
        </is>
      </c>
      <c r="C2797" s="10" t="inlineStr">
        <is>
          <t>Forro de gesso acartonado - áreas secas - Material e Mão de Obra</t>
        </is>
      </c>
      <c r="D2797" s="10" t="inlineStr">
        <is>
          <t>Forro de gesso acartonado - áreas secas - Material e Mão de Obra</t>
        </is>
      </c>
      <c r="E2797" s="11">
        <f t="array" ref="E2797">_xlfn.XLOOKUP(D2797,Insumos!B:B,Insumos!C:$C)</f>
        <v/>
      </c>
      <c r="F2797" s="14" t="n">
        <v>1.3729</v>
      </c>
      <c r="G2797" s="92">
        <f t="array" ref="G2797">IF(B2797="insumo",_xlfn.XLOOKUP($D2797,Insumos!$B$1:$B$996,Insumos!$D$1:$D$996),"")</f>
        <v/>
      </c>
      <c r="H2797" s="92" t="n">
        <v>137.29</v>
      </c>
      <c r="I2797" s="2162" t="e">
        <v>#REF!</v>
      </c>
      <c r="J2797" s="2162" t="e">
        <v>#REF!</v>
      </c>
      <c r="K2797" s="2162" t="n"/>
    </row>
    <row r="2798" outlineLevel="2" ht="15.75" customHeight="1">
      <c r="A2798" s="1067" t="n">
        <v>1</v>
      </c>
      <c r="B2798" s="1067" t="inlineStr">
        <is>
          <t>Serviço</t>
        </is>
      </c>
      <c r="C2798" s="1067" t="inlineStr">
        <is>
          <t>Forro de gesso acartonado RF - anti chamas - Material e Mão de Obra</t>
        </is>
      </c>
      <c r="D2798" s="1067" t="inlineStr">
        <is>
          <t>Forro de gesso acartonado RF - anti chamas - Material e Mão de Obra</t>
        </is>
      </c>
      <c r="E2798" s="1068" t="inlineStr">
        <is>
          <t>M2</t>
        </is>
      </c>
      <c r="F2798" s="1067" t="n"/>
      <c r="G2798" s="1069">
        <f t="array" ref="G2798">IF(B2798="insumo",_xlfn.XLOOKUP($D2798,Insumos!$B$1:$B$996,Insumos!$D$1:$D$996),"")</f>
        <v/>
      </c>
      <c r="H2798" s="1069" t="n">
        <v>233.393</v>
      </c>
      <c r="I2798" s="2161" t="e">
        <v>#REF!</v>
      </c>
      <c r="J2798" s="2161" t="e">
        <v>#REF!</v>
      </c>
      <c r="K2798" s="2161" t="n"/>
    </row>
    <row r="2799" outlineLevel="3" ht="15.75" customHeight="1">
      <c r="A2799" s="10" t="n">
        <v>1</v>
      </c>
      <c r="B2799" s="10" t="inlineStr">
        <is>
          <t>Insumo</t>
        </is>
      </c>
      <c r="C2799" s="10" t="inlineStr">
        <is>
          <t>Forro de gesso acartonado RF - anti chamas - Material e Mão de Obra</t>
        </is>
      </c>
      <c r="D2799" s="10" t="inlineStr">
        <is>
          <t>Forro de gesso acartonado RF - anti chamas - Material e Mão de Obra</t>
        </is>
      </c>
      <c r="E2799" s="11">
        <f t="array" ref="E2799">_xlfn.XLOOKUP(D2799,Insumos!B:B,Insumos!C:$C)</f>
        <v/>
      </c>
      <c r="F2799" s="14" t="n">
        <v>1.3729</v>
      </c>
      <c r="G2799" s="92">
        <f t="array" ref="G2799">IF(B2799="insumo",_xlfn.XLOOKUP($D2799,Insumos!$B$1:$B$996,Insumos!$D$1:$D$996),"")</f>
        <v/>
      </c>
      <c r="H2799" s="92" t="n">
        <v>233.393</v>
      </c>
      <c r="I2799" s="2162" t="e">
        <v>#REF!</v>
      </c>
      <c r="J2799" s="2162" t="e">
        <v>#REF!</v>
      </c>
      <c r="K2799" s="2162" t="n"/>
    </row>
    <row r="2800" outlineLevel="2" ht="15.75" customHeight="1">
      <c r="A2800" s="1067" t="n">
        <v>1</v>
      </c>
      <c r="B2800" s="1067" t="inlineStr">
        <is>
          <t>Serviço</t>
        </is>
      </c>
      <c r="C2800" s="1067" t="inlineStr">
        <is>
          <t>Negativo de forro de gesso acartonado - área seca</t>
        </is>
      </c>
      <c r="D2800" s="1067" t="inlineStr">
        <is>
          <t>Negativo de forro de gesso acartonado - área seca</t>
        </is>
      </c>
      <c r="E2800" s="1068" t="inlineStr">
        <is>
          <t>M2</t>
        </is>
      </c>
      <c r="F2800" s="1067" t="n"/>
      <c r="G2800" s="1069">
        <f t="array" ref="G2800">IF(B2800="insumo",_xlfn.XLOOKUP($D2800,Insumos!$B$1:$B$996,Insumos!$D$1:$D$996),"")</f>
        <v/>
      </c>
      <c r="H2800" s="1069" t="n">
        <v>49.4244</v>
      </c>
      <c r="I2800" s="2161" t="e">
        <v>#REF!</v>
      </c>
      <c r="J2800" s="2161" t="e">
        <v>#REF!</v>
      </c>
      <c r="K2800" s="2161" t="n"/>
    </row>
    <row r="2801" outlineLevel="3" ht="15.75" customHeight="1">
      <c r="A2801" s="10" t="n">
        <v>1</v>
      </c>
      <c r="B2801" s="10" t="inlineStr">
        <is>
          <t>Insumo</t>
        </is>
      </c>
      <c r="C2801" s="10" t="inlineStr">
        <is>
          <t>Negativo de forro de gesso acartonado - área seca</t>
        </is>
      </c>
      <c r="D2801" s="10" t="inlineStr">
        <is>
          <t>Negativo de forro de gesso acartonado - área seca</t>
        </is>
      </c>
      <c r="E2801" s="11">
        <f t="array" ref="E2801">_xlfn.XLOOKUP(D2801,Insumos!B:B,Insumos!C:$C)</f>
        <v/>
      </c>
      <c r="F2801" s="14" t="n">
        <v>1.3729</v>
      </c>
      <c r="G2801" s="92">
        <f t="array" ref="G2801">IF(B2801="insumo",_xlfn.XLOOKUP($D2801,Insumos!$B$1:$B$996,Insumos!$D$1:$D$996),"")</f>
        <v/>
      </c>
      <c r="H2801" s="92" t="n">
        <v>49.4244</v>
      </c>
      <c r="I2801" s="2162" t="e">
        <v>#REF!</v>
      </c>
      <c r="J2801" s="2162" t="e">
        <v>#REF!</v>
      </c>
      <c r="K2801" s="2162" t="n"/>
    </row>
    <row r="2802" outlineLevel="2" ht="15.75" customHeight="1">
      <c r="A2802" s="1067" t="n">
        <v>1</v>
      </c>
      <c r="B2802" s="1067" t="inlineStr">
        <is>
          <t>Serviço</t>
        </is>
      </c>
      <c r="C2802" s="1067" t="inlineStr">
        <is>
          <t>Forro de gesso acartonado - áreas úmidas - Material e Mão de Obra</t>
        </is>
      </c>
      <c r="D2802" s="1067" t="inlineStr">
        <is>
          <t>Forro de gesso acartonado - áreas úmidas - Material e Mão de Obra</t>
        </is>
      </c>
      <c r="E2802" s="1068" t="inlineStr">
        <is>
          <t>M2</t>
        </is>
      </c>
      <c r="F2802" s="1067" t="n"/>
      <c r="G2802" s="1069">
        <f t="array" ref="G2802">IF(B2802="insumo",_xlfn.XLOOKUP($D2802,Insumos!$B$1:$B$996,Insumos!$D$1:$D$996),"")</f>
        <v/>
      </c>
      <c r="H2802" s="1069" t="n">
        <v>164.748</v>
      </c>
      <c r="I2802" s="2161" t="e">
        <v>#REF!</v>
      </c>
      <c r="J2802" s="2161" t="e">
        <v>#REF!</v>
      </c>
      <c r="K2802" s="2161" t="n"/>
    </row>
    <row r="2803" outlineLevel="3" ht="15.75" customHeight="1">
      <c r="A2803" s="10" t="n">
        <v>1</v>
      </c>
      <c r="B2803" s="10" t="inlineStr">
        <is>
          <t>Insumo</t>
        </is>
      </c>
      <c r="C2803" s="10" t="inlineStr">
        <is>
          <t>Forro de gesso acartonado - áreas úmidas - Material e Mão de Obra</t>
        </is>
      </c>
      <c r="D2803" s="10" t="inlineStr">
        <is>
          <t>Forro de gesso acartonado - áreas úmidas - Material e Mão de Obra</t>
        </is>
      </c>
      <c r="E2803" s="11">
        <f t="array" ref="E2803">_xlfn.XLOOKUP(D2803,Insumos!B:B,Insumos!C:$C)</f>
        <v/>
      </c>
      <c r="F2803" s="14" t="n">
        <v>1.3729</v>
      </c>
      <c r="G2803" s="92">
        <f t="array" ref="G2803">IF(B2803="insumo",_xlfn.XLOOKUP($D2803,Insumos!$B$1:$B$996,Insumos!$D$1:$D$996),"")</f>
        <v/>
      </c>
      <c r="H2803" s="92" t="n">
        <v>164.748</v>
      </c>
      <c r="I2803" s="2162" t="e">
        <v>#REF!</v>
      </c>
      <c r="J2803" s="2162" t="e">
        <v>#REF!</v>
      </c>
      <c r="K2803" s="2162" t="n"/>
    </row>
    <row r="2804" outlineLevel="2" ht="15.75" customHeight="1">
      <c r="A2804" s="1067" t="n">
        <v>1</v>
      </c>
      <c r="B2804" s="1067" t="inlineStr">
        <is>
          <t>Serviço</t>
        </is>
      </c>
      <c r="C2804" s="1067" t="inlineStr">
        <is>
          <t>Negativo de forro de gesso acartonado - área umida</t>
        </is>
      </c>
      <c r="D2804" s="1067" t="inlineStr">
        <is>
          <t>Negativo de forro de gesso acartonado - área umida</t>
        </is>
      </c>
      <c r="E2804" s="1068" t="inlineStr">
        <is>
          <t>M2</t>
        </is>
      </c>
      <c r="F2804" s="1067" t="n"/>
      <c r="G2804" s="1069">
        <f t="array" ref="G2804">IF(B2804="insumo",_xlfn.XLOOKUP($D2804,Insumos!$B$1:$B$996,Insumos!$D$1:$D$996),"")</f>
        <v/>
      </c>
      <c r="H2804" s="1069" t="n">
        <v>49.4244</v>
      </c>
      <c r="I2804" s="2161" t="e">
        <v>#REF!</v>
      </c>
      <c r="J2804" s="2161" t="e">
        <v>#REF!</v>
      </c>
      <c r="K2804" s="2161" t="n"/>
    </row>
    <row r="2805" outlineLevel="3" ht="15.75" customHeight="1">
      <c r="A2805" s="10" t="n">
        <v>1</v>
      </c>
      <c r="B2805" s="10" t="inlineStr">
        <is>
          <t>Insumo</t>
        </is>
      </c>
      <c r="C2805" s="10" t="inlineStr">
        <is>
          <t>Negativo de forro de gesso acartonado - área umida</t>
        </is>
      </c>
      <c r="D2805" s="10" t="inlineStr">
        <is>
          <t>Negativo de forro de gesso acartonado - área umida</t>
        </is>
      </c>
      <c r="E2805" s="11">
        <f t="array" ref="E2805">_xlfn.XLOOKUP(D2805,Insumos!B:B,Insumos!C:$C)</f>
        <v/>
      </c>
      <c r="F2805" s="14" t="n">
        <v>1.3729</v>
      </c>
      <c r="G2805" s="92">
        <f t="array" ref="G2805">IF(B2805="insumo",_xlfn.XLOOKUP($D2805,Insumos!$B$1:$B$996,Insumos!$D$1:$D$996),"")</f>
        <v/>
      </c>
      <c r="H2805" s="92" t="n">
        <v>49.4244</v>
      </c>
      <c r="I2805" s="2162" t="e">
        <v>#REF!</v>
      </c>
      <c r="J2805" s="2162" t="e">
        <v>#REF!</v>
      </c>
      <c r="K2805" s="2162" t="n"/>
    </row>
    <row r="2806" outlineLevel="2" ht="12.75" customHeight="1">
      <c r="A2806" s="1071" t="n">
        <v>1</v>
      </c>
      <c r="B2806" s="1071" t="inlineStr">
        <is>
          <t>Serviço</t>
        </is>
      </c>
      <c r="C2806" s="1071" t="inlineStr">
        <is>
          <t>Forro Com Sistema Em Chapas De Gesso Para Drywall, Uso Interno, Montante 48mm, Com Uma Face Resistente a Umidade (RU/48)</t>
        </is>
      </c>
      <c r="D2806" s="1071" t="inlineStr">
        <is>
          <t>Forro Com Sistema Em Chapas De Gesso Para Drywall, Uso Interno, Montante 48mm, Com Uma Face Resistente a Umidade (RU/48)</t>
        </is>
      </c>
      <c r="E2806" s="1072" t="inlineStr">
        <is>
          <t>M2</t>
        </is>
      </c>
      <c r="F2806" s="1071" t="n"/>
      <c r="G2806" s="1073">
        <f t="array" ref="G2806">IF(B2806="insumo",_xlfn.XLOOKUP($D2806,Insumos!$B$1:$B$996,Insumos!$D$1:$D$996),"")</f>
        <v/>
      </c>
      <c r="H2806" s="1073" t="n">
        <v>126.415294</v>
      </c>
      <c r="I2806" s="2163" t="n">
        <v>0</v>
      </c>
      <c r="J2806" s="2163" t="n">
        <v>0</v>
      </c>
      <c r="K2806" s="2163" t="n"/>
    </row>
    <row r="2807" outlineLevel="3" ht="12.75" customHeight="1">
      <c r="A2807" s="82" t="n">
        <v>86</v>
      </c>
      <c r="B2807" s="82" t="inlineStr">
        <is>
          <t>Insumo</t>
        </is>
      </c>
      <c r="C2807" s="82" t="inlineStr">
        <is>
          <t>Forro Com Sistema Em Chapas De Gesso Para Drywall, Uso Interno, Montante 48mm, Com Uma Face Resistente a Umidade (RU/48)</t>
        </is>
      </c>
      <c r="D2807" s="82" t="inlineStr">
        <is>
          <t>SERVICO - CONFECCAO SHAFT GESSO</t>
        </is>
      </c>
      <c r="E2807" s="11">
        <f t="array" ref="E2807">_xlfn.XLOOKUP(D2807,Insumos!B:B,Insumos!C:$C)</f>
        <v/>
      </c>
      <c r="F2807" s="2164" t="n">
        <v>1</v>
      </c>
      <c r="G2807" s="92">
        <f t="array" ref="G2807">IF(B2807="insumo",_xlfn.XLOOKUP($D2807,Insumos!$B$1:$B$996,Insumos!$D$1:$D$996),"")</f>
        <v/>
      </c>
      <c r="H2807" s="92" t="n">
        <v>70</v>
      </c>
      <c r="I2807" s="2165" t="n">
        <v>0</v>
      </c>
      <c r="J2807" s="2165" t="n">
        <v>0</v>
      </c>
      <c r="K2807" s="2165" t="n"/>
    </row>
    <row r="2808" outlineLevel="3" ht="12.75" customHeight="1">
      <c r="A2808" s="82" t="n">
        <v>49</v>
      </c>
      <c r="B2808" s="82" t="inlineStr">
        <is>
          <t>Insumo</t>
        </is>
      </c>
      <c r="C2808" s="82" t="inlineStr">
        <is>
          <t>Forro Com Sistema Em Chapas De Gesso Para Drywall, Uso Interno, Montante 48mm, Com Uma Face Resistente a Umidade (RU/48)</t>
        </is>
      </c>
      <c r="D2808" s="82" t="inlineStr">
        <is>
          <t>PLACA / CHAPA DE GESSO ACARTONADO, RESISTENTE A UMIDADE (RU), COR VERDE, E = 12,5 MM, 1200 X 2400 MM (L X C)</t>
        </is>
      </c>
      <c r="E2808" s="11">
        <f t="array" ref="E2808">_xlfn.XLOOKUP(D2808,Insumos!B:B,Insumos!C:$C)</f>
        <v/>
      </c>
      <c r="F2808" s="2164" t="n">
        <v>1.053</v>
      </c>
      <c r="G2808" s="92">
        <f t="array" ref="G2808">IF(B2808="insumo",_xlfn.XLOOKUP($D2808,Insumos!$B$1:$B$996,Insumos!$D$1:$D$996),"")</f>
        <v/>
      </c>
      <c r="H2808" s="92" t="n">
        <v>28.5363</v>
      </c>
      <c r="I2808" s="2165" t="n">
        <v>0</v>
      </c>
      <c r="J2808" s="2165" t="n">
        <v>0</v>
      </c>
      <c r="K2808" s="2165" t="n"/>
    </row>
    <row r="2809" outlineLevel="3" ht="12.75" customHeight="1">
      <c r="A2809" s="82" t="n">
        <v>95</v>
      </c>
      <c r="B2809" s="82" t="inlineStr">
        <is>
          <t>Insumo</t>
        </is>
      </c>
      <c r="C2809" s="82" t="inlineStr">
        <is>
          <t>Forro Com Sistema Em Chapas De Gesso Para Drywall, Uso Interno, Montante 48mm, Com Uma Face Resistente a Umidade (RU/48)</t>
        </is>
      </c>
      <c r="D2809" s="82" t="inlineStr">
        <is>
          <t>PINO DE ACO COM ARRUELA CONICA, DIAMETRO ARRUELA = *23* MM E COMP HASTE = *27* MM (ACAO INDIRETA)</t>
        </is>
      </c>
      <c r="E2809" s="11">
        <f t="array" ref="E2809">_xlfn.XLOOKUP(D2809,Insumos!B:B,Insumos!C:$C)</f>
        <v/>
      </c>
      <c r="F2809" s="2164" t="n">
        <v>2.48</v>
      </c>
      <c r="G2809" s="92">
        <f t="array" ref="G2809">IF(B2809="insumo",_xlfn.XLOOKUP($D2809,Insumos!$B$1:$B$996,Insumos!$D$1:$D$996),"")</f>
        <v/>
      </c>
      <c r="H2809" s="92" t="n">
        <v>1.24992</v>
      </c>
      <c r="I2809" s="2165" t="n">
        <v>0</v>
      </c>
      <c r="J2809" s="2165" t="n">
        <v>0</v>
      </c>
      <c r="K2809" s="2165" t="n"/>
    </row>
    <row r="2810" outlineLevel="3" ht="12.75" customHeight="1">
      <c r="A2810" s="82" t="n">
        <v>26</v>
      </c>
      <c r="B2810" s="82" t="inlineStr">
        <is>
          <t>Insumo</t>
        </is>
      </c>
      <c r="C2810" s="82" t="inlineStr">
        <is>
          <t>Forro Com Sistema Em Chapas De Gesso Para Drywall, Uso Interno, Montante 48mm, Com Uma Face Resistente a Umidade (RU/48)</t>
        </is>
      </c>
      <c r="D2810" s="82" t="inlineStr">
        <is>
          <t>PERFIL GUIA, FORMATO U, EM ACO ZINCADO, PARA ESTRUTURA PAREDE DRYWALL, E = 0,5 MM, 48 X 3000 MM (L X C)</t>
        </is>
      </c>
      <c r="E2810" s="11">
        <f t="array" ref="E2810">_xlfn.XLOOKUP(D2810,Insumos!B:B,Insumos!C:$C)</f>
        <v/>
      </c>
      <c r="F2810" s="2164" t="n">
        <v>0.7624</v>
      </c>
      <c r="G2810" s="92">
        <f t="array" ref="G2810">IF(B2810="insumo",_xlfn.XLOOKUP($D2810,Insumos!$B$1:$B$996,Insumos!$D$1:$D$996),"")</f>
        <v/>
      </c>
      <c r="H2810" s="92" t="n">
        <v>5.359672</v>
      </c>
      <c r="I2810" s="2165" t="n">
        <v>0</v>
      </c>
      <c r="J2810" s="2165" t="n">
        <v>0</v>
      </c>
      <c r="K2810" s="2165" t="n"/>
    </row>
    <row r="2811" outlineLevel="3" ht="12.75" customHeight="1">
      <c r="A2811" s="82" t="n">
        <v>26</v>
      </c>
      <c r="B2811" s="82" t="inlineStr">
        <is>
          <t>Insumo</t>
        </is>
      </c>
      <c r="C2811" s="82" t="inlineStr">
        <is>
          <t>Forro Com Sistema Em Chapas De Gesso Para Drywall, Uso Interno, Montante 48mm, Com Uma Face Resistente a Umidade (RU/48)</t>
        </is>
      </c>
      <c r="D2811" s="82" t="inlineStr">
        <is>
          <t>PERFIL MONTANTE, FORMATO C, EM ACO ZINCADO, PARA ESTRUTURA PAREDE DRYWALL, E = 0,5 MM, 48 X 3000 MM (L X C)</t>
        </is>
      </c>
      <c r="E2811" s="11">
        <f t="array" ref="E2811">_xlfn.XLOOKUP(D2811,Insumos!B:B,Insumos!C:$C)</f>
        <v/>
      </c>
      <c r="F2811" s="2164" t="n">
        <v>2.0006</v>
      </c>
      <c r="G2811" s="92">
        <f t="array" ref="G2811">IF(B2811="insumo",_xlfn.XLOOKUP($D2811,Insumos!$B$1:$B$996,Insumos!$D$1:$D$996),"")</f>
        <v/>
      </c>
      <c r="H2811" s="92" t="n">
        <v>15.964788</v>
      </c>
      <c r="I2811" s="2165" t="n">
        <v>0</v>
      </c>
      <c r="J2811" s="2165" t="n">
        <v>0</v>
      </c>
      <c r="K2811" s="2165" t="n"/>
    </row>
    <row r="2812" outlineLevel="3" ht="12.75" customHeight="1">
      <c r="A2812" s="82" t="n">
        <v>95</v>
      </c>
      <c r="B2812" s="82" t="inlineStr">
        <is>
          <t>Insumo</t>
        </is>
      </c>
      <c r="C2812" s="82" t="inlineStr">
        <is>
          <t>Forro Com Sistema Em Chapas De Gesso Para Drywall, Uso Interno, Montante 48mm, Com Uma Face Resistente a Umidade (RU/48)</t>
        </is>
      </c>
      <c r="D2812" s="82" t="inlineStr">
        <is>
          <t>MASSA DE REJUNTE EM PO PARA DRYWALL, A BASE DE GESSO, SECAGEM RAPIDA, PARA TRATAMENTO DE JUNTAS DE CHAPA DE GESSO (NECESSITA ADICAO DE AGUA)</t>
        </is>
      </c>
      <c r="E2812" s="11">
        <f t="array" ref="E2812">_xlfn.XLOOKUP(D2812,Insumos!B:B,Insumos!C:$C)</f>
        <v/>
      </c>
      <c r="F2812" s="2164" t="n">
        <v>0.5489000000000001</v>
      </c>
      <c r="G2812" s="92">
        <f t="array" ref="G2812">IF(B2812="insumo",_xlfn.XLOOKUP($D2812,Insumos!$B$1:$B$996,Insumos!$D$1:$D$996),"")</f>
        <v/>
      </c>
      <c r="H2812" s="92" t="n">
        <v>1.882727</v>
      </c>
      <c r="I2812" s="2165" t="n">
        <v>0</v>
      </c>
      <c r="J2812" s="2165" t="n">
        <v>0</v>
      </c>
      <c r="K2812" s="2165" t="n"/>
    </row>
    <row r="2813" outlineLevel="3" ht="12.75" customHeight="1">
      <c r="A2813" s="82" t="n">
        <v>94</v>
      </c>
      <c r="B2813" s="82" t="inlineStr">
        <is>
          <t>Insumo</t>
        </is>
      </c>
      <c r="C2813" s="82" t="inlineStr">
        <is>
          <t>Forro Com Sistema Em Chapas De Gesso Para Drywall, Uso Interno, Montante 48mm, Com Uma Face Resistente a Umidade (RU/48)</t>
        </is>
      </c>
      <c r="D2813" s="82" t="inlineStr">
        <is>
          <t>FITA DE PAPEL MICROPERFURADO, 50 X 150 MM, PARA TRATAMENTO DE JUNTAS DE CHAPA DE GESSO PARA DRYWALL</t>
        </is>
      </c>
      <c r="E2813" s="11">
        <f t="array" ref="E2813">_xlfn.XLOOKUP(D2813,Insumos!B:B,Insumos!C:$C)</f>
        <v/>
      </c>
      <c r="F2813" s="2164" t="n">
        <v>1.2513</v>
      </c>
      <c r="G2813" s="92">
        <f t="array" ref="G2813">IF(B2813="insumo",_xlfn.XLOOKUP($D2813,Insumos!$B$1:$B$996,Insumos!$D$1:$D$996),"")</f>
        <v/>
      </c>
      <c r="H2813" s="92" t="n">
        <v>0.387903</v>
      </c>
      <c r="I2813" s="2165" t="n">
        <v>0</v>
      </c>
      <c r="J2813" s="2165" t="n">
        <v>0</v>
      </c>
      <c r="K2813" s="2165" t="n"/>
    </row>
    <row r="2814" outlineLevel="3" ht="12.75" customHeight="1">
      <c r="A2814" s="82" t="n">
        <v>94</v>
      </c>
      <c r="B2814" s="82" t="inlineStr">
        <is>
          <t>Insumo</t>
        </is>
      </c>
      <c r="C2814" s="82" t="inlineStr">
        <is>
          <t>Forro Com Sistema Em Chapas De Gesso Para Drywall, Uso Interno, Montante 48mm, Com Uma Face Resistente a Umidade (RU/48)</t>
        </is>
      </c>
      <c r="D2814" s="82" t="inlineStr">
        <is>
          <t>FITA DE PAPEL REFORCADA COM LAMINA DE METAL PARA REFORCO DE CANTOS DE CHAPA DE GESSO PARA DRYWALL</t>
        </is>
      </c>
      <c r="E2814" s="11">
        <f t="array" ref="E2814">_xlfn.XLOOKUP(D2814,Insumos!B:B,Insumos!C:$C)</f>
        <v/>
      </c>
      <c r="F2814" s="2164" t="n">
        <v>0.7407</v>
      </c>
      <c r="G2814" s="92">
        <f t="array" ref="G2814">IF(B2814="insumo",_xlfn.XLOOKUP($D2814,Insumos!$B$1:$B$996,Insumos!$D$1:$D$996),"")</f>
        <v/>
      </c>
      <c r="H2814" s="92" t="n">
        <v>2.029518</v>
      </c>
      <c r="I2814" s="2165" t="n">
        <v>0</v>
      </c>
      <c r="J2814" s="2165" t="n">
        <v>0</v>
      </c>
      <c r="K2814" s="2165" t="n"/>
    </row>
    <row r="2815" outlineLevel="3" ht="12.75" customHeight="1">
      <c r="A2815" s="82" t="n">
        <v>97</v>
      </c>
      <c r="B2815" s="82" t="inlineStr">
        <is>
          <t>Insumo</t>
        </is>
      </c>
      <c r="C2815" s="82" t="inlineStr">
        <is>
          <t>Forro Com Sistema Em Chapas De Gesso Para Drywall, Uso Interno, Montante 48mm, Com Uma Face Resistente a Umidade (RU/48)</t>
        </is>
      </c>
      <c r="D2815" s="82" t="inlineStr">
        <is>
          <t>PARAFUSO DRY WALL, EM ACO FOSFATIZADO, CABECA TROMBETA E PONTA AGULHA (TA), COMPRIMENTO 25 MM</t>
        </is>
      </c>
      <c r="E2815" s="11">
        <f t="array" ref="E2815">_xlfn.XLOOKUP(D2815,Insumos!B:B,Insumos!C:$C)</f>
        <v/>
      </c>
      <c r="F2815" s="2164" t="n">
        <v>10.0934</v>
      </c>
      <c r="G2815" s="92">
        <f t="array" ref="G2815">IF(B2815="insumo",_xlfn.XLOOKUP($D2815,Insumos!$B$1:$B$996,Insumos!$D$1:$D$996),"")</f>
        <v/>
      </c>
      <c r="H2815" s="92" t="n">
        <v>0.908406</v>
      </c>
      <c r="I2815" s="2165" t="n">
        <v>0</v>
      </c>
      <c r="J2815" s="2165" t="n">
        <v>0</v>
      </c>
      <c r="K2815" s="2165" t="n"/>
    </row>
    <row r="2816" outlineLevel="3" ht="12.75" customHeight="1">
      <c r="A2816" s="82" t="n">
        <v>95</v>
      </c>
      <c r="B2816" s="82" t="inlineStr">
        <is>
          <t>Insumo</t>
        </is>
      </c>
      <c r="C2816" s="82" t="inlineStr">
        <is>
          <t>Forro Com Sistema Em Chapas De Gesso Para Drywall, Uso Interno, Montante 48mm, Com Uma Face Resistente a Umidade (RU/48)</t>
        </is>
      </c>
      <c r="D2816" s="82" t="inlineStr">
        <is>
          <t>PARAFUSO DRY WALL, EM ACO ZINCADO, CABECA LENTILHA E PONTA BROCA (LB), LARGURA 4,2 MM, COMPRIMENTO 13 MM</t>
        </is>
      </c>
      <c r="E2816" s="11">
        <f t="array" ref="E2816">_xlfn.XLOOKUP(D2816,Insumos!B:B,Insumos!C:$C)</f>
        <v/>
      </c>
      <c r="F2816" s="2164" t="n">
        <v>0.4803</v>
      </c>
      <c r="G2816" s="92">
        <f t="array" ref="G2816">IF(B2816="insumo",_xlfn.XLOOKUP($D2816,Insumos!$B$1:$B$996,Insumos!$D$1:$D$996),"")</f>
        <v/>
      </c>
      <c r="H2816" s="92" t="n">
        <v>0.09606000000000001</v>
      </c>
      <c r="I2816" s="2165" t="n">
        <v>0</v>
      </c>
      <c r="J2816" s="2165" t="n">
        <v>0</v>
      </c>
      <c r="K2816" s="2165" t="n"/>
    </row>
    <row r="2817" outlineLevel="1" ht="15.75" customHeight="1">
      <c r="A2817" s="1090" t="n">
        <v>1</v>
      </c>
      <c r="B2817" s="1090" t="inlineStr">
        <is>
          <t>Subetapa</t>
        </is>
      </c>
      <c r="C2817" s="1090" t="inlineStr">
        <is>
          <t>Forro Com Sistema Em Chapas De Gesso Para Drywall, Uso Interno, Montante 48mm, Com Uma Face Resistente a Umidade (RU/48)</t>
        </is>
      </c>
      <c r="D2817" s="1090" t="inlineStr">
        <is>
          <t>FORRO DE DIVERSOS</t>
        </is>
      </c>
      <c r="E2817" s="1091" t="n"/>
      <c r="F2817" s="2160" t="n"/>
      <c r="G2817" s="1091" t="n"/>
      <c r="H2817" s="1091" t="n">
        <v>0</v>
      </c>
      <c r="I2817" s="2160" t="n">
        <v>0</v>
      </c>
      <c r="J2817" s="2160" t="n">
        <v>0</v>
      </c>
      <c r="K2817" s="2160" t="n"/>
    </row>
    <row r="2818" outlineLevel="2" ht="15.75" customHeight="1">
      <c r="A2818" s="1067" t="n">
        <v>1</v>
      </c>
      <c r="B2818" s="1067" t="inlineStr">
        <is>
          <t>Serviço</t>
        </is>
      </c>
      <c r="C2818" s="1067" t="inlineStr">
        <is>
          <t>Forro Removível - Material e Mão de Obra</t>
        </is>
      </c>
      <c r="D2818" s="1067" t="inlineStr">
        <is>
          <t>Forro Removível - Material e Mão de Obra</t>
        </is>
      </c>
      <c r="E2818" s="1068" t="inlineStr">
        <is>
          <t>M2</t>
        </is>
      </c>
      <c r="F2818" s="1067" t="n"/>
      <c r="G2818" s="1069">
        <f t="array" ref="G2818">IF(B2818="insumo",_xlfn.XLOOKUP($D2818,Insumos!$B$1:$B$996,Insumos!$D$1:$D$996),"")</f>
        <v/>
      </c>
      <c r="H2818" s="1069" t="n">
        <v>219.20046110145</v>
      </c>
      <c r="I2818" s="2161" t="n">
        <v>0</v>
      </c>
      <c r="J2818" s="2161" t="n">
        <v>0</v>
      </c>
      <c r="K2818" s="2161" t="n"/>
    </row>
    <row r="2819" outlineLevel="3" ht="15.75" customHeight="1">
      <c r="A2819" s="10" t="n">
        <v>1</v>
      </c>
      <c r="B2819" s="10" t="inlineStr">
        <is>
          <t>Insumo</t>
        </is>
      </c>
      <c r="C2819" s="10" t="inlineStr">
        <is>
          <t>Forro Removível - Material e Mão de Obra</t>
        </is>
      </c>
      <c r="D2819" s="10" t="inlineStr">
        <is>
          <t>Forro Removível - Material e Mão de Obra</t>
        </is>
      </c>
      <c r="E2819" s="11">
        <f t="array" ref="E2819">_xlfn.XLOOKUP(D2819,Insumos!B:B,Insumos!C:$C)</f>
        <v/>
      </c>
      <c r="F2819" s="14" t="n">
        <v>1</v>
      </c>
      <c r="G2819" s="92">
        <f t="array" ref="G2819">IF(B2819="insumo",_xlfn.XLOOKUP($D2819,Insumos!$B$1:$B$996,Insumos!$D$1:$D$996),"")</f>
        <v/>
      </c>
      <c r="H2819" s="92" t="n">
        <v>219.20046110145</v>
      </c>
      <c r="I2819" s="2162" t="n">
        <v>0</v>
      </c>
      <c r="J2819" s="2162" t="n">
        <v>0</v>
      </c>
      <c r="K2819" s="2162" t="n"/>
    </row>
    <row r="2820" outlineLevel="2" ht="15.75" customHeight="1">
      <c r="A2820" s="1067" t="n">
        <v>1</v>
      </c>
      <c r="B2820" s="1067" t="inlineStr">
        <is>
          <t>Serviço</t>
        </is>
      </c>
      <c r="C2820" s="1067" t="inlineStr">
        <is>
          <t>Forro Tensoflex - Material e Mão de Obra</t>
        </is>
      </c>
      <c r="D2820" s="1067" t="inlineStr">
        <is>
          <t>Forro Tensoflex - Material e Mão de Obra</t>
        </is>
      </c>
      <c r="E2820" s="1068" t="inlineStr">
        <is>
          <t>M2</t>
        </is>
      </c>
      <c r="F2820" s="1067" t="n"/>
      <c r="G2820" s="1069">
        <f t="array" ref="G2820">IF(B2820="insumo",_xlfn.XLOOKUP($D2820,Insumos!$B$1:$B$996,Insumos!$D$1:$D$996),"")</f>
        <v/>
      </c>
      <c r="H2820" s="1069" t="n">
        <v>985.164835164835</v>
      </c>
      <c r="I2820" s="2161" t="e">
        <v>#REF!</v>
      </c>
      <c r="J2820" s="2161" t="e">
        <v>#REF!</v>
      </c>
      <c r="K2820" s="2161" t="n"/>
    </row>
    <row r="2821" outlineLevel="3" ht="15.75" customHeight="1">
      <c r="A2821" s="10" t="n">
        <v>1</v>
      </c>
      <c r="B2821" s="10" t="inlineStr">
        <is>
          <t>Insumo</t>
        </is>
      </c>
      <c r="C2821" s="10" t="inlineStr">
        <is>
          <t>Forro Tensoflex - Material e Mão de Obra</t>
        </is>
      </c>
      <c r="D2821" s="10" t="inlineStr">
        <is>
          <t>Forro Tensoflex - Tela tensionada Iluminada - Material e Mão de Obra</t>
        </is>
      </c>
      <c r="E2821" s="11">
        <f t="array" ref="E2821">_xlfn.XLOOKUP(D2821,Insumos!B:B,Insumos!C:$C)</f>
        <v/>
      </c>
      <c r="F2821" s="14" t="n">
        <v>1</v>
      </c>
      <c r="G2821" s="92">
        <f t="array" ref="G2821">IF(B2821="insumo",_xlfn.XLOOKUP($D2821,Insumos!$B$1:$B$996,Insumos!$D$1:$D$996),"")</f>
        <v/>
      </c>
      <c r="H2821" s="92" t="n">
        <v>985.164835164835</v>
      </c>
      <c r="I2821" s="2162" t="e">
        <v>#REF!</v>
      </c>
      <c r="J2821" s="2162" t="e">
        <v>#REF!</v>
      </c>
      <c r="K2821" s="2162" t="n"/>
    </row>
    <row r="2822" outlineLevel="1" ht="12.75" customHeight="1">
      <c r="A2822" s="1067" t="n">
        <v>1</v>
      </c>
      <c r="B2822" s="1076" t="inlineStr">
        <is>
          <t>Serviço</t>
        </is>
      </c>
      <c r="C2822" s="1076" t="inlineStr">
        <is>
          <t>Iluminação de sanca</t>
        </is>
      </c>
      <c r="D2822" s="1076" t="inlineStr">
        <is>
          <t>Iluminação de sanca</t>
        </is>
      </c>
      <c r="E2822" s="1078" t="inlineStr">
        <is>
          <t>m</t>
        </is>
      </c>
      <c r="F2822" s="1076" t="n"/>
      <c r="G2822" s="1069">
        <f t="array" ref="G2822">IF(B2822="insumo",_xlfn.XLOOKUP($D2822,Insumos!$B$1:$B$996,Insumos!$D$1:$D$996),"")</f>
        <v/>
      </c>
      <c r="H2822" s="1069" t="n">
        <v>11.3</v>
      </c>
      <c r="I2822" s="2161" t="n">
        <v>0</v>
      </c>
      <c r="J2822" s="2161" t="n">
        <v>0</v>
      </c>
      <c r="K2822" s="2161" t="n"/>
    </row>
    <row r="2823" outlineLevel="2" ht="12.75" customHeight="1">
      <c r="A2823" s="10" t="n">
        <v>1</v>
      </c>
      <c r="B2823" s="471" t="inlineStr">
        <is>
          <t>Insumo</t>
        </is>
      </c>
      <c r="C2823" s="471" t="inlineStr">
        <is>
          <t>Iluminação de sanca</t>
        </is>
      </c>
      <c r="D2823" s="471" t="inlineStr">
        <is>
          <t>FITA DE LED 1 M</t>
        </is>
      </c>
      <c r="E2823" s="472" t="inlineStr">
        <is>
          <t>M</t>
        </is>
      </c>
      <c r="F2823" s="2164" t="n">
        <v>1</v>
      </c>
      <c r="G2823" s="92">
        <f t="array" ref="G2823">IF(B2823="insumo",_xlfn.XLOOKUP($D2823,Insumos!$B$1:$B$996,Insumos!$D$1:$D$996),"")</f>
        <v/>
      </c>
      <c r="H2823" s="92" t="n">
        <v>11.3</v>
      </c>
      <c r="I2823" s="2162" t="n">
        <v>0</v>
      </c>
      <c r="J2823" s="2162" t="n">
        <v>0</v>
      </c>
      <c r="K2823" s="2162" t="n"/>
    </row>
    <row r="2824" outlineLevel="1" ht="12.75" customHeight="1">
      <c r="A2824" s="1067" t="n">
        <v>1</v>
      </c>
      <c r="B2824" s="1076" t="inlineStr">
        <is>
          <t>Serviço</t>
        </is>
      </c>
      <c r="C2824" s="1076" t="inlineStr">
        <is>
          <t>Forro em sistema de Muxarabi em madeira Peroba Mica- Material e mão de obra</t>
        </is>
      </c>
      <c r="D2824" s="1076" t="inlineStr">
        <is>
          <t>Forro em sistema de Muxarabi em madeira Peroba Mica- Material e mão de obra</t>
        </is>
      </c>
      <c r="E2824" s="1078" t="inlineStr">
        <is>
          <t>m</t>
        </is>
      </c>
      <c r="F2824" s="1076" t="n"/>
      <c r="G2824" s="1069">
        <f t="array" ref="G2824">IF(B2824="insumo",_xlfn.XLOOKUP($D2824,Insumos!$B$1:$B$996,Insumos!$D$1:$D$996),"")</f>
        <v/>
      </c>
      <c r="H2824" s="1069" t="n">
        <v>2315.85503126777</v>
      </c>
      <c r="I2824" s="2161" t="n">
        <v>0</v>
      </c>
      <c r="J2824" s="2161" t="n">
        <v>0</v>
      </c>
      <c r="K2824" s="2161" t="n"/>
    </row>
    <row r="2825" outlineLevel="2" ht="12.75" customHeight="1">
      <c r="A2825" s="10" t="n">
        <v>1</v>
      </c>
      <c r="B2825" s="471" t="inlineStr">
        <is>
          <t>Insumo</t>
        </is>
      </c>
      <c r="C2825" s="471" t="inlineStr">
        <is>
          <t>Forro em sistema de Muxarabi em madeira Peroba Mica- Material e mão de obra</t>
        </is>
      </c>
      <c r="D2825" s="471" t="inlineStr">
        <is>
          <t>Painel Formato Muxarabi - Madeira Peroba Mica - Modelo 16.20/20 - (Ripas, Parafusos, Buchas, vernis e instalação)</t>
        </is>
      </c>
      <c r="E2825" s="472" t="inlineStr">
        <is>
          <t>M2</t>
        </is>
      </c>
      <c r="F2825" s="2164" t="n">
        <v>1</v>
      </c>
      <c r="G2825" s="92">
        <f t="array" ref="G2825">IF(B2825="insumo",_xlfn.XLOOKUP($D2825,Insumos!$B$1:$B$996,Insumos!$D$1:$D$996),"")</f>
        <v/>
      </c>
      <c r="H2825" s="92" t="n">
        <v>2315.85503126777</v>
      </c>
      <c r="I2825" s="2162" t="n">
        <v>0</v>
      </c>
      <c r="J2825" s="2162" t="n">
        <v>0</v>
      </c>
      <c r="K2825" s="2162" t="n"/>
    </row>
    <row r="2826" outlineLevel="1" ht="12.75" customHeight="1">
      <c r="A2826" s="1067" t="n">
        <v>1</v>
      </c>
      <c r="B2826" s="1076" t="inlineStr">
        <is>
          <t>Serviço</t>
        </is>
      </c>
      <c r="C2826" s="1076" t="inlineStr">
        <is>
          <t>Forro de gesso mineral - em placas (forro, negativo e cortineiro)- Material e Mão de Obra</t>
        </is>
      </c>
      <c r="D2826" s="1076" t="inlineStr">
        <is>
          <t>Forro de gesso mineral - em placas (forro, negativo e cortineiro)- Material e Mão de Obra</t>
        </is>
      </c>
      <c r="E2826" s="1078" t="inlineStr">
        <is>
          <t>M2</t>
        </is>
      </c>
      <c r="F2826" s="1076" t="n"/>
      <c r="G2826" s="1069">
        <f t="array" ref="G2826">IF(B2826="insumo",_xlfn.XLOOKUP($D2826,Insumos!$B$1:$B$996,Insumos!$D$1:$D$996),"")</f>
        <v/>
      </c>
      <c r="H2826" s="1069" t="n">
        <v>85</v>
      </c>
      <c r="I2826" s="2161" t="n">
        <v>0</v>
      </c>
      <c r="J2826" s="2161" t="n">
        <v>0</v>
      </c>
      <c r="K2826" s="2161" t="n"/>
    </row>
    <row r="2827" outlineLevel="2" ht="12.75" customHeight="1">
      <c r="A2827" s="10" t="n">
        <v>1</v>
      </c>
      <c r="B2827" s="471" t="inlineStr">
        <is>
          <t>Insumo</t>
        </is>
      </c>
      <c r="C2827" s="471" t="inlineStr">
        <is>
          <t>Forro de gesso mineral - em placas (forro, negativo e cortineiro)- Material e Mão de Obra</t>
        </is>
      </c>
      <c r="D2827" s="471" t="inlineStr">
        <is>
          <t>Forro de gesso mineral - convencional (forro, negativo e cortineiro)</t>
        </is>
      </c>
      <c r="E2827" s="472" t="inlineStr">
        <is>
          <t>M2</t>
        </is>
      </c>
      <c r="F2827" s="2164" t="n">
        <v>1</v>
      </c>
      <c r="G2827" s="92">
        <f t="array" ref="G2827">IF(B2827="insumo",_xlfn.XLOOKUP($D2827,Insumos!$B$1:$B$996,Insumos!$D$1:$D$996),"")</f>
        <v/>
      </c>
      <c r="H2827" s="92" t="n">
        <v>85</v>
      </c>
      <c r="I2827" s="2162" t="n">
        <v>0</v>
      </c>
      <c r="J2827" s="2162" t="n">
        <v>0</v>
      </c>
      <c r="K2827" s="2162" t="n"/>
    </row>
    <row r="2828" outlineLevel="1" ht="12.75" customHeight="1">
      <c r="A2828" s="1067" t="n">
        <v>1</v>
      </c>
      <c r="B2828" s="1076" t="inlineStr">
        <is>
          <t>Serviço</t>
        </is>
      </c>
      <c r="C2828" s="1076" t="inlineStr">
        <is>
          <t>Forro de gesso acartonado - Standart - Material e Mão de Obra</t>
        </is>
      </c>
      <c r="D2828" s="1076" t="inlineStr">
        <is>
          <t>Forro de gesso acartonado - Standart - Material e Mão de Obra</t>
        </is>
      </c>
      <c r="E2828" s="1078" t="inlineStr">
        <is>
          <t>M2</t>
        </is>
      </c>
      <c r="F2828" s="1076" t="n"/>
      <c r="G2828" s="1069">
        <f t="array" ref="G2828">IF(B2828="insumo",_xlfn.XLOOKUP($D2828,Insumos!$B$1:$B$996,Insumos!$D$1:$D$996),"")</f>
        <v/>
      </c>
      <c r="H2828" s="1069" t="n">
        <v>100</v>
      </c>
      <c r="I2828" s="2161" t="n">
        <v>0</v>
      </c>
      <c r="J2828" s="2161" t="n">
        <v>0</v>
      </c>
      <c r="K2828" s="2161" t="n"/>
    </row>
    <row r="2829" outlineLevel="2" ht="12.75" customHeight="1">
      <c r="A2829" s="10" t="n">
        <v>2</v>
      </c>
      <c r="B2829" s="471" t="inlineStr">
        <is>
          <t>Insumo</t>
        </is>
      </c>
      <c r="C2829" s="471" t="inlineStr">
        <is>
          <t>Forro de gesso acartonado - Standart - Material e Mão de Obra</t>
        </is>
      </c>
      <c r="D2829" s="471" t="inlineStr">
        <is>
          <t>Forro de gesso acartonado - áreas secas - Material e Mão de Obra</t>
        </is>
      </c>
      <c r="E2829" s="472" t="inlineStr">
        <is>
          <t>M2</t>
        </is>
      </c>
      <c r="F2829" s="2164" t="n">
        <v>1</v>
      </c>
      <c r="G2829" s="92">
        <f t="array" ref="G2829">IF(B2829="insumo",_xlfn.XLOOKUP($D2829,Insumos!$B$1:$B$996,Insumos!$D$1:$D$996),"")</f>
        <v/>
      </c>
      <c r="H2829" s="92" t="n">
        <v>100</v>
      </c>
      <c r="I2829" s="2162" t="n">
        <v>0</v>
      </c>
      <c r="J2829" s="2162" t="n">
        <v>0</v>
      </c>
      <c r="K2829" s="2162" t="n"/>
    </row>
    <row r="2830" outlineLevel="1" ht="12.75" customHeight="1">
      <c r="A2830" s="1067" t="n">
        <v>1</v>
      </c>
      <c r="B2830" s="1076" t="inlineStr">
        <is>
          <t>Serviço</t>
        </is>
      </c>
      <c r="C2830" s="1076" t="inlineStr">
        <is>
          <t>Forro de gesso acartonado - Resistente à umidade - Material e Mão de Obra</t>
        </is>
      </c>
      <c r="D2830" s="1076" t="inlineStr">
        <is>
          <t>Forro de gesso acartonado - Resistente à umidade - Material e Mão de Obra</t>
        </is>
      </c>
      <c r="E2830" s="1078" t="inlineStr">
        <is>
          <t>M2</t>
        </is>
      </c>
      <c r="F2830" s="1076" t="n"/>
      <c r="G2830" s="1069">
        <f t="array" ref="G2830">IF(B2830="insumo",_xlfn.XLOOKUP($D2830,Insumos!$B$1:$B$996,Insumos!$D$1:$D$996),"")</f>
        <v/>
      </c>
      <c r="H2830" s="1069" t="n">
        <v>198.02</v>
      </c>
      <c r="I2830" s="2161" t="n">
        <v>0</v>
      </c>
      <c r="J2830" s="2161" t="n">
        <v>0</v>
      </c>
      <c r="K2830" s="2161" t="n"/>
    </row>
    <row r="2831" outlineLevel="2" ht="12.75" customHeight="1">
      <c r="A2831" s="10" t="n">
        <v>1</v>
      </c>
      <c r="B2831" s="471" t="inlineStr">
        <is>
          <t>Insumo</t>
        </is>
      </c>
      <c r="C2831" s="471" t="inlineStr">
        <is>
          <t>Forro de gesso acartonado - Resistente à umidade - Material e Mão de Obra</t>
        </is>
      </c>
      <c r="D2831" s="471" t="inlineStr">
        <is>
          <t>Forro de gesso acartonado - Resistente à umidade - Material e Mão de Obra</t>
        </is>
      </c>
      <c r="E2831" s="472" t="inlineStr">
        <is>
          <t>M2</t>
        </is>
      </c>
      <c r="F2831" s="2164" t="n">
        <v>1</v>
      </c>
      <c r="G2831" s="92">
        <f t="array" ref="G2831">IF(B2831="insumo",_xlfn.XLOOKUP($D2831,Insumos!$B$1:$B$996,Insumos!$D$1:$D$996),"")</f>
        <v/>
      </c>
      <c r="H2831" s="92" t="n">
        <v>198.02</v>
      </c>
      <c r="I2831" s="2162" t="n">
        <v>0</v>
      </c>
      <c r="J2831" s="2162" t="n">
        <v>0</v>
      </c>
      <c r="K2831" s="2162" t="n"/>
    </row>
    <row r="2832" outlineLevel="2" ht="15.75" customHeight="1">
      <c r="A2832" s="1067" t="n">
        <v>1</v>
      </c>
      <c r="B2832" s="1067" t="inlineStr">
        <is>
          <t>Serviço</t>
        </is>
      </c>
      <c r="C2832" s="1067" t="inlineStr">
        <is>
          <t xml:space="preserve">Revestimento em Tetos, Papel de parede,  Jeans Cinza 246, acessorios para instalação - Material e Mão de Obra </t>
        </is>
      </c>
      <c r="D2832" s="1067" t="inlineStr">
        <is>
          <t xml:space="preserve">Revestimento em Tetos, Papel de parede,  Jeans Cinza 246, acessorios para instalação - Material e Mão de Obra </t>
        </is>
      </c>
      <c r="E2832" s="1068" t="inlineStr">
        <is>
          <t>M2</t>
        </is>
      </c>
      <c r="F2832" s="1067" t="n"/>
      <c r="G2832" s="1069">
        <f t="array" ref="G2832">IF(B2832="insumo",_xlfn.XLOOKUP($D2832,Insumos!$B$1:$B$996,Insumos!$D$1:$D$996),"")</f>
        <v/>
      </c>
      <c r="H2832" s="1069" t="n">
        <v>283.616352201258</v>
      </c>
      <c r="I2832" s="2161" t="e">
        <v>#REF!</v>
      </c>
      <c r="J2832" s="2161" t="e">
        <v>#REF!</v>
      </c>
      <c r="K2832" s="2161" t="n"/>
    </row>
    <row r="2833" outlineLevel="3" ht="15.75" customHeight="1">
      <c r="A2833" s="10" t="n">
        <v>6</v>
      </c>
      <c r="B2833" s="10" t="inlineStr">
        <is>
          <t>Insumo</t>
        </is>
      </c>
      <c r="C2833" s="10" t="inlineStr">
        <is>
          <t xml:space="preserve">Revestimento em Tetos, Papel de parede,  Jeans Cinza 246, acessorios para instalação - Material e Mão de Obra </t>
        </is>
      </c>
      <c r="D2833" s="10" t="inlineStr">
        <is>
          <t>Mão de obra aplicação de papel de parede em paredes</t>
        </is>
      </c>
      <c r="E2833" s="11">
        <f t="array" ref="E2833">_xlfn.XLOOKUP(D2833,Insumos!B:B,Insumos!C:$C)</f>
        <v/>
      </c>
      <c r="F2833" s="14" t="n">
        <v>1.3</v>
      </c>
      <c r="G2833" s="92">
        <f t="array" ref="G2833">IF(B2833="insumo",_xlfn.XLOOKUP($D2833,Insumos!$B$1:$B$996,Insumos!$D$1:$D$996),"")</f>
        <v/>
      </c>
      <c r="H2833" s="92" t="n">
        <v>65</v>
      </c>
      <c r="I2833" s="2162" t="e">
        <v>#REF!</v>
      </c>
      <c r="J2833" s="2162" t="e">
        <v>#REF!</v>
      </c>
      <c r="K2833" s="2162" t="n"/>
    </row>
    <row r="2834" outlineLevel="3" ht="15.75" customHeight="1">
      <c r="A2834" s="10" t="n">
        <v>2</v>
      </c>
      <c r="B2834" s="10" t="inlineStr">
        <is>
          <t>Insumo</t>
        </is>
      </c>
      <c r="C2834" s="10" t="inlineStr">
        <is>
          <t xml:space="preserve">Revestimento em Tetos, Papel de parede,  Jeans Cinza 246, acessorios para instalação - Material e Mão de Obra </t>
        </is>
      </c>
      <c r="D2834" s="10" t="inlineStr">
        <is>
          <t>Revestimento em Paredes, Papel de parede,  Jeans Cinza 246, acessorios para instalação - Material</t>
        </is>
      </c>
      <c r="E2834" s="11">
        <f t="array" ref="E2834">_xlfn.XLOOKUP(D2834,Insumos!B:B,Insumos!C:$C)</f>
        <v/>
      </c>
      <c r="F2834" s="14" t="n">
        <v>1.1</v>
      </c>
      <c r="G2834" s="92">
        <f t="array" ref="G2834">IF(B2834="insumo",_xlfn.XLOOKUP($D2834,Insumos!$B$1:$B$996,Insumos!$D$1:$D$996),"")</f>
        <v/>
      </c>
      <c r="H2834" s="92" t="n">
        <v>218.616352201258</v>
      </c>
      <c r="I2834" s="2162" t="e">
        <v>#REF!</v>
      </c>
      <c r="J2834" s="2162" t="e">
        <v>#REF!</v>
      </c>
      <c r="K2834" s="2162" t="n"/>
    </row>
    <row r="2835" outlineLevel="1" ht="12.75" customHeight="1">
      <c r="A2835" s="1067" t="n">
        <v>1</v>
      </c>
      <c r="B2835" s="1076" t="inlineStr">
        <is>
          <t>Serviço</t>
        </is>
      </c>
      <c r="C2835" s="1076" t="inlineStr">
        <is>
          <t>Forro de madeira Imbuia - Material e Mão de Obra</t>
        </is>
      </c>
      <c r="D2835" s="1076" t="inlineStr">
        <is>
          <t>Forro de madeira Imbuia - Material e Mão de Obra</t>
        </is>
      </c>
      <c r="E2835" s="1078" t="inlineStr">
        <is>
          <t>M2</t>
        </is>
      </c>
      <c r="F2835" s="1076" t="n"/>
      <c r="G2835" s="1069">
        <f t="array" ref="G2835">IF(B2835="insumo",_xlfn.XLOOKUP($D2835,Insumos!$B$1:$B$996,Insumos!$D$1:$D$996),"")</f>
        <v/>
      </c>
      <c r="H2835" s="1069" t="n">
        <v>722</v>
      </c>
      <c r="I2835" s="2161" t="n">
        <v>0</v>
      </c>
      <c r="J2835" s="2161" t="n">
        <v>0</v>
      </c>
      <c r="K2835" s="2161" t="n"/>
    </row>
    <row r="2836" outlineLevel="2" ht="12.75" customHeight="1">
      <c r="A2836" s="10" t="n">
        <v>1</v>
      </c>
      <c r="B2836" s="471" t="inlineStr">
        <is>
          <t>Insumo</t>
        </is>
      </c>
      <c r="C2836" s="471" t="inlineStr">
        <is>
          <t>Forro de madeira Imbuia - Material e Mão de Obra</t>
        </is>
      </c>
      <c r="D2836" s="471" t="inlineStr">
        <is>
          <t>CHAPA  DE MADEIRA IMBUIA</t>
        </is>
      </c>
      <c r="E2836" s="472" t="inlineStr">
        <is>
          <t>M2</t>
        </is>
      </c>
      <c r="F2836" s="2164" t="n">
        <v>1.1</v>
      </c>
      <c r="G2836" s="92">
        <f t="array" ref="G2836">IF(B2836="insumo",_xlfn.XLOOKUP($D2836,Insumos!$B$1:$B$996,Insumos!$D$1:$D$996),"")</f>
        <v/>
      </c>
      <c r="H2836" s="92" t="n">
        <v>572</v>
      </c>
      <c r="I2836" s="2162" t="n">
        <v>0</v>
      </c>
      <c r="J2836" s="2162" t="n">
        <v>0</v>
      </c>
      <c r="K2836" s="2162" t="n"/>
    </row>
    <row r="2837" outlineLevel="2" ht="12.75" customHeight="1">
      <c r="A2837" s="10" t="n">
        <v>3</v>
      </c>
      <c r="B2837" s="471" t="inlineStr">
        <is>
          <t>Insumo</t>
        </is>
      </c>
      <c r="C2837" s="471" t="inlineStr">
        <is>
          <t>Forro de madeira Imbuia - Material e Mão de Obra</t>
        </is>
      </c>
      <c r="D2837" s="471" t="inlineStr">
        <is>
          <t>Mão de obra instalação de forro de madeira</t>
        </is>
      </c>
      <c r="E2837" s="472" t="inlineStr">
        <is>
          <t>M2</t>
        </is>
      </c>
      <c r="F2837" s="2164" t="n">
        <v>1</v>
      </c>
      <c r="G2837" s="92">
        <f t="array" ref="G2837">IF(B2837="insumo",_xlfn.XLOOKUP($D2837,Insumos!$B$1:$B$996,Insumos!$D$1:$D$996),"")</f>
        <v/>
      </c>
      <c r="H2837" s="92" t="n">
        <v>150</v>
      </c>
      <c r="I2837" s="2162" t="n">
        <v>0</v>
      </c>
      <c r="J2837" s="2162" t="n">
        <v>0</v>
      </c>
      <c r="K2837" s="2162" t="n"/>
    </row>
    <row r="2838" outlineLevel="1" ht="12.75" customHeight="1">
      <c r="A2838" s="1067" t="n">
        <v>1</v>
      </c>
      <c r="B2838" s="1076" t="inlineStr">
        <is>
          <t>Serviço</t>
        </is>
      </c>
      <c r="C2838" s="1076" t="inlineStr">
        <is>
          <t>Forro de madeira Itauba - Material e Mão de Obra</t>
        </is>
      </c>
      <c r="D2838" s="1076" t="inlineStr">
        <is>
          <t>Forro de madeira Itauba - Material e Mão de Obra</t>
        </is>
      </c>
      <c r="E2838" s="1078" t="inlineStr">
        <is>
          <t>M2</t>
        </is>
      </c>
      <c r="F2838" s="1076" t="n"/>
      <c r="G2838" s="1069">
        <f t="array" ref="G2838">IF(B2838="insumo",_xlfn.XLOOKUP($D2838,Insumos!$B$1:$B$996,Insumos!$D$1:$D$996),"")</f>
        <v/>
      </c>
      <c r="H2838" s="1069" t="n">
        <v>788</v>
      </c>
      <c r="I2838" s="2161" t="e">
        <v>#REF!</v>
      </c>
      <c r="J2838" s="2161" t="e">
        <v>#REF!</v>
      </c>
      <c r="K2838" s="2161" t="n"/>
    </row>
    <row r="2839" outlineLevel="2" ht="12.75" customHeight="1">
      <c r="A2839" s="10" t="n">
        <v>1</v>
      </c>
      <c r="B2839" s="471" t="inlineStr">
        <is>
          <t>Insumo</t>
        </is>
      </c>
      <c r="C2839" s="471" t="inlineStr">
        <is>
          <t>Forro de madeira Itauba - Material e Mão de Obra</t>
        </is>
      </c>
      <c r="D2839" s="471" t="inlineStr">
        <is>
          <t>CHAPA DE MADEIRA ITAUBA</t>
        </is>
      </c>
      <c r="E2839" s="472" t="inlineStr">
        <is>
          <t>M2</t>
        </is>
      </c>
      <c r="F2839" s="2164" t="n">
        <v>1.1</v>
      </c>
      <c r="G2839" s="92">
        <f t="array" ref="G2839">IF(B2839="insumo",_xlfn.XLOOKUP($D2839,Insumos!$B$1:$B$996,Insumos!$D$1:$D$996),"")</f>
        <v/>
      </c>
      <c r="H2839" s="92" t="n">
        <v>638</v>
      </c>
      <c r="I2839" s="2162" t="e">
        <v>#REF!</v>
      </c>
      <c r="J2839" s="2162" t="e">
        <v>#REF!</v>
      </c>
      <c r="K2839" s="2162" t="n"/>
    </row>
    <row r="2840" outlineLevel="2" ht="12.75" customHeight="1">
      <c r="A2840" s="10" t="n">
        <v>3</v>
      </c>
      <c r="B2840" s="471" t="inlineStr">
        <is>
          <t>Insumo</t>
        </is>
      </c>
      <c r="C2840" s="471" t="inlineStr">
        <is>
          <t>Forro de madeira Itauba - Material e Mão de Obra</t>
        </is>
      </c>
      <c r="D2840" s="471" t="inlineStr">
        <is>
          <t>Mão de obra instalação de forro de madeira</t>
        </is>
      </c>
      <c r="E2840" s="472" t="inlineStr">
        <is>
          <t>M2</t>
        </is>
      </c>
      <c r="F2840" s="2164" t="n">
        <v>1</v>
      </c>
      <c r="G2840" s="92">
        <f t="array" ref="G2840">IF(B2840="insumo",_xlfn.XLOOKUP($D2840,Insumos!$B$1:$B$996,Insumos!$D$1:$D$996),"")</f>
        <v/>
      </c>
      <c r="H2840" s="92" t="n">
        <v>150</v>
      </c>
      <c r="I2840" s="2162" t="e">
        <v>#REF!</v>
      </c>
      <c r="J2840" s="2162" t="e">
        <v>#REF!</v>
      </c>
      <c r="K2840" s="2162" t="n"/>
    </row>
    <row r="2841" outlineLevel="2" ht="15.75" customHeight="1">
      <c r="A2841" s="1067" t="n">
        <v>1</v>
      </c>
      <c r="B2841" s="1067" t="inlineStr">
        <is>
          <t>Serviço</t>
        </is>
      </c>
      <c r="C2841" s="1067" t="inlineStr">
        <is>
          <t>Forro de placa cimenticia - Material e Mão de Obra</t>
        </is>
      </c>
      <c r="D2841" s="1067" t="inlineStr">
        <is>
          <t>Forro de placa cimenticia - Material e Mão de Obra</t>
        </is>
      </c>
      <c r="E2841" s="1068" t="inlineStr">
        <is>
          <t>M2</t>
        </is>
      </c>
      <c r="F2841" s="1067" t="n"/>
      <c r="G2841" s="1069">
        <f t="array" ref="G2841">IF(B2841="insumo",_xlfn.XLOOKUP($D2841,Insumos!$B$1:$B$996,Insumos!$D$1:$D$996),"")</f>
        <v/>
      </c>
      <c r="H2841" s="1069" t="n">
        <v>275</v>
      </c>
      <c r="I2841" s="2161" t="n">
        <v>0</v>
      </c>
      <c r="J2841" s="2161" t="n">
        <v>0</v>
      </c>
      <c r="K2841" s="2161" t="n"/>
    </row>
    <row r="2842" outlineLevel="3" ht="15.75" customHeight="1">
      <c r="A2842" s="10" t="n">
        <v>1</v>
      </c>
      <c r="B2842" s="10" t="inlineStr">
        <is>
          <t>Insumo</t>
        </is>
      </c>
      <c r="C2842" s="10" t="inlineStr">
        <is>
          <t>Forro de placa cimenticia - Material e Mão de Obra</t>
        </is>
      </c>
      <c r="D2842" s="10" t="inlineStr">
        <is>
          <t>Forro de placa cimenticia - Material e Mão de Obra</t>
        </is>
      </c>
      <c r="E2842" s="11">
        <f t="array" ref="E2842">_xlfn.XLOOKUP(D2842,Insumos!B:B,Insumos!C:$C)</f>
        <v/>
      </c>
      <c r="F2842" s="14" t="n">
        <v>1</v>
      </c>
      <c r="G2842" s="92">
        <f t="array" ref="G2842">IF(B2842="insumo",_xlfn.XLOOKUP($D2842,Insumos!$B$1:$B$996,Insumos!$D$1:$D$996),"")</f>
        <v/>
      </c>
      <c r="H2842" s="92" t="n">
        <v>275</v>
      </c>
      <c r="I2842" s="2162" t="n">
        <v>0</v>
      </c>
      <c r="J2842" s="2162" t="n">
        <v>0</v>
      </c>
      <c r="K2842" s="2162" t="n"/>
    </row>
    <row r="2843" outlineLevel="2" ht="15.75" customHeight="1">
      <c r="A2843" s="1067" t="n">
        <v>1</v>
      </c>
      <c r="B2843" s="1067" t="inlineStr">
        <is>
          <t>Serviço</t>
        </is>
      </c>
      <c r="C2843" s="1067" t="inlineStr">
        <is>
          <t>Forro de MDF Liso  - Material e Mão de Obra</t>
        </is>
      </c>
      <c r="D2843" s="1067" t="inlineStr">
        <is>
          <t>Forro de MDF Liso  - Material e Mão de Obra</t>
        </is>
      </c>
      <c r="E2843" s="1068" t="inlineStr">
        <is>
          <t>M2</t>
        </is>
      </c>
      <c r="F2843" s="1067" t="n"/>
      <c r="G2843" s="1069">
        <f t="array" ref="G2843">IF(B2843="insumo",_xlfn.XLOOKUP($D2843,Insumos!$B$1:$B$996,Insumos!$D$1:$D$996),"")</f>
        <v/>
      </c>
      <c r="H2843" s="1069" t="n">
        <v>330</v>
      </c>
      <c r="I2843" s="2161" t="e">
        <v>#REF!</v>
      </c>
      <c r="J2843" s="2161" t="e">
        <v>#REF!</v>
      </c>
      <c r="K2843" s="2161" t="n"/>
    </row>
    <row r="2844" outlineLevel="3" ht="15.75" customHeight="1">
      <c r="A2844" s="10" t="n">
        <v>1</v>
      </c>
      <c r="B2844" s="10" t="inlineStr">
        <is>
          <t>Insumo</t>
        </is>
      </c>
      <c r="C2844" s="10" t="inlineStr">
        <is>
          <t>Forro de MDF Liso  - Material e Mão de Obra</t>
        </is>
      </c>
      <c r="D2844" s="10" t="inlineStr">
        <is>
          <t>Forro de MDF Liso  - Material e Mão de Obra</t>
        </is>
      </c>
      <c r="E2844" s="11">
        <f t="array" ref="E2844">_xlfn.XLOOKUP(D2844,Insumos!B:B,Insumos!C:$C)</f>
        <v/>
      </c>
      <c r="F2844" s="14" t="n">
        <v>1.1</v>
      </c>
      <c r="G2844" s="92">
        <f t="array" ref="G2844">IF(B2844="insumo",_xlfn.XLOOKUP($D2844,Insumos!$B$1:$B$996,Insumos!$D$1:$D$996),"")</f>
        <v/>
      </c>
      <c r="H2844" s="92" t="n">
        <v>330</v>
      </c>
      <c r="I2844" s="2162" t="e">
        <v>#REF!</v>
      </c>
      <c r="J2844" s="2162" t="e">
        <v>#REF!</v>
      </c>
      <c r="K2844" s="2162" t="n"/>
    </row>
    <row r="2845" outlineLevel="2" ht="15.75" customHeight="1">
      <c r="A2845" s="1067" t="n">
        <v>1</v>
      </c>
      <c r="B2845" s="1067" t="inlineStr">
        <is>
          <t>Serviço</t>
        </is>
      </c>
      <c r="C2845" s="1067" t="inlineStr">
        <is>
          <t>Forro de MDF Liso com Alto relevo personalizado e pintura laca verde - Material e Mão de Obra</t>
        </is>
      </c>
      <c r="D2845" s="1067" t="inlineStr">
        <is>
          <t>Forro de MDF Liso com Alto relevo personalizado e pintura laca verde - Material e Mão de Obra</t>
        </is>
      </c>
      <c r="E2845" s="1068" t="inlineStr">
        <is>
          <t>M2</t>
        </is>
      </c>
      <c r="F2845" s="1067" t="n"/>
      <c r="G2845" s="1069">
        <f t="array" ref="G2845">IF(B2845="insumo",_xlfn.XLOOKUP($D2845,Insumos!$B$1:$B$996,Insumos!$D$1:$D$996),"")</f>
        <v/>
      </c>
      <c r="H2845" s="1069" t="n">
        <v>1056</v>
      </c>
      <c r="I2845" s="2161" t="e">
        <v>#REF!</v>
      </c>
      <c r="J2845" s="2161" t="e">
        <v>#REF!</v>
      </c>
      <c r="K2845" s="2161" t="n"/>
    </row>
    <row r="2846" outlineLevel="3" ht="15.75" customHeight="1">
      <c r="A2846" s="10" t="n">
        <v>1</v>
      </c>
      <c r="B2846" s="10" t="inlineStr">
        <is>
          <t>Insumo</t>
        </is>
      </c>
      <c r="C2846" s="10" t="inlineStr">
        <is>
          <t>Forro de MDF Liso com Alto relevo personalizado e pintura laca verde - Material e Mão de Obra</t>
        </is>
      </c>
      <c r="D2846" s="10" t="inlineStr">
        <is>
          <t>Forro de MDF Liso e pintura laca verde - Material e Mão de Obra - incluso estrutura metálica + mdf 15mm + peças em CNC + colagem e fixação + massa + lixamento + pintura laca verde</t>
        </is>
      </c>
      <c r="E2846" s="11">
        <f t="array" ref="E2846">_xlfn.XLOOKUP(D2846,Insumos!B:B,Insumos!C:$C)</f>
        <v/>
      </c>
      <c r="F2846" s="14" t="n">
        <v>1.1</v>
      </c>
      <c r="G2846" s="92">
        <f t="array" ref="G2846">IF(B2846="insumo",_xlfn.XLOOKUP($D2846,Insumos!$B$1:$B$996,Insumos!$D$1:$D$996),"")</f>
        <v/>
      </c>
      <c r="H2846" s="92" t="n">
        <v>396</v>
      </c>
      <c r="I2846" s="2162" t="e">
        <v>#REF!</v>
      </c>
      <c r="J2846" s="2162" t="e">
        <v>#REF!</v>
      </c>
      <c r="K2846" s="2162" t="n"/>
    </row>
    <row r="2847" outlineLevel="3" ht="15.75" customHeight="1">
      <c r="A2847" s="10" t="n">
        <v>1</v>
      </c>
      <c r="B2847" s="10" t="inlineStr">
        <is>
          <t>Insumo</t>
        </is>
      </c>
      <c r="C2847" s="10" t="inlineStr">
        <is>
          <t>Forro de MDF Liso com Alto relevo personalizado e pintura laca verde - Material e Mão de Obra</t>
        </is>
      </c>
      <c r="D2847" s="10" t="inlineStr">
        <is>
          <t>Forro de MDF Alto relevo personalizado e pintura laca verde - Material e Mão de Obra - peças em CNC + montagem modular + pintura laca verde em multiplas faces</t>
        </is>
      </c>
      <c r="E2847" s="11">
        <f t="array" ref="E2847">_xlfn.XLOOKUP(D2847,Insumos!B:B,Insumos!C:$C)</f>
        <v/>
      </c>
      <c r="F2847" s="14" t="n">
        <v>1.1</v>
      </c>
      <c r="G2847" s="92">
        <f t="array" ref="G2847">IF(B2847="insumo",_xlfn.XLOOKUP($D2847,Insumos!$B$1:$B$996,Insumos!$D$1:$D$996),"")</f>
        <v/>
      </c>
      <c r="H2847" s="92" t="n">
        <v>660</v>
      </c>
      <c r="I2847" s="2162" t="e">
        <v>#REF!</v>
      </c>
      <c r="J2847" s="2162" t="e">
        <v>#REF!</v>
      </c>
      <c r="K2847" s="2162" t="n"/>
    </row>
    <row r="2848" outlineLevel="2" ht="15.75" customHeight="1">
      <c r="A2848" s="1067" t="n">
        <v>1</v>
      </c>
      <c r="B2848" s="1067" t="inlineStr">
        <is>
          <t>Serviço</t>
        </is>
      </c>
      <c r="C2848" s="1067" t="inlineStr">
        <is>
          <t>Forro de MDF Régua com Nuvens em MDF em alto relevo personalizado e pintura azul - Material e Mão de Obra</t>
        </is>
      </c>
      <c r="D2848" s="1067" t="inlineStr">
        <is>
          <t>Forro de MDF Régua com Nuvens em MDF em alto relevo personalizado e pintura azul - Material e Mão de Obra</t>
        </is>
      </c>
      <c r="E2848" s="1068" t="inlineStr">
        <is>
          <t>M2</t>
        </is>
      </c>
      <c r="F2848" s="1067" t="n"/>
      <c r="G2848" s="1069">
        <f t="array" ref="G2848">IF(B2848="insumo",_xlfn.XLOOKUP($D2848,Insumos!$B$1:$B$996,Insumos!$D$1:$D$996),"")</f>
        <v/>
      </c>
      <c r="H2848" s="1069" t="n">
        <v>737</v>
      </c>
      <c r="I2848" s="2161" t="e">
        <v>#REF!</v>
      </c>
      <c r="J2848" s="2161" t="e">
        <v>#REF!</v>
      </c>
      <c r="K2848" s="2161" t="n"/>
    </row>
    <row r="2849" outlineLevel="3" ht="15.75" customHeight="1">
      <c r="A2849" s="10" t="n">
        <v>1</v>
      </c>
      <c r="B2849" s="10" t="inlineStr">
        <is>
          <t>Insumo</t>
        </is>
      </c>
      <c r="C2849" s="10" t="inlineStr">
        <is>
          <t>Forro de MDF Régua com Nuvens em MDF em alto relevo personalizado e pintura azul - Material e Mão de Obra</t>
        </is>
      </c>
      <c r="D2849" s="10" t="inlineStr">
        <is>
          <t>Forro de MDF Régua e pintura azul - Material e Mão de Obra - Forro MDF em régua</t>
        </is>
      </c>
      <c r="E2849" s="11">
        <f t="array" ref="E2849">_xlfn.XLOOKUP(D2849,Insumos!B:B,Insumos!C:$C)</f>
        <v/>
      </c>
      <c r="F2849" s="14" t="n">
        <v>1.1</v>
      </c>
      <c r="G2849" s="92">
        <f t="array" ref="G2849">IF(B2849="insumo",_xlfn.XLOOKUP($D2849,Insumos!$B$1:$B$996,Insumos!$D$1:$D$996),"")</f>
        <v/>
      </c>
      <c r="H2849" s="92" t="n">
        <v>385</v>
      </c>
      <c r="I2849" s="2162" t="e">
        <v>#REF!</v>
      </c>
      <c r="J2849" s="2162" t="e">
        <v>#REF!</v>
      </c>
      <c r="K2849" s="2162" t="n"/>
    </row>
    <row r="2850" outlineLevel="3" ht="15.75" customHeight="1">
      <c r="A2850" s="10" t="n">
        <v>1</v>
      </c>
      <c r="B2850" s="10" t="inlineStr">
        <is>
          <t>Insumo</t>
        </is>
      </c>
      <c r="C2850" s="10" t="inlineStr">
        <is>
          <t>Forro de MDF Régua com Nuvens em MDF em alto relevo personalizado e pintura azul - Material e Mão de Obra</t>
        </is>
      </c>
      <c r="D2850" s="10" t="inlineStr">
        <is>
          <t>Nuvens em MDF em alto relevo personalizado e pintura azul - Material e Mão de Obra - + peças recortadas em CNC + 2 tipologias de nuvens + pintura PU em azul + montagem suspensa</t>
        </is>
      </c>
      <c r="E2850" s="11">
        <f t="array" ref="E2850">_xlfn.XLOOKUP(D2850,Insumos!B:B,Insumos!C:$C)</f>
        <v/>
      </c>
      <c r="F2850" s="14" t="n">
        <v>1.1</v>
      </c>
      <c r="G2850" s="92">
        <f t="array" ref="G2850">IF(B2850="insumo",_xlfn.XLOOKUP($D2850,Insumos!$B$1:$B$996,Insumos!$D$1:$D$996),"")</f>
        <v/>
      </c>
      <c r="H2850" s="92" t="n">
        <v>352</v>
      </c>
      <c r="I2850" s="2162" t="e">
        <v>#REF!</v>
      </c>
      <c r="J2850" s="2162" t="e">
        <v>#REF!</v>
      </c>
      <c r="K2850" s="2162" t="n"/>
    </row>
    <row r="2851" outlineLevel="2" ht="15.75" customHeight="1">
      <c r="A2851" s="1067" t="n">
        <v>1</v>
      </c>
      <c r="B2851" s="1067" t="inlineStr">
        <is>
          <t>Serviço</t>
        </is>
      </c>
      <c r="C2851" s="1067" t="inlineStr">
        <is>
          <t>Forro de madeira - Material e Mão de Obra</t>
        </is>
      </c>
      <c r="D2851" s="1067" t="inlineStr">
        <is>
          <t>Forro de madeira - Material e Mão de Obra</t>
        </is>
      </c>
      <c r="E2851" s="1068" t="inlineStr">
        <is>
          <t>M2</t>
        </is>
      </c>
      <c r="F2851" s="1067" t="n"/>
      <c r="G2851" s="1069">
        <f t="array" ref="G2851">IF(B2851="insumo",_xlfn.XLOOKUP($D2851,Insumos!$B$1:$B$996,Insumos!$D$1:$D$996),"")</f>
        <v/>
      </c>
      <c r="H2851" s="1069" t="n">
        <v>249</v>
      </c>
      <c r="I2851" s="2161" t="n">
        <v>0</v>
      </c>
      <c r="J2851" s="2161" t="n">
        <v>0</v>
      </c>
      <c r="K2851" s="2161" t="n"/>
    </row>
    <row r="2852" outlineLevel="3" ht="15.75" customHeight="1">
      <c r="A2852" s="10" t="n">
        <v>1</v>
      </c>
      <c r="B2852" s="10" t="inlineStr">
        <is>
          <t>Insumo</t>
        </is>
      </c>
      <c r="C2852" s="10" t="inlineStr">
        <is>
          <t>Forro de madeira - Material e Mão de Obra</t>
        </is>
      </c>
      <c r="D2852" s="10" t="inlineStr">
        <is>
          <t>Madeira Amescla para acabamento</t>
        </is>
      </c>
      <c r="E2852" s="11">
        <f t="array" ref="E2852">_xlfn.XLOOKUP(D2852,Insumos!B:B,Insumos!C:$C)</f>
        <v/>
      </c>
      <c r="F2852" s="14" t="n">
        <v>1.1</v>
      </c>
      <c r="G2852" s="92">
        <f t="array" ref="G2852">IF(B2852="insumo",_xlfn.XLOOKUP($D2852,Insumos!$B$1:$B$996,Insumos!$D$1:$D$996),"")</f>
        <v/>
      </c>
      <c r="H2852" s="92" t="n">
        <v>99</v>
      </c>
      <c r="I2852" s="2162" t="n">
        <v>0</v>
      </c>
      <c r="J2852" s="2162" t="n">
        <v>0</v>
      </c>
      <c r="K2852" s="2162" t="n"/>
    </row>
    <row r="2853" outlineLevel="3" ht="15.75" customHeight="1">
      <c r="A2853" s="10" t="n">
        <v>3</v>
      </c>
      <c r="B2853" s="10" t="inlineStr">
        <is>
          <t>Insumo</t>
        </is>
      </c>
      <c r="C2853" s="10" t="inlineStr">
        <is>
          <t>Forro de madeira - Material e Mão de Obra</t>
        </is>
      </c>
      <c r="D2853" s="10" t="inlineStr">
        <is>
          <t>Mão de obra instalação de forro de madeira</t>
        </is>
      </c>
      <c r="E2853" s="11">
        <f t="array" ref="E2853">_xlfn.XLOOKUP(D2853,Insumos!B:B,Insumos!C:$C)</f>
        <v/>
      </c>
      <c r="F2853" s="14" t="n">
        <v>1</v>
      </c>
      <c r="G2853" s="92">
        <f t="array" ref="G2853">IF(B2853="insumo",_xlfn.XLOOKUP($D2853,Insumos!$B$1:$B$996,Insumos!$D$1:$D$996),"")</f>
        <v/>
      </c>
      <c r="H2853" s="92" t="n">
        <v>150</v>
      </c>
      <c r="I2853" s="2162" t="n">
        <v>0</v>
      </c>
      <c r="J2853" s="2162" t="n">
        <v>0</v>
      </c>
      <c r="K2853" s="2162" t="n"/>
    </row>
    <row r="2854" outlineLevel="2" ht="15.75" customHeight="1">
      <c r="A2854" s="1067" t="n">
        <v>1</v>
      </c>
      <c r="B2854" s="1067" t="inlineStr">
        <is>
          <t>Serviço</t>
        </is>
      </c>
      <c r="C2854" s="1067" t="inlineStr">
        <is>
          <t>Forro de Mármore Natural - Material e Mão de Obra</t>
        </is>
      </c>
      <c r="D2854" s="1067" t="inlineStr">
        <is>
          <t>Forro de Mármore Natural - Material e Mão de Obra</t>
        </is>
      </c>
      <c r="E2854" s="1068" t="inlineStr">
        <is>
          <t>M2</t>
        </is>
      </c>
      <c r="F2854" s="1067" t="n"/>
      <c r="G2854" s="1069">
        <f t="array" ref="G2854">IF(B2854="insumo",_xlfn.XLOOKUP($D2854,Insumos!$B$1:$B$996,Insumos!$D$1:$D$996),"")</f>
        <v/>
      </c>
      <c r="H2854" s="1069" t="n">
        <v>1080</v>
      </c>
      <c r="I2854" s="2161" t="e">
        <v>#REF!</v>
      </c>
      <c r="J2854" s="2161" t="e">
        <v>#REF!</v>
      </c>
      <c r="K2854" s="2161" t="n"/>
    </row>
    <row r="2855" outlineLevel="3" ht="15.75" customHeight="1">
      <c r="A2855" s="10" t="n">
        <v>4</v>
      </c>
      <c r="B2855" s="10" t="inlineStr">
        <is>
          <t>Insumo</t>
        </is>
      </c>
      <c r="C2855" s="10" t="inlineStr">
        <is>
          <t>Forro de Mármore Natural - Material e Mão de Obra</t>
        </is>
      </c>
      <c r="D2855" s="10" t="inlineStr">
        <is>
          <t>Mármore Natural</t>
        </is>
      </c>
      <c r="E2855" s="11">
        <f t="array" ref="E2855">_xlfn.XLOOKUP(D2855,Insumos!B:B,Insumos!C:$C)</f>
        <v/>
      </c>
      <c r="F2855" s="14" t="n">
        <v>1.1</v>
      </c>
      <c r="G2855" s="92">
        <f t="array" ref="G2855">IF(B2855="insumo",_xlfn.XLOOKUP($D2855,Insumos!$B$1:$B$996,Insumos!$D$1:$D$996),"")</f>
        <v/>
      </c>
      <c r="H2855" s="92" t="n">
        <v>880</v>
      </c>
      <c r="I2855" s="2162" t="e">
        <v>#REF!</v>
      </c>
      <c r="J2855" s="2162" t="e">
        <v>#REF!</v>
      </c>
      <c r="K2855" s="2162" t="n"/>
    </row>
    <row r="2856" outlineLevel="3" ht="15.75" customHeight="1">
      <c r="A2856" s="10" t="n">
        <v>2</v>
      </c>
      <c r="B2856" s="10" t="inlineStr">
        <is>
          <t>Insumo</t>
        </is>
      </c>
      <c r="C2856" s="10" t="inlineStr">
        <is>
          <t>Forro de Mármore Natural - Material e Mão de Obra</t>
        </is>
      </c>
      <c r="D2856" s="10" t="inlineStr">
        <is>
          <t>Mão de obra para aplicação de Mármore em teto</t>
        </is>
      </c>
      <c r="E2856" s="11">
        <f t="array" ref="E2856">_xlfn.XLOOKUP(D2856,Insumos!B:B,Insumos!C:$C)</f>
        <v/>
      </c>
      <c r="F2856" s="14" t="n">
        <v>1</v>
      </c>
      <c r="G2856" s="92">
        <f t="array" ref="G2856">IF(B2856="insumo",_xlfn.XLOOKUP($D2856,Insumos!$B$1:$B$996,Insumos!$D$1:$D$996),"")</f>
        <v/>
      </c>
      <c r="H2856" s="92" t="n">
        <v>200</v>
      </c>
      <c r="I2856" s="2162" t="e">
        <v>#REF!</v>
      </c>
      <c r="J2856" s="2162" t="e">
        <v>#REF!</v>
      </c>
      <c r="K2856" s="2162" t="n"/>
    </row>
    <row r="2857" outlineLevel="2" ht="15.75" customHeight="1">
      <c r="A2857" s="1067" t="n">
        <v>1</v>
      </c>
      <c r="B2857" s="1067" t="inlineStr">
        <is>
          <t>Serviço</t>
        </is>
      </c>
      <c r="C2857" s="1067" t="inlineStr">
        <is>
          <t>Forro de Mármore Travertino Romano - Material e Mão de Obra</t>
        </is>
      </c>
      <c r="D2857" s="1067" t="inlineStr">
        <is>
          <t>Forro de Mármore Travertino Romano - Material e Mão de Obra</t>
        </is>
      </c>
      <c r="E2857" s="1068" t="inlineStr">
        <is>
          <t>M2</t>
        </is>
      </c>
      <c r="F2857" s="1067" t="n"/>
      <c r="G2857" s="1069">
        <f t="array" ref="G2857">IF(B2857="insumo",_xlfn.XLOOKUP($D2857,Insumos!$B$1:$B$996,Insumos!$D$1:$D$996),"")</f>
        <v/>
      </c>
      <c r="H2857" s="1069" t="n">
        <v>1630</v>
      </c>
      <c r="I2857" s="2161" t="n">
        <v>0</v>
      </c>
      <c r="J2857" s="2161" t="n">
        <v>0</v>
      </c>
      <c r="K2857" s="2161" t="n"/>
    </row>
    <row r="2858" outlineLevel="3" ht="15.75" customHeight="1">
      <c r="A2858" s="10" t="n">
        <v>5</v>
      </c>
      <c r="B2858" s="10" t="inlineStr">
        <is>
          <t>Insumo</t>
        </is>
      </c>
      <c r="C2858" s="10" t="inlineStr">
        <is>
          <t>Forro de Mármore Travertino Romano - Material e Mão de Obra</t>
        </is>
      </c>
      <c r="D2858" s="10" t="inlineStr">
        <is>
          <t>Mármore Travertino Romano</t>
        </is>
      </c>
      <c r="E2858" s="11">
        <f t="array" ref="E2858">_xlfn.XLOOKUP(D2858,Insumos!B:B,Insumos!C:$C)</f>
        <v/>
      </c>
      <c r="F2858" s="14" t="n">
        <v>1.1</v>
      </c>
      <c r="G2858" s="92">
        <f t="array" ref="G2858">IF(B2858="insumo",_xlfn.XLOOKUP($D2858,Insumos!$B$1:$B$996,Insumos!$D$1:$D$996),"")</f>
        <v/>
      </c>
      <c r="H2858" s="92" t="n">
        <v>1430</v>
      </c>
      <c r="I2858" s="2162" t="n">
        <v>0</v>
      </c>
      <c r="J2858" s="2162" t="n">
        <v>0</v>
      </c>
      <c r="K2858" s="2162" t="n"/>
    </row>
    <row r="2859" outlineLevel="3" ht="15.75" customHeight="1">
      <c r="A2859" s="10" t="n">
        <v>2</v>
      </c>
      <c r="B2859" s="10" t="inlineStr">
        <is>
          <t>Insumo</t>
        </is>
      </c>
      <c r="C2859" s="10" t="inlineStr">
        <is>
          <t>Forro de Mármore Travertino Romano - Material e Mão de Obra</t>
        </is>
      </c>
      <c r="D2859" s="10" t="inlineStr">
        <is>
          <t>Mão de obra para aplicação de Mármore em teto</t>
        </is>
      </c>
      <c r="E2859" s="11">
        <f t="array" ref="E2859">_xlfn.XLOOKUP(D2859,Insumos!B:B,Insumos!C:$C)</f>
        <v/>
      </c>
      <c r="F2859" s="14" t="n">
        <v>1</v>
      </c>
      <c r="G2859" s="92">
        <f t="array" ref="G2859">IF(B2859="insumo",_xlfn.XLOOKUP($D2859,Insumos!$B$1:$B$996,Insumos!$D$1:$D$996),"")</f>
        <v/>
      </c>
      <c r="H2859" s="92" t="n">
        <v>200</v>
      </c>
      <c r="I2859" s="2162" t="n">
        <v>0</v>
      </c>
      <c r="J2859" s="2162" t="n">
        <v>0</v>
      </c>
      <c r="K2859" s="2162" t="n"/>
    </row>
    <row r="2860" outlineLevel="2" ht="15.75" customHeight="1">
      <c r="A2860" s="1067" t="n">
        <v>1</v>
      </c>
      <c r="B2860" s="1067" t="inlineStr">
        <is>
          <t>Serviço</t>
        </is>
      </c>
      <c r="C2860" s="1067" t="inlineStr">
        <is>
          <t>Forro de Porcelanato - Material e Mão de Obra</t>
        </is>
      </c>
      <c r="D2860" s="1067" t="inlineStr">
        <is>
          <t>Forro de Porcelanato - Material e Mão de Obra</t>
        </is>
      </c>
      <c r="E2860" s="1068" t="inlineStr">
        <is>
          <t>M2</t>
        </is>
      </c>
      <c r="F2860" s="1067" t="n"/>
      <c r="G2860" s="1069">
        <f t="array" ref="G2860">IF(B2860="insumo",_xlfn.XLOOKUP($D2860,Insumos!$B$1:$B$996,Insumos!$D$1:$D$996),"")</f>
        <v/>
      </c>
      <c r="H2860" s="1069" t="n">
        <v>273.4475</v>
      </c>
      <c r="I2860" s="2161" t="n">
        <v>0</v>
      </c>
      <c r="J2860" s="2161" t="n">
        <v>0</v>
      </c>
      <c r="K2860" s="2161" t="n"/>
    </row>
    <row r="2861" outlineLevel="3" ht="15.75" customHeight="1">
      <c r="A2861" s="10" t="n">
        <v>1</v>
      </c>
      <c r="B2861" s="10" t="inlineStr">
        <is>
          <t>Insumo</t>
        </is>
      </c>
      <c r="C2861" s="10" t="inlineStr">
        <is>
          <t>Forro de Porcelanato - Material e Mão de Obra</t>
        </is>
      </c>
      <c r="D2861" s="10" t="inlineStr">
        <is>
          <t>Revestimento de parede em porcelanato, placa 30x90cm</t>
        </is>
      </c>
      <c r="E2861" s="11">
        <f t="array" ref="E2861">_xlfn.XLOOKUP(D2861,Insumos!B:B,Insumos!C:$C)</f>
        <v/>
      </c>
      <c r="F2861" s="14" t="n">
        <v>1.1</v>
      </c>
      <c r="G2861" s="92">
        <f t="array" ref="G2861">IF(B2861="insumo",_xlfn.XLOOKUP($D2861,Insumos!$B$1:$B$996,Insumos!$D$1:$D$996),"")</f>
        <v/>
      </c>
      <c r="H2861" s="92" t="n">
        <v>123.4475</v>
      </c>
      <c r="I2861" s="2162" t="n">
        <v>0</v>
      </c>
      <c r="J2861" s="2162" t="n">
        <v>0</v>
      </c>
      <c r="K2861" s="2162" t="n"/>
    </row>
    <row r="2862" outlineLevel="3" ht="15.75" customHeight="1">
      <c r="A2862" s="10" t="n">
        <v>1</v>
      </c>
      <c r="B2862" s="10" t="inlineStr">
        <is>
          <t>Insumo</t>
        </is>
      </c>
      <c r="C2862" s="10" t="inlineStr">
        <is>
          <t>Forro de Porcelanato - Material e Mão de Obra</t>
        </is>
      </c>
      <c r="D2862" s="10" t="inlineStr">
        <is>
          <t>Mão de obra instalação de Porcelanato no teto</t>
        </is>
      </c>
      <c r="E2862" s="11">
        <f t="array" ref="E2862">_xlfn.XLOOKUP(D2862,Insumos!B:B,Insumos!C:$C)</f>
        <v/>
      </c>
      <c r="F2862" s="14" t="n">
        <v>1</v>
      </c>
      <c r="G2862" s="92">
        <f t="array" ref="G2862">IF(B2862="insumo",_xlfn.XLOOKUP($D2862,Insumos!$B$1:$B$996,Insumos!$D$1:$D$996),"")</f>
        <v/>
      </c>
      <c r="H2862" s="92" t="n">
        <v>150</v>
      </c>
      <c r="I2862" s="2162" t="n">
        <v>0</v>
      </c>
      <c r="J2862" s="2162" t="n">
        <v>0</v>
      </c>
      <c r="K2862" s="2162" t="n"/>
    </row>
    <row r="2863" outlineLevel="2" ht="15.75" customHeight="1">
      <c r="A2863" s="1067" t="n">
        <v>1</v>
      </c>
      <c r="B2863" s="1067" t="inlineStr">
        <is>
          <t>Serviço</t>
        </is>
      </c>
      <c r="C2863" s="1067" t="inlineStr">
        <is>
          <t>FORRO DRYWALL 48 mm - PLACA ST - Material e Mão de obra</t>
        </is>
      </c>
      <c r="D2863" s="1067" t="inlineStr">
        <is>
          <t>FORRO DRYWALL 48 mm - PLACA ST - Material e Mão de obra</t>
        </is>
      </c>
      <c r="E2863" s="1068" t="inlineStr">
        <is>
          <t>M2</t>
        </is>
      </c>
      <c r="F2863" s="1067" t="n"/>
      <c r="G2863" s="1069">
        <f t="array" ref="G2863">IF(B2863="insumo",_xlfn.XLOOKUP($D2863,Insumos!$B$1:$B$996,Insumos!$D$1:$D$996),"")</f>
        <v/>
      </c>
      <c r="H2863" s="1069" t="n">
        <v>160.0644445</v>
      </c>
      <c r="I2863" s="2161" t="n">
        <v>0</v>
      </c>
      <c r="J2863" s="2161" t="n">
        <v>0</v>
      </c>
      <c r="K2863" s="2161" t="n"/>
    </row>
    <row r="2864" outlineLevel="3" ht="15.75" customHeight="1">
      <c r="A2864" s="10" t="n">
        <v>86</v>
      </c>
      <c r="B2864" s="10" t="inlineStr">
        <is>
          <t>Insumo</t>
        </is>
      </c>
      <c r="C2864" s="10" t="inlineStr">
        <is>
          <t>FORRO DRYWALL 48 mm - PLACA ST - Material e Mão de obra</t>
        </is>
      </c>
      <c r="D2864" s="10" t="inlineStr">
        <is>
          <t>SERVICO - CONFECCAO SHAFT GESSO</t>
        </is>
      </c>
      <c r="E2864" s="11">
        <f t="array" ref="E2864">_xlfn.XLOOKUP(D2864,Insumos!B:B,Insumos!C:$C)</f>
        <v/>
      </c>
      <c r="F2864" s="14" t="n">
        <v>1</v>
      </c>
      <c r="G2864" s="92">
        <f t="array" ref="G2864">IF(B2864="insumo",_xlfn.XLOOKUP($D2864,Insumos!$B$1:$B$996,Insumos!$D$1:$D$996),"")</f>
        <v/>
      </c>
      <c r="H2864" s="92" t="n">
        <v>70</v>
      </c>
      <c r="I2864" s="2162" t="n">
        <v>0</v>
      </c>
      <c r="J2864" s="2162" t="n">
        <v>0</v>
      </c>
      <c r="K2864" s="2162" t="n"/>
    </row>
    <row r="2865" outlineLevel="3" ht="15.75" customHeight="1">
      <c r="A2865" s="10" t="n">
        <v>47</v>
      </c>
      <c r="B2865" s="10" t="inlineStr">
        <is>
          <t>Insumo</t>
        </is>
      </c>
      <c r="C2865" s="10" t="inlineStr">
        <is>
          <t>FORRO DRYWALL 48 mm - PLACA ST - Material e Mão de obra</t>
        </is>
      </c>
      <c r="D2865" s="10" t="inlineStr">
        <is>
          <t>PLACA / CHAPA DE GESSO ACARTONADO, STANDARD (ST), COR BRANCA, E = 12,5 MM, 1200 X 2400 MM (L X C)</t>
        </is>
      </c>
      <c r="E2865" s="11">
        <f t="array" ref="E2865">_xlfn.XLOOKUP(D2865,Insumos!B:B,Insumos!C:$C)</f>
        <v/>
      </c>
      <c r="F2865" s="14" t="n">
        <v>1.106</v>
      </c>
      <c r="G2865" s="92">
        <f t="array" ref="G2865">IF(B2865="insumo",_xlfn.XLOOKUP($D2865,Insumos!$B$1:$B$996,Insumos!$D$1:$D$996),"")</f>
        <v/>
      </c>
      <c r="H2865" s="92" t="n">
        <v>22.29696</v>
      </c>
      <c r="I2865" s="2162" t="n">
        <v>0</v>
      </c>
      <c r="J2865" s="2162" t="n">
        <v>0</v>
      </c>
      <c r="K2865" s="2162" t="n"/>
    </row>
    <row r="2866" outlineLevel="3" ht="15.75" customHeight="1">
      <c r="A2866" s="10" t="n">
        <v>95</v>
      </c>
      <c r="B2866" s="10" t="inlineStr">
        <is>
          <t>Insumo</t>
        </is>
      </c>
      <c r="C2866" s="10" t="inlineStr">
        <is>
          <t>FORRO DRYWALL 48 mm - PLACA ST - Material e Mão de obra</t>
        </is>
      </c>
      <c r="D2866" s="10" t="inlineStr">
        <is>
          <t>PINO DE ACO COM ARRUELA CONICA, DIAMETRO ARRUELA = *23* MM E COMP HASTE = *27* MM (ACAO INDIRETA)</t>
        </is>
      </c>
      <c r="E2866" s="11">
        <f t="array" ref="E2866">_xlfn.XLOOKUP(D2866,Insumos!B:B,Insumos!C:$C)</f>
        <v/>
      </c>
      <c r="F2866" s="14" t="n">
        <v>5.92</v>
      </c>
      <c r="G2866" s="92">
        <f t="array" ref="G2866">IF(B2866="insumo",_xlfn.XLOOKUP($D2866,Insumos!$B$1:$B$996,Insumos!$D$1:$D$996),"")</f>
        <v/>
      </c>
      <c r="H2866" s="92" t="n">
        <v>2.98368</v>
      </c>
      <c r="I2866" s="2162" t="n">
        <v>0</v>
      </c>
      <c r="J2866" s="2162" t="n">
        <v>0</v>
      </c>
      <c r="K2866" s="2162" t="n"/>
    </row>
    <row r="2867" outlineLevel="3" ht="15.75" customHeight="1">
      <c r="A2867" s="10" t="n">
        <v>26</v>
      </c>
      <c r="B2867" s="10" t="inlineStr">
        <is>
          <t>Insumo</t>
        </is>
      </c>
      <c r="C2867" s="10" t="inlineStr">
        <is>
          <t>FORRO DRYWALL 48 mm - PLACA ST - Material e Mão de obra</t>
        </is>
      </c>
      <c r="D2867" s="10" t="inlineStr">
        <is>
          <t>PERFIL GUIA, FORMATO U, EM ACO ZINCADO, PARA ESTRUTURA PAREDE DRYWALL, E = 0,5 MM, 48 X 3000 MM (L X C)</t>
        </is>
      </c>
      <c r="E2867" s="11">
        <f t="array" ref="E2867">_xlfn.XLOOKUP(D2867,Insumos!B:B,Insumos!C:$C)</f>
        <v/>
      </c>
      <c r="F2867" s="14" t="n">
        <v>1.8234</v>
      </c>
      <c r="G2867" s="92">
        <f t="array" ref="G2867">IF(B2867="insumo",_xlfn.XLOOKUP($D2867,Insumos!$B$1:$B$996,Insumos!$D$1:$D$996),"")</f>
        <v/>
      </c>
      <c r="H2867" s="92" t="n">
        <v>12.818502</v>
      </c>
      <c r="I2867" s="2162" t="n">
        <v>0</v>
      </c>
      <c r="J2867" s="2162" t="n">
        <v>0</v>
      </c>
      <c r="K2867" s="2162" t="n"/>
    </row>
    <row r="2868" outlineLevel="3" ht="15.75" customHeight="1">
      <c r="A2868" s="10" t="n">
        <v>26</v>
      </c>
      <c r="B2868" s="10" t="inlineStr">
        <is>
          <t>Insumo</t>
        </is>
      </c>
      <c r="C2868" s="10" t="inlineStr">
        <is>
          <t>FORRO DRYWALL 48 mm - PLACA ST - Material e Mão de obra</t>
        </is>
      </c>
      <c r="D2868" s="10" t="inlineStr">
        <is>
          <t>PERFIL MONTANTE, FORMATO C, EM ACO ZINCADO, PARA ESTRUTURA PAREDE DRYWALL, E = 0,5 MM, 48 X 3000 MM (L X C)</t>
        </is>
      </c>
      <c r="E2868" s="11">
        <f t="array" ref="E2868">_xlfn.XLOOKUP(D2868,Insumos!B:B,Insumos!C:$C)</f>
        <v/>
      </c>
      <c r="F2868" s="14" t="n">
        <v>5.8278</v>
      </c>
      <c r="G2868" s="92">
        <f t="array" ref="G2868">IF(B2868="insumo",_xlfn.XLOOKUP($D2868,Insumos!$B$1:$B$996,Insumos!$D$1:$D$996),"")</f>
        <v/>
      </c>
      <c r="H2868" s="92" t="n">
        <v>46.505844</v>
      </c>
      <c r="I2868" s="2162" t="n">
        <v>0</v>
      </c>
      <c r="J2868" s="2162" t="n">
        <v>0</v>
      </c>
      <c r="K2868" s="2162" t="n"/>
    </row>
    <row r="2869" outlineLevel="3" ht="15.75" customHeight="1">
      <c r="A2869" s="10" t="n">
        <v>95</v>
      </c>
      <c r="B2869" s="10" t="inlineStr">
        <is>
          <t>Insumo</t>
        </is>
      </c>
      <c r="C2869" s="10" t="inlineStr">
        <is>
          <t>FORRO DRYWALL 48 mm - PLACA ST - Material e Mão de obra</t>
        </is>
      </c>
      <c r="D2869" s="10" t="inlineStr">
        <is>
          <t>MASSA DE REJUNTE EM PO PARA DRYWALL, A BASE DE GESSO, SECAGEM RAPIDA, PARA TRATAMENTO DE JUNTAS DE CHAPA DE GESSO (NECESSITA ADICAO DE AGUA)</t>
        </is>
      </c>
      <c r="E2869" s="11">
        <f t="array" ref="E2869">_xlfn.XLOOKUP(D2869,Insumos!B:B,Insumos!C:$C)</f>
        <v/>
      </c>
      <c r="F2869" s="14">
        <f>1.0978/2</f>
        <v/>
      </c>
      <c r="G2869" s="92">
        <f t="array" ref="G2869">IF(B2869="insumo",_xlfn.XLOOKUP($D2869,Insumos!$B$1:$B$996,Insumos!$D$1:$D$996),"")</f>
        <v/>
      </c>
      <c r="H2869" s="92" t="n">
        <v>1.882727</v>
      </c>
      <c r="I2869" s="2162" t="n">
        <v>0</v>
      </c>
      <c r="J2869" s="2162" t="n">
        <v>0</v>
      </c>
      <c r="K2869" s="2162" t="n"/>
    </row>
    <row r="2870" outlineLevel="3" ht="15.75" customHeight="1">
      <c r="A2870" s="10" t="n">
        <v>94</v>
      </c>
      <c r="B2870" s="10" t="inlineStr">
        <is>
          <t>Insumo</t>
        </is>
      </c>
      <c r="C2870" s="10" t="inlineStr">
        <is>
          <t>FORRO DRYWALL 48 mm - PLACA ST - Material e Mão de obra</t>
        </is>
      </c>
      <c r="D2870" s="10" t="inlineStr">
        <is>
          <t>FITA DE PAPEL MICROPERFURADO, 50 X 150 MM, PARA TRATAMENTO DE JUNTAS DE CHAPA DE GESSO PARA DRYWALL</t>
        </is>
      </c>
      <c r="E2870" s="11">
        <f t="array" ref="E2870">_xlfn.XLOOKUP(D2870,Insumos!B:B,Insumos!C:$C)</f>
        <v/>
      </c>
      <c r="F2870" s="14">
        <f>2.5027/2</f>
        <v/>
      </c>
      <c r="G2870" s="92">
        <f t="array" ref="G2870">IF(B2870="insumo",_xlfn.XLOOKUP($D2870,Insumos!$B$1:$B$996,Insumos!$D$1:$D$996),"")</f>
        <v/>
      </c>
      <c r="H2870" s="92" t="n">
        <v>0.3879185</v>
      </c>
      <c r="I2870" s="2162" t="n">
        <v>0</v>
      </c>
      <c r="J2870" s="2162" t="n">
        <v>0</v>
      </c>
      <c r="K2870" s="2162" t="n"/>
    </row>
    <row r="2871" outlineLevel="3" ht="15.75" customHeight="1">
      <c r="A2871" s="10" t="n">
        <v>94</v>
      </c>
      <c r="B2871" s="10" t="inlineStr">
        <is>
          <t>Insumo</t>
        </is>
      </c>
      <c r="C2871" s="10" t="inlineStr">
        <is>
          <t>FORRO DRYWALL 48 mm - PLACA ST - Material e Mão de obra</t>
        </is>
      </c>
      <c r="D2871" s="10" t="inlineStr">
        <is>
          <t>FITA DE PAPEL REFORCADA COM LAMINA DE METAL PARA REFORCO DE CANTOS DE CHAPA DE GESSO PARA DRYWALL</t>
        </is>
      </c>
      <c r="E2871" s="11">
        <f t="array" ref="E2871">_xlfn.XLOOKUP(D2871,Insumos!B:B,Insumos!C:$C)</f>
        <v/>
      </c>
      <c r="F2871" s="14">
        <f>1.5851/2</f>
        <v/>
      </c>
      <c r="G2871" s="92">
        <f t="array" ref="G2871">IF(B2871="insumo",_xlfn.XLOOKUP($D2871,Insumos!$B$1:$B$996,Insumos!$D$1:$D$996),"")</f>
        <v/>
      </c>
      <c r="H2871" s="92" t="n">
        <v>2.171587</v>
      </c>
      <c r="I2871" s="2162" t="n">
        <v>0</v>
      </c>
      <c r="J2871" s="2162" t="n">
        <v>0</v>
      </c>
      <c r="K2871" s="2162" t="n"/>
    </row>
    <row r="2872" outlineLevel="3" ht="15.75" customHeight="1">
      <c r="A2872" s="10" t="n">
        <v>97</v>
      </c>
      <c r="B2872" s="10" t="inlineStr">
        <is>
          <t>Insumo</t>
        </is>
      </c>
      <c r="C2872" s="10" t="inlineStr">
        <is>
          <t>FORRO DRYWALL 48 mm - PLACA ST - Material e Mão de obra</t>
        </is>
      </c>
      <c r="D2872" s="10" t="inlineStr">
        <is>
          <t>PARAFUSO DRY WALL, EM ACO FOSFATIZADO, CABECA TROMBETA E PONTA AGULHA (TA), COMPRIMENTO 25 MM</t>
        </is>
      </c>
      <c r="E2872" s="11">
        <f t="array" ref="E2872">_xlfn.XLOOKUP(D2872,Insumos!B:B,Insumos!C:$C)</f>
        <v/>
      </c>
      <c r="F2872" s="14">
        <f>20.1868/2</f>
        <v/>
      </c>
      <c r="G2872" s="92">
        <f t="array" ref="G2872">IF(B2872="insumo",_xlfn.XLOOKUP($D2872,Insumos!$B$1:$B$996,Insumos!$D$1:$D$996),"")</f>
        <v/>
      </c>
      <c r="H2872" s="92" t="n">
        <v>0.908406</v>
      </c>
      <c r="I2872" s="2162" t="n">
        <v>0</v>
      </c>
      <c r="J2872" s="2162" t="n">
        <v>0</v>
      </c>
      <c r="K2872" s="2162" t="n"/>
    </row>
    <row r="2873" outlineLevel="3" ht="15.75" customHeight="1">
      <c r="A2873" s="10" t="n">
        <v>95</v>
      </c>
      <c r="B2873" s="10" t="inlineStr">
        <is>
          <t>Insumo</t>
        </is>
      </c>
      <c r="C2873" s="10" t="inlineStr">
        <is>
          <t>FORRO DRYWALL 48 mm - PLACA ST - Material e Mão de obra</t>
        </is>
      </c>
      <c r="D2873" s="10" t="inlineStr">
        <is>
          <t>PARAFUSO DRY WALL, EM ACO ZINCADO, CABECA LENTILHA E PONTA BROCA (LB), LARGURA 4,2 MM, COMPRIMENTO 13 MM</t>
        </is>
      </c>
      <c r="E2873" s="11">
        <f t="array" ref="E2873">_xlfn.XLOOKUP(D2873,Insumos!B:B,Insumos!C:$C)</f>
        <v/>
      </c>
      <c r="F2873" s="14" t="n">
        <v>0.5441</v>
      </c>
      <c r="G2873" s="92">
        <f t="array" ref="G2873">IF(B2873="insumo",_xlfn.XLOOKUP($D2873,Insumos!$B$1:$B$996,Insumos!$D$1:$D$996),"")</f>
        <v/>
      </c>
      <c r="H2873" s="92" t="n">
        <v>0.10882</v>
      </c>
      <c r="I2873" s="2162" t="n">
        <v>0</v>
      </c>
      <c r="J2873" s="2162" t="n">
        <v>0</v>
      </c>
      <c r="K2873" s="2162" t="n"/>
    </row>
    <row r="2874" outlineLevel="2" ht="15.75" customHeight="1">
      <c r="A2874" s="1067" t="n">
        <v>1</v>
      </c>
      <c r="B2874" s="1067" t="inlineStr">
        <is>
          <t>Serviço</t>
        </is>
      </c>
      <c r="C2874" s="1067" t="inlineStr">
        <is>
          <t>Forro de gesso modular - material e mão de obra</t>
        </is>
      </c>
      <c r="D2874" s="1067" t="inlineStr">
        <is>
          <t>Forro de gesso modular - material e mão de obra</t>
        </is>
      </c>
      <c r="E2874" s="1068" t="inlineStr">
        <is>
          <t>M2</t>
        </is>
      </c>
      <c r="F2874" s="1067" t="n"/>
      <c r="G2874" s="1069">
        <f t="array" ref="G2874">IF(B2874="insumo",_xlfn.XLOOKUP($D2874,Insumos!$B$1:$B$996,Insumos!$D$1:$D$996),"")</f>
        <v/>
      </c>
      <c r="H2874" s="1069" t="n">
        <v>160</v>
      </c>
      <c r="I2874" s="2161" t="n">
        <v>0</v>
      </c>
      <c r="J2874" s="2161" t="n">
        <v>0</v>
      </c>
      <c r="K2874" s="2161" t="n"/>
    </row>
    <row r="2875" outlineLevel="3" ht="15.75" customHeight="1">
      <c r="A2875" s="10" t="n">
        <v>1</v>
      </c>
      <c r="B2875" s="10" t="inlineStr">
        <is>
          <t>Insumo</t>
        </is>
      </c>
      <c r="C2875" s="10" t="inlineStr">
        <is>
          <t>Forro de gesso modular - material e mão de obra</t>
        </is>
      </c>
      <c r="D2875" s="10" t="inlineStr">
        <is>
          <t>Forro de gesso modular - material e mão de obra</t>
        </is>
      </c>
      <c r="E2875" s="11">
        <f t="array" ref="E2875">_xlfn.XLOOKUP(D2875,Insumos!B:B,Insumos!C:$C)</f>
        <v/>
      </c>
      <c r="F2875" s="14" t="n">
        <v>1</v>
      </c>
      <c r="G2875" s="92">
        <f t="array" ref="G2875">IF(B2875="insumo",_xlfn.XLOOKUP($D2875,Insumos!$B$1:$B$996,Insumos!$D$1:$D$996),"")</f>
        <v/>
      </c>
      <c r="H2875" s="92" t="n">
        <v>160</v>
      </c>
      <c r="I2875" s="2162" t="n">
        <v>0</v>
      </c>
      <c r="J2875" s="2162" t="n">
        <v>0</v>
      </c>
      <c r="K2875" s="2162" t="n"/>
    </row>
    <row r="2876" outlineLevel="2" ht="15.75" customHeight="1">
      <c r="A2876" s="1067" t="n">
        <v>1</v>
      </c>
      <c r="B2876" s="1067" t="inlineStr">
        <is>
          <t>Serviço</t>
        </is>
      </c>
      <c r="C2876" s="1067" t="inlineStr">
        <is>
          <t>Forro modular com Placa de fibra mineral - Material e Mão de obra</t>
        </is>
      </c>
      <c r="D2876" s="1067" t="inlineStr">
        <is>
          <t>Forro modular com Placa de fibra mineral - Material e Mão de obra</t>
        </is>
      </c>
      <c r="E2876" s="1068" t="inlineStr">
        <is>
          <t>M2</t>
        </is>
      </c>
      <c r="F2876" s="1067" t="n"/>
      <c r="G2876" s="1069">
        <f t="array" ref="G2876">IF(B2876="insumo",_xlfn.XLOOKUP($D2876,Insumos!$B$1:$B$996,Insumos!$D$1:$D$996),"")</f>
        <v/>
      </c>
      <c r="H2876" s="1069" t="n">
        <v>313.69355</v>
      </c>
      <c r="I2876" s="2161" t="n">
        <v>0</v>
      </c>
      <c r="J2876" s="2161" t="n">
        <v>0</v>
      </c>
      <c r="K2876" s="2161" t="n"/>
    </row>
    <row r="2877" outlineLevel="3" ht="15.75" customHeight="1">
      <c r="A2877" s="10" t="n">
        <v>1</v>
      </c>
      <c r="B2877" s="10" t="inlineStr">
        <is>
          <t>Insumo</t>
        </is>
      </c>
      <c r="C2877" s="10" t="inlineStr">
        <is>
          <t>Forro modular com Placa de fibra mineral - Material e Mão de obra</t>
        </is>
      </c>
      <c r="D2877" s="10" t="inlineStr">
        <is>
          <t>SERVICO - CONFECCAO FORRO MODULAR</t>
        </is>
      </c>
      <c r="E2877" s="11">
        <f t="array" ref="E2877">_xlfn.XLOOKUP(D2877,Insumos!B:B,Insumos!C:$C)</f>
        <v/>
      </c>
      <c r="F2877" s="14" t="n">
        <v>1</v>
      </c>
      <c r="G2877" s="92">
        <f t="array" ref="G2877">IF(B2877="insumo",_xlfn.XLOOKUP($D2877,Insumos!$B$1:$B$996,Insumos!$D$1:$D$996),"")</f>
        <v/>
      </c>
      <c r="H2877" s="92" t="n">
        <v>70</v>
      </c>
      <c r="I2877" s="2162" t="n">
        <v>0</v>
      </c>
      <c r="J2877" s="2162" t="n">
        <v>0</v>
      </c>
      <c r="K2877" s="2162" t="n"/>
    </row>
    <row r="2878" outlineLevel="3" ht="15.75" customHeight="1">
      <c r="A2878" s="10" t="n">
        <v>1</v>
      </c>
      <c r="B2878" s="10" t="inlineStr">
        <is>
          <t>Insumo</t>
        </is>
      </c>
      <c r="C2878" s="10" t="inlineStr">
        <is>
          <t>Forro modular com Placa de fibra mineral - Material e Mão de obra</t>
        </is>
      </c>
      <c r="D2878" s="10" t="inlineStr">
        <is>
          <t>Forro De Fibra Mineral Armstrong Ceilings Scala Square 625 X 625 X 16mm</t>
        </is>
      </c>
      <c r="E2878" s="11">
        <f t="array" ref="E2878">_xlfn.XLOOKUP(D2878,Insumos!B:B,Insumos!C:$C)</f>
        <v/>
      </c>
      <c r="F2878" s="14" t="n">
        <v>1.05</v>
      </c>
      <c r="G2878" s="92">
        <f t="array" ref="G2878">IF(B2878="insumo",_xlfn.XLOOKUP($D2878,Insumos!$B$1:$B$996,Insumos!$D$1:$D$996),"")</f>
        <v/>
      </c>
      <c r="H2878" s="92" t="n">
        <v>99.75</v>
      </c>
      <c r="I2878" s="2162" t="n">
        <v>0</v>
      </c>
      <c r="J2878" s="2162" t="n">
        <v>0</v>
      </c>
      <c r="K2878" s="2162" t="n"/>
    </row>
    <row r="2879" outlineLevel="3" ht="15.75" customHeight="1">
      <c r="A2879" s="10" t="n">
        <v>1</v>
      </c>
      <c r="B2879" s="10" t="inlineStr">
        <is>
          <t>Insumo</t>
        </is>
      </c>
      <c r="C2879" s="10" t="inlineStr">
        <is>
          <t>Forro modular com Placa de fibra mineral - Material e Mão de obra</t>
        </is>
      </c>
      <c r="D2879" s="10" t="inlineStr">
        <is>
          <t>Perfil metálico “T” principal 38x24 mm</t>
        </is>
      </c>
      <c r="E2879" s="11">
        <f t="array" ref="E2879">_xlfn.XLOOKUP(D2879,Insumos!B:B,Insumos!C:$C)</f>
        <v/>
      </c>
      <c r="F2879" s="14" t="n">
        <v>5.92</v>
      </c>
      <c r="G2879" s="92">
        <f t="array" ref="G2879">IF(B2879="insumo",_xlfn.XLOOKUP($D2879,Insumos!$B$1:$B$996,Insumos!$D$1:$D$996),"")</f>
        <v/>
      </c>
      <c r="H2879" s="92" t="n">
        <v>44.4</v>
      </c>
      <c r="I2879" s="2162" t="n">
        <v>0</v>
      </c>
      <c r="J2879" s="2162" t="n">
        <v>0</v>
      </c>
      <c r="K2879" s="2162" t="n"/>
    </row>
    <row r="2880" outlineLevel="3" ht="15.75" customHeight="1">
      <c r="A2880" s="10" t="n">
        <v>1</v>
      </c>
      <c r="B2880" s="10" t="inlineStr">
        <is>
          <t>Insumo</t>
        </is>
      </c>
      <c r="C2880" s="10" t="inlineStr">
        <is>
          <t>Forro modular com Placa de fibra mineral - Material e Mão de obra</t>
        </is>
      </c>
      <c r="D2880" s="10" t="inlineStr">
        <is>
          <t>Cantoneira perimetral galvanizada</t>
        </is>
      </c>
      <c r="E2880" s="11">
        <f t="array" ref="E2880">_xlfn.XLOOKUP(D2880,Insumos!B:B,Insumos!C:$C)</f>
        <v/>
      </c>
      <c r="F2880" s="14" t="n">
        <v>1.8234</v>
      </c>
      <c r="G2880" s="92">
        <f t="array" ref="G2880">IF(B2880="insumo",_xlfn.XLOOKUP($D2880,Insumos!$B$1:$B$996,Insumos!$D$1:$D$996),"")</f>
        <v/>
      </c>
      <c r="H2880" s="92" t="n">
        <v>11.8521</v>
      </c>
      <c r="I2880" s="2162" t="n">
        <v>0</v>
      </c>
      <c r="J2880" s="2162" t="n">
        <v>0</v>
      </c>
      <c r="K2880" s="2162" t="n"/>
    </row>
    <row r="2881" outlineLevel="3" ht="15.75" customHeight="1">
      <c r="A2881" s="10" t="n">
        <v>1</v>
      </c>
      <c r="B2881" s="10" t="inlineStr">
        <is>
          <t>Insumo</t>
        </is>
      </c>
      <c r="C2881" s="10" t="inlineStr">
        <is>
          <t>Forro modular com Placa de fibra mineral - Material e Mão de obra</t>
        </is>
      </c>
      <c r="D2881" s="10" t="inlineStr">
        <is>
          <t>Arame galvanizado nº 12 e presilhas</t>
        </is>
      </c>
      <c r="E2881" s="11">
        <f t="array" ref="E2881">_xlfn.XLOOKUP(D2881,Insumos!B:B,Insumos!C:$C)</f>
        <v/>
      </c>
      <c r="F2881" s="14" t="n">
        <v>5.8278</v>
      </c>
      <c r="G2881" s="92">
        <f t="array" ref="G2881">IF(B2881="insumo",_xlfn.XLOOKUP($D2881,Insumos!$B$1:$B$996,Insumos!$D$1:$D$996),"")</f>
        <v/>
      </c>
      <c r="H2881" s="92" t="n">
        <v>87.417</v>
      </c>
      <c r="I2881" s="2162" t="n">
        <v>0</v>
      </c>
      <c r="J2881" s="2162" t="n">
        <v>0</v>
      </c>
      <c r="K2881" s="2162" t="n"/>
    </row>
    <row r="2882" outlineLevel="3" ht="15.75" customHeight="1">
      <c r="A2882" s="10" t="n">
        <v>1</v>
      </c>
      <c r="B2882" s="10" t="inlineStr">
        <is>
          <t>Insumo</t>
        </is>
      </c>
      <c r="C2882" s="10" t="inlineStr">
        <is>
          <t>Forro modular com Placa de fibra mineral - Material e Mão de obra</t>
        </is>
      </c>
      <c r="D2882" s="10" t="inlineStr">
        <is>
          <t>Buchas e parafusos</t>
        </is>
      </c>
      <c r="E2882" s="11">
        <f t="array" ref="E2882">_xlfn.XLOOKUP(D2882,Insumos!B:B,Insumos!C:$C)</f>
        <v/>
      </c>
      <c r="F2882" s="14">
        <f>1.0978/2</f>
        <v/>
      </c>
      <c r="G2882" s="92">
        <f t="array" ref="G2882">IF(B2882="insumo",_xlfn.XLOOKUP($D2882,Insumos!$B$1:$B$996,Insumos!$D$1:$D$996),"")</f>
        <v/>
      </c>
      <c r="H2882" s="92" t="n">
        <v>0.27445</v>
      </c>
      <c r="I2882" s="2162" t="n">
        <v>0</v>
      </c>
      <c r="J2882" s="2162" t="n">
        <v>0</v>
      </c>
      <c r="K2882" s="2162" t="n"/>
    </row>
    <row r="2883" outlineLevel="2" ht="12.75" customHeight="1">
      <c r="A2883" s="1071" t="n">
        <v>1</v>
      </c>
      <c r="B2883" s="1071" t="inlineStr">
        <is>
          <t>Serviço</t>
        </is>
      </c>
      <c r="C2883" s="1071" t="inlineStr">
        <is>
          <t>Forro Knauf Cleaneo A1 (gesso acústico perfurado)</t>
        </is>
      </c>
      <c r="D2883" s="1071" t="inlineStr">
        <is>
          <t>Forro Knauf Cleaneo A1 (gesso acústico perfurado)</t>
        </is>
      </c>
      <c r="E2883" s="1072" t="inlineStr">
        <is>
          <t>M2</t>
        </is>
      </c>
      <c r="F2883" s="1071" t="n"/>
      <c r="G2883" s="1073">
        <f t="array" ref="G2883">IF(B2883="insumo",_xlfn.XLOOKUP($D2883,Insumos!$B$1:$B$996,Insumos!$D$1:$D$996),"")</f>
        <v/>
      </c>
      <c r="H2883" s="1073" t="n">
        <v>180</v>
      </c>
      <c r="I2883" s="2163" t="n">
        <v>0</v>
      </c>
      <c r="J2883" s="2163" t="n">
        <v>0</v>
      </c>
      <c r="K2883" s="2163" t="n"/>
    </row>
    <row r="2884" outlineLevel="3" ht="12.75" customHeight="1">
      <c r="A2884" s="82" t="n">
        <v>1</v>
      </c>
      <c r="B2884" s="82" t="inlineStr">
        <is>
          <t>Insumo</t>
        </is>
      </c>
      <c r="C2884" s="82" t="inlineStr">
        <is>
          <t>Forro Knauf Cleaneo A1 (gesso acústico perfurado)</t>
        </is>
      </c>
      <c r="D2884" s="82" t="inlineStr">
        <is>
          <t>Forro Knauf Cleaneo A1 (gesso acústico perfurado)</t>
        </is>
      </c>
      <c r="E2884" s="11">
        <f t="array" ref="E2884">_xlfn.XLOOKUP(D2884,Insumos!B:B,Insumos!C:$C)</f>
        <v/>
      </c>
      <c r="F2884" s="2164" t="n">
        <v>1</v>
      </c>
      <c r="G2884" s="92">
        <f t="array" ref="G2884">IF(B2884="insumo",_xlfn.XLOOKUP($D2884,Insumos!$B$1:$B$996,Insumos!$D$1:$D$996),"")</f>
        <v/>
      </c>
      <c r="H2884" s="92" t="n">
        <v>180</v>
      </c>
      <c r="I2884" s="2165" t="n">
        <v>0</v>
      </c>
      <c r="J2884" s="2165" t="n">
        <v>0</v>
      </c>
      <c r="K2884" s="2165" t="n"/>
    </row>
    <row r="2885" outlineLevel="2" ht="15.75" customHeight="1">
      <c r="A2885" s="1067" t="n">
        <v>1</v>
      </c>
      <c r="B2885" s="1067" t="inlineStr">
        <is>
          <t>Serviço</t>
        </is>
      </c>
      <c r="C2885" s="1067" t="inlineStr">
        <is>
          <t>Revestimento em Tetos ,  Pastilha Bege 2,5X2,5Cm</t>
        </is>
      </c>
      <c r="D2885" s="1067" t="inlineStr">
        <is>
          <t>Revestimento em Tetos ,  Pastilha Bege 2,5X2,5Cm</t>
        </is>
      </c>
      <c r="E2885" s="1068" t="inlineStr">
        <is>
          <t>M2</t>
        </is>
      </c>
      <c r="F2885" s="1067" t="n"/>
      <c r="G2885" s="1069">
        <f t="array" ref="G2885">IF(B2885="insumo",_xlfn.XLOOKUP($D2885,Insumos!$B$1:$B$996,Insumos!$D$1:$D$996),"")</f>
        <v/>
      </c>
      <c r="H2885" s="1069" t="n">
        <v>262.853775</v>
      </c>
      <c r="I2885" s="2161" t="n">
        <v>0</v>
      </c>
      <c r="J2885" s="2161" t="n">
        <v>0</v>
      </c>
      <c r="K2885" s="2161" t="n"/>
    </row>
    <row r="2886" outlineLevel="3" ht="15.75" customHeight="1">
      <c r="A2886" s="10" t="n">
        <v>3</v>
      </c>
      <c r="B2886" s="10" t="inlineStr">
        <is>
          <t>Insumo</t>
        </is>
      </c>
      <c r="C2886" s="10" t="inlineStr">
        <is>
          <t>Revestimento em Tetos ,  Pastilha Bege 2,5X2,5Cm</t>
        </is>
      </c>
      <c r="D2886" s="10" t="inlineStr">
        <is>
          <t>Revestimento Pastilha 2,5x2,5cm</t>
        </is>
      </c>
      <c r="E2886" s="11">
        <f t="array" ref="E2886">_xlfn.XLOOKUP(D2886,Insumos!B:B,Insumos!C:$C)</f>
        <v/>
      </c>
      <c r="F2886" s="14" t="n">
        <v>1.1</v>
      </c>
      <c r="G2886" s="92">
        <f t="array" ref="G2886">IF(B2886="insumo",_xlfn.XLOOKUP($D2886,Insumos!$B$1:$B$996,Insumos!$D$1:$D$996),"")</f>
        <v/>
      </c>
      <c r="H2886" s="92" t="n">
        <v>256.707</v>
      </c>
      <c r="I2886" s="2162" t="n">
        <v>0</v>
      </c>
      <c r="J2886" s="2162" t="n">
        <v>0</v>
      </c>
      <c r="K2886" s="2162" t="n"/>
    </row>
    <row r="2887" outlineLevel="3" ht="15.75" customHeight="1">
      <c r="A2887" s="10" t="n">
        <v>191</v>
      </c>
      <c r="B2887" s="10" t="inlineStr">
        <is>
          <t>Insumo</t>
        </is>
      </c>
      <c r="C2887" s="10" t="inlineStr">
        <is>
          <t>Revestimento em Tetos ,  Pastilha Bege 2,5X2,5Cm</t>
        </is>
      </c>
      <c r="D2887" s="10" t="inlineStr">
        <is>
          <t>Argamassa ACIII</t>
        </is>
      </c>
      <c r="E2887" s="11">
        <f t="array" ref="E2887">_xlfn.XLOOKUP(D2887,Insumos!B:B,Insumos!C:$C)</f>
        <v/>
      </c>
      <c r="F2887" s="14" t="n">
        <v>4.95</v>
      </c>
      <c r="G2887" s="92">
        <f t="array" ref="G2887">IF(B2887="insumo",_xlfn.XLOOKUP($D2887,Insumos!$B$1:$B$996,Insumos!$D$1:$D$996),"")</f>
        <v/>
      </c>
      <c r="H2887" s="92" t="n">
        <v>5.269275</v>
      </c>
      <c r="I2887" s="2162" t="n">
        <v>0</v>
      </c>
      <c r="J2887" s="2162" t="n">
        <v>0</v>
      </c>
      <c r="K2887" s="2162" t="n"/>
    </row>
    <row r="2888" outlineLevel="3" ht="15.75" customHeight="1">
      <c r="A2888" s="10" t="n">
        <v>142</v>
      </c>
      <c r="B2888" s="10" t="inlineStr">
        <is>
          <t>Insumo</t>
        </is>
      </c>
      <c r="C2888" s="10" t="inlineStr">
        <is>
          <t>Revestimento em Tetos ,  Pastilha Bege 2,5X2,5Cm</t>
        </is>
      </c>
      <c r="D2888" s="10" t="inlineStr">
        <is>
          <t>Espeçador junta piso 2mm</t>
        </is>
      </c>
      <c r="E2888" s="11">
        <f t="array" ref="E2888">_xlfn.XLOOKUP(D2888,Insumos!B:B,Insumos!C:$C)</f>
        <v/>
      </c>
      <c r="F2888" s="14" t="n">
        <v>4</v>
      </c>
      <c r="G2888" s="92">
        <f t="array" ref="G2888">IF(B2888="insumo",_xlfn.XLOOKUP($D2888,Insumos!$B$1:$B$996,Insumos!$D$1:$D$996),"")</f>
        <v/>
      </c>
      <c r="H2888" s="92" t="n">
        <v>0.32</v>
      </c>
      <c r="I2888" s="2162" t="n">
        <v>0</v>
      </c>
      <c r="J2888" s="2162" t="n">
        <v>0</v>
      </c>
      <c r="K2888" s="2162" t="n"/>
    </row>
    <row r="2889" outlineLevel="3" ht="12.75" customHeight="1">
      <c r="A2889" s="10" t="n">
        <v>101</v>
      </c>
      <c r="B2889" s="10" t="inlineStr">
        <is>
          <t>Insumo</t>
        </is>
      </c>
      <c r="C2889" s="10" t="inlineStr">
        <is>
          <t>Revestimento em Tetos ,  Pastilha Bege 2,5X2,5Cm</t>
        </is>
      </c>
      <c r="D2889" s="10" t="inlineStr">
        <is>
          <t>Rejunte Cimentício</t>
        </is>
      </c>
      <c r="E2889" s="11">
        <f t="array" ref="E2889">_xlfn.XLOOKUP(D2889,Insumos!B:B,Insumos!C:$C)</f>
        <v/>
      </c>
      <c r="F2889" s="14" t="n">
        <v>0.05</v>
      </c>
      <c r="G2889" s="92">
        <f t="array" ref="G2889">IF(B2889="insumo",_xlfn.XLOOKUP($D2889,Insumos!$B$1:$B$996,Insumos!$D$1:$D$996),"")</f>
        <v/>
      </c>
      <c r="H2889" s="92" t="n">
        <v>0.5575</v>
      </c>
      <c r="I2889" s="2162" t="n">
        <v>0</v>
      </c>
      <c r="J2889" s="2162" t="n">
        <v>0</v>
      </c>
      <c r="K2889" s="2162" t="n"/>
    </row>
    <row r="2890" outlineLevel="2" ht="12.75" customHeight="1">
      <c r="A2890" s="1071" t="n">
        <v>1</v>
      </c>
      <c r="B2890" s="1071" t="inlineStr">
        <is>
          <t>Serviço</t>
        </is>
      </c>
      <c r="C2890" s="1071" t="inlineStr">
        <is>
          <t>Revestimento em Cerâmicas Vulcano Cinza em Teto, 61x 61cm com Junta de 3mm</t>
        </is>
      </c>
      <c r="D2890" s="1071" t="inlineStr">
        <is>
          <t>Revestimento em Cerâmicas Vulcano Cinza em Teto, 61x 61cm com Junta de 3mm</t>
        </is>
      </c>
      <c r="E2890" s="1072" t="inlineStr">
        <is>
          <t>M2</t>
        </is>
      </c>
      <c r="F2890" s="1071" t="n"/>
      <c r="G2890" s="1073">
        <f t="array" ref="G2890">IF(B2890="insumo",_xlfn.XLOOKUP($D2890,Insumos!$B$1:$B$996,Insumos!$D$1:$D$996),"")</f>
        <v/>
      </c>
      <c r="H2890" s="1073" t="n">
        <v>78.58199999999999</v>
      </c>
      <c r="I2890" s="2163" t="e">
        <v>#REF!</v>
      </c>
      <c r="J2890" s="2163" t="e">
        <v>#REF!</v>
      </c>
      <c r="K2890" s="2163" t="n"/>
    </row>
    <row r="2891" outlineLevel="3" ht="12.75" customHeight="1">
      <c r="A2891" s="82" t="n">
        <v>6</v>
      </c>
      <c r="B2891" s="82" t="inlineStr">
        <is>
          <t>Insumo</t>
        </is>
      </c>
      <c r="C2891" s="82" t="inlineStr">
        <is>
          <t>Revestimento em Cerâmicas Vulcano Cinza em Teto, 61x 61cm com Junta de 3mm</t>
        </is>
      </c>
      <c r="D2891" s="82" t="inlineStr">
        <is>
          <t>Cerâmica Vulcano Cinza 61x61</t>
        </is>
      </c>
      <c r="E2891" s="11">
        <f t="array" ref="E2891">_xlfn.XLOOKUP(D2891,Insumos!B:B,Insumos!C:$C)</f>
        <v/>
      </c>
      <c r="F2891" s="2169" t="n">
        <v>1.1</v>
      </c>
      <c r="G2891" s="92">
        <f t="array" ref="G2891">IF(B2891="insumo",_xlfn.XLOOKUP($D2891,Insumos!$B$1:$B$996,Insumos!$D$1:$D$996),"")</f>
        <v/>
      </c>
      <c r="H2891" s="92" t="n">
        <v>69.949</v>
      </c>
      <c r="I2891" s="2165" t="e">
        <v>#REF!</v>
      </c>
      <c r="J2891" s="2165" t="e">
        <v>#REF!</v>
      </c>
      <c r="K2891" s="2165" t="n"/>
    </row>
    <row r="2892" outlineLevel="3" ht="12.75" customHeight="1">
      <c r="A2892" s="82" t="n">
        <v>16</v>
      </c>
      <c r="B2892" s="82" t="inlineStr">
        <is>
          <t>Insumo</t>
        </is>
      </c>
      <c r="C2892" s="82" t="inlineStr">
        <is>
          <t>Revestimento em Cerâmicas Vulcano Cinza em Teto, 61x 61cm com Junta de 3mm</t>
        </is>
      </c>
      <c r="D2892" s="82" t="inlineStr">
        <is>
          <t>Argamassa ACII</t>
        </is>
      </c>
      <c r="E2892" s="11">
        <f t="array" ref="E2892">_xlfn.XLOOKUP(D2892,Insumos!B:B,Insumos!C:$C)</f>
        <v/>
      </c>
      <c r="F2892" s="2169" t="n">
        <v>8.800000000000001</v>
      </c>
      <c r="G2892" s="92">
        <f t="array" ref="G2892">IF(B2892="insumo",_xlfn.XLOOKUP($D2892,Insumos!$B$1:$B$996,Insumos!$D$1:$D$996),"")</f>
        <v/>
      </c>
      <c r="H2892" s="92" t="n">
        <v>8.359999999999999</v>
      </c>
      <c r="I2892" s="2165" t="e">
        <v>#REF!</v>
      </c>
      <c r="J2892" s="2165" t="e">
        <v>#REF!</v>
      </c>
      <c r="K2892" s="2165" t="n"/>
    </row>
    <row r="2893" outlineLevel="3" ht="12.75" customHeight="1">
      <c r="A2893" s="82" t="n">
        <v>17</v>
      </c>
      <c r="B2893" s="82" t="inlineStr">
        <is>
          <t>Insumo</t>
        </is>
      </c>
      <c r="C2893" s="82" t="inlineStr">
        <is>
          <t>Revestimento em Cerâmicas Vulcano Cinza em Teto, 61x 61cm com Junta de 3mm</t>
        </is>
      </c>
      <c r="D2893" s="82" t="inlineStr">
        <is>
          <t>Espeçador junta piso 3mm</t>
        </is>
      </c>
      <c r="E2893" s="11">
        <f t="array" ref="E2893">_xlfn.XLOOKUP(D2893,Insumos!B:B,Insumos!C:$C)</f>
        <v/>
      </c>
      <c r="F2893" s="2169" t="n">
        <v>1</v>
      </c>
      <c r="G2893" s="92">
        <f t="array" ref="G2893">IF(B2893="insumo",_xlfn.XLOOKUP($D2893,Insumos!$B$1:$B$996,Insumos!$D$1:$D$996),"")</f>
        <v/>
      </c>
      <c r="H2893" s="92" t="n">
        <v>0.05</v>
      </c>
      <c r="I2893" s="2165" t="e">
        <v>#REF!</v>
      </c>
      <c r="J2893" s="2165" t="e">
        <v>#REF!</v>
      </c>
      <c r="K2893" s="2165" t="n"/>
    </row>
    <row r="2894" outlineLevel="3" ht="12.75" customHeight="1">
      <c r="A2894" s="82" t="n">
        <v>101</v>
      </c>
      <c r="B2894" s="82" t="inlineStr">
        <is>
          <t>Insumo</t>
        </is>
      </c>
      <c r="C2894" s="82" t="inlineStr">
        <is>
          <t>Revestimento em Cerâmicas Vulcano Cinza em Teto, 61x 61cm com Junta de 3mm</t>
        </is>
      </c>
      <c r="D2894" s="82" t="inlineStr">
        <is>
          <t>Rejunte Cimentício</t>
        </is>
      </c>
      <c r="E2894" s="11">
        <f t="array" ref="E2894">_xlfn.XLOOKUP(D2894,Insumos!B:B,Insumos!C:$C)</f>
        <v/>
      </c>
      <c r="F2894" s="2169" t="n">
        <v>0.02</v>
      </c>
      <c r="G2894" s="92">
        <f t="array" ref="G2894">IF(B2894="insumo",_xlfn.XLOOKUP($D2894,Insumos!$B$1:$B$996,Insumos!$D$1:$D$996),"")</f>
        <v/>
      </c>
      <c r="H2894" s="92" t="n">
        <v>0.223</v>
      </c>
      <c r="I2894" s="2165" t="e">
        <v>#REF!</v>
      </c>
      <c r="J2894" s="2165" t="e">
        <v>#REF!</v>
      </c>
      <c r="K2894" s="2165" t="n"/>
    </row>
    <row r="2895" outlineLevel="2" ht="12.75" customHeight="1">
      <c r="A2895" s="1071" t="n">
        <v>1</v>
      </c>
      <c r="B2895" s="1071" t="inlineStr">
        <is>
          <t>Serviço</t>
        </is>
      </c>
      <c r="C2895" s="1071" t="inlineStr">
        <is>
          <t>Revestimento de cerâmico em Teto, Placa 31 x 54cm com Junta de 2mm e rejunte acrilico</t>
        </is>
      </c>
      <c r="D2895" s="1071" t="inlineStr">
        <is>
          <t>Revestimento de cerâmico em Teto, Placa 31 x 54cm com Junta de 2mm e rejunte acrilico</t>
        </is>
      </c>
      <c r="E2895" s="1072" t="inlineStr">
        <is>
          <t>M2</t>
        </is>
      </c>
      <c r="F2895" s="1071" t="n"/>
      <c r="G2895" s="1073">
        <f t="array" ref="G2895">IF(B2895="insumo",_xlfn.XLOOKUP($D2895,Insumos!$B$1:$B$996,Insumos!$D$1:$D$996),"")</f>
        <v/>
      </c>
      <c r="H2895" s="1073" t="n">
        <v>89.93859999999999</v>
      </c>
      <c r="I2895" s="2163" t="n">
        <v>0</v>
      </c>
      <c r="J2895" s="2163" t="n">
        <v>0</v>
      </c>
      <c r="K2895" s="2163" t="n"/>
    </row>
    <row r="2896" outlineLevel="3" ht="12.75" customHeight="1">
      <c r="A2896" s="82" t="n">
        <v>3</v>
      </c>
      <c r="B2896" s="82" t="inlineStr">
        <is>
          <t>Insumo</t>
        </is>
      </c>
      <c r="C2896" s="89" t="inlineStr">
        <is>
          <t>Revestimento de cerâmico em Teto, Placa 31 x 54cm com Junta de 2mm e rejunte acrilico</t>
        </is>
      </c>
      <c r="D2896" s="89" t="inlineStr">
        <is>
          <t>Cerâmica Brilhante Metrô 31x54cm Savane</t>
        </is>
      </c>
      <c r="E2896" s="11">
        <f t="array" ref="E2896">_xlfn.XLOOKUP(D2896,Insumos!B:B,Insumos!C:$C)</f>
        <v/>
      </c>
      <c r="F2896" s="2164" t="n">
        <v>1.1</v>
      </c>
      <c r="G2896" s="92">
        <f t="array" ref="G2896">IF(B2896="insumo",_xlfn.XLOOKUP($D2896,Insumos!$B$1:$B$996,Insumos!$D$1:$D$996),"")</f>
        <v/>
      </c>
      <c r="H2896" s="92" t="n">
        <v>79.893</v>
      </c>
      <c r="I2896" s="2165" t="n">
        <v>0</v>
      </c>
      <c r="J2896" s="2165" t="n">
        <v>0</v>
      </c>
      <c r="K2896" s="2165" t="n"/>
    </row>
    <row r="2897" outlineLevel="3" ht="12.75" customHeight="1">
      <c r="A2897" s="82" t="n">
        <v>191</v>
      </c>
      <c r="B2897" s="82" t="inlineStr">
        <is>
          <t>Insumo</t>
        </is>
      </c>
      <c r="C2897" s="82" t="inlineStr">
        <is>
          <t>Revestimento de cerâmico em Teto, Placa 31 x 54cm com Junta de 2mm e rejunte acrilico</t>
        </is>
      </c>
      <c r="D2897" s="82" t="inlineStr">
        <is>
          <t>Argamassa ACIII</t>
        </is>
      </c>
      <c r="E2897" s="11">
        <f t="array" ref="E2897">_xlfn.XLOOKUP(D2897,Insumos!B:B,Insumos!C:$C)</f>
        <v/>
      </c>
      <c r="F2897" s="2164" t="n">
        <v>8.800000000000001</v>
      </c>
      <c r="G2897" s="92">
        <f t="array" ref="G2897">IF(B2897="insumo",_xlfn.XLOOKUP($D2897,Insumos!$B$1:$B$996,Insumos!$D$1:$D$996),"")</f>
        <v/>
      </c>
      <c r="H2897" s="92" t="n">
        <v>9.367599999999999</v>
      </c>
      <c r="I2897" s="2165" t="n">
        <v>0</v>
      </c>
      <c r="J2897" s="2165" t="n">
        <v>0</v>
      </c>
      <c r="K2897" s="2165" t="n"/>
    </row>
    <row r="2898" outlineLevel="3" ht="12.75" customHeight="1">
      <c r="A2898" s="82" t="n">
        <v>142</v>
      </c>
      <c r="B2898" s="82" t="inlineStr">
        <is>
          <t>Insumo</t>
        </is>
      </c>
      <c r="C2898" s="82" t="inlineStr">
        <is>
          <t>Revestimento de cerâmico em Teto, Placa 31 x 54cm com Junta de 2mm e rejunte acrilico</t>
        </is>
      </c>
      <c r="D2898" s="82" t="inlineStr">
        <is>
          <t>Espeçador junta piso 2mm</t>
        </is>
      </c>
      <c r="E2898" s="11">
        <f t="array" ref="E2898">_xlfn.XLOOKUP(D2898,Insumos!B:B,Insumos!C:$C)</f>
        <v/>
      </c>
      <c r="F2898" s="2164" t="n">
        <v>3</v>
      </c>
      <c r="G2898" s="92">
        <f t="array" ref="G2898">IF(B2898="insumo",_xlfn.XLOOKUP($D2898,Insumos!$B$1:$B$996,Insumos!$D$1:$D$996),"")</f>
        <v/>
      </c>
      <c r="H2898" s="92" t="n">
        <v>0.24</v>
      </c>
      <c r="I2898" s="2165" t="n">
        <v>0</v>
      </c>
      <c r="J2898" s="2165" t="n">
        <v>0</v>
      </c>
      <c r="K2898" s="2165" t="n"/>
    </row>
    <row r="2899" outlineLevel="3" ht="12.75" customHeight="1">
      <c r="A2899" s="82" t="n">
        <v>22</v>
      </c>
      <c r="B2899" s="82" t="inlineStr">
        <is>
          <t>Insumo</t>
        </is>
      </c>
      <c r="C2899" s="82" t="inlineStr">
        <is>
          <t>Revestimento de cerâmico em Teto, Placa 31 x 54cm com Junta de 2mm e rejunte acrilico</t>
        </is>
      </c>
      <c r="D2899" s="82" t="inlineStr">
        <is>
          <t>Rejunte acrilico</t>
        </is>
      </c>
      <c r="E2899" s="11">
        <f t="array" ref="E2899">_xlfn.XLOOKUP(D2899,Insumos!B:B,Insumos!C:$C)</f>
        <v/>
      </c>
      <c r="F2899" s="2164" t="n">
        <v>0.01</v>
      </c>
      <c r="G2899" s="92">
        <f t="array" ref="G2899">IF(B2899="insumo",_xlfn.XLOOKUP($D2899,Insumos!$B$1:$B$996,Insumos!$D$1:$D$996),"")</f>
        <v/>
      </c>
      <c r="H2899" s="92" t="n">
        <v>0.438</v>
      </c>
      <c r="I2899" s="2165" t="n">
        <v>0</v>
      </c>
      <c r="J2899" s="2165" t="n">
        <v>0</v>
      </c>
      <c r="K2899" s="2165" t="n"/>
    </row>
    <row r="2900" outlineLevel="2" ht="12.75" customHeight="1">
      <c r="A2900" s="1071" t="n">
        <v>1</v>
      </c>
      <c r="B2900" s="1071" t="inlineStr">
        <is>
          <t>Serviço</t>
        </is>
      </c>
      <c r="C2900" s="1071" t="inlineStr">
        <is>
          <t>Revestimento de cerâmico retificado em Teto, Placa 60 x 60cm com Junta de 2mm e rejunte acrilico</t>
        </is>
      </c>
      <c r="D2900" s="1071" t="inlineStr">
        <is>
          <t>Revestimento de cerâmico retificado em Teto, Placa 60 x 60cm com Junta de 2mm e rejunte acrilico</t>
        </is>
      </c>
      <c r="E2900" s="1072" t="inlineStr">
        <is>
          <t>M2</t>
        </is>
      </c>
      <c r="F2900" s="1071" t="n"/>
      <c r="G2900" s="1073">
        <f t="array" ref="G2900">IF(B2900="insumo",_xlfn.XLOOKUP($D2900,Insumos!$B$1:$B$996,Insumos!$D$1:$D$996),"")</f>
        <v/>
      </c>
      <c r="H2900" s="1073" t="n">
        <v>61.8386</v>
      </c>
      <c r="I2900" s="2163" t="e">
        <v>#REF!</v>
      </c>
      <c r="J2900" s="2163" t="e">
        <v>#REF!</v>
      </c>
      <c r="K2900" s="2163" t="n"/>
    </row>
    <row r="2901" outlineLevel="3" ht="12.75" customHeight="1">
      <c r="A2901" s="82" t="n">
        <v>6</v>
      </c>
      <c r="B2901" s="82" t="inlineStr">
        <is>
          <t>Insumo</t>
        </is>
      </c>
      <c r="C2901" s="89" t="inlineStr">
        <is>
          <t>Revestimento de cerâmico retificado em Teto, Placa 60 x 60cm com Junta de 2mm e rejunte acrilico</t>
        </is>
      </c>
      <c r="D2901" s="89" t="inlineStr">
        <is>
          <t>Cer. Karina Artisan 60305 Act. 60x60 Ret</t>
        </is>
      </c>
      <c r="E2901" s="11">
        <f t="array" ref="E2901">_xlfn.XLOOKUP(D2901,Insumos!B:B,Insumos!C:$C)</f>
        <v/>
      </c>
      <c r="F2901" s="2164" t="n">
        <v>1.1</v>
      </c>
      <c r="G2901" s="92">
        <f t="array" ref="G2901">IF(B2901="insumo",_xlfn.XLOOKUP($D2901,Insumos!$B$1:$B$996,Insumos!$D$1:$D$996),"")</f>
        <v/>
      </c>
      <c r="H2901" s="92" t="n">
        <v>51.953</v>
      </c>
      <c r="I2901" s="2165" t="e">
        <v>#REF!</v>
      </c>
      <c r="J2901" s="2165" t="e">
        <v>#REF!</v>
      </c>
      <c r="K2901" s="2165" t="n"/>
    </row>
    <row r="2902" outlineLevel="3" ht="12.75" customHeight="1">
      <c r="A2902" s="82" t="n">
        <v>191</v>
      </c>
      <c r="B2902" s="82" t="inlineStr">
        <is>
          <t>Insumo</t>
        </is>
      </c>
      <c r="C2902" s="82" t="inlineStr">
        <is>
          <t>Revestimento de cerâmico retificado em Teto, Placa 60 x 60cm com Junta de 2mm e rejunte acrilico</t>
        </is>
      </c>
      <c r="D2902" s="82" t="inlineStr">
        <is>
          <t>Argamassa ACIII</t>
        </is>
      </c>
      <c r="E2902" s="11">
        <f t="array" ref="E2902">_xlfn.XLOOKUP(D2902,Insumos!B:B,Insumos!C:$C)</f>
        <v/>
      </c>
      <c r="F2902" s="2164" t="n">
        <v>8.800000000000001</v>
      </c>
      <c r="G2902" s="92">
        <f t="array" ref="G2902">IF(B2902="insumo",_xlfn.XLOOKUP($D2902,Insumos!$B$1:$B$996,Insumos!$D$1:$D$996),"")</f>
        <v/>
      </c>
      <c r="H2902" s="92" t="n">
        <v>9.367599999999999</v>
      </c>
      <c r="I2902" s="2165" t="e">
        <v>#REF!</v>
      </c>
      <c r="J2902" s="2165" t="e">
        <v>#REF!</v>
      </c>
      <c r="K2902" s="2165" t="n"/>
    </row>
    <row r="2903" outlineLevel="3" ht="12.75" customHeight="1">
      <c r="A2903" s="82" t="n">
        <v>142</v>
      </c>
      <c r="B2903" s="82" t="inlineStr">
        <is>
          <t>Insumo</t>
        </is>
      </c>
      <c r="C2903" s="82" t="inlineStr">
        <is>
          <t>Revestimento de cerâmico retificado em Teto, Placa 60 x 60cm com Junta de 2mm e rejunte acrilico</t>
        </is>
      </c>
      <c r="D2903" s="82" t="inlineStr">
        <is>
          <t>Espeçador junta piso 2mm</t>
        </is>
      </c>
      <c r="E2903" s="11">
        <f t="array" ref="E2903">_xlfn.XLOOKUP(D2903,Insumos!B:B,Insumos!C:$C)</f>
        <v/>
      </c>
      <c r="F2903" s="2164" t="n">
        <v>1</v>
      </c>
      <c r="G2903" s="92">
        <f t="array" ref="G2903">IF(B2903="insumo",_xlfn.XLOOKUP($D2903,Insumos!$B$1:$B$996,Insumos!$D$1:$D$996),"")</f>
        <v/>
      </c>
      <c r="H2903" s="92" t="n">
        <v>0.08</v>
      </c>
      <c r="I2903" s="2165" t="e">
        <v>#REF!</v>
      </c>
      <c r="J2903" s="2165" t="e">
        <v>#REF!</v>
      </c>
      <c r="K2903" s="2165" t="n"/>
    </row>
    <row r="2904" outlineLevel="3" ht="12.75" customHeight="1">
      <c r="A2904" s="82" t="n">
        <v>22</v>
      </c>
      <c r="B2904" s="82" t="inlineStr">
        <is>
          <t>Insumo</t>
        </is>
      </c>
      <c r="C2904" s="82" t="inlineStr">
        <is>
          <t>Revestimento de cerâmico retificado em Teto, Placa 60 x 60cm com Junta de 2mm e rejunte acrilico</t>
        </is>
      </c>
      <c r="D2904" s="82" t="inlineStr">
        <is>
          <t>Rejunte acrilico</t>
        </is>
      </c>
      <c r="E2904" s="11">
        <f t="array" ref="E2904">_xlfn.XLOOKUP(D2904,Insumos!B:B,Insumos!C:$C)</f>
        <v/>
      </c>
      <c r="F2904" s="2164" t="n">
        <v>0.01</v>
      </c>
      <c r="G2904" s="92">
        <f t="array" ref="G2904">IF(B2904="insumo",_xlfn.XLOOKUP($D2904,Insumos!$B$1:$B$996,Insumos!$D$1:$D$996),"")</f>
        <v/>
      </c>
      <c r="H2904" s="92" t="n">
        <v>0.438</v>
      </c>
      <c r="I2904" s="2165" t="e">
        <v>#REF!</v>
      </c>
      <c r="J2904" s="2165" t="e">
        <v>#REF!</v>
      </c>
      <c r="K2904" s="2165" t="n"/>
    </row>
    <row r="2905" outlineLevel="2" ht="15.75" customHeight="1">
      <c r="A2905" s="1067" t="n">
        <v>1</v>
      </c>
      <c r="B2905" s="1067" t="inlineStr">
        <is>
          <t>Serviço</t>
        </is>
      </c>
      <c r="C2905" s="1067" t="inlineStr">
        <is>
          <t>Revestimento em Tetos ,  Vinilico - Material e Mão de obra</t>
        </is>
      </c>
      <c r="D2905" s="1067" t="inlineStr">
        <is>
          <t>Revestimento em Tetos ,  Vinilico - Material e Mão de obra</t>
        </is>
      </c>
      <c r="E2905" s="1068" t="inlineStr">
        <is>
          <t>M2</t>
        </is>
      </c>
      <c r="F2905" s="1067" t="n"/>
      <c r="G2905" s="1069">
        <f t="array" ref="G2905">IF(B2905="insumo",_xlfn.XLOOKUP($D2905,Insumos!$B$1:$B$996,Insumos!$D$1:$D$996),"")</f>
        <v/>
      </c>
      <c r="H2905" s="1069" t="n">
        <v>269.76</v>
      </c>
      <c r="I2905" s="2161" t="n">
        <v>0</v>
      </c>
      <c r="J2905" s="2161" t="n">
        <v>0</v>
      </c>
      <c r="K2905" s="2161" t="n"/>
    </row>
    <row r="2906" outlineLevel="3" ht="15.75" customHeight="1">
      <c r="A2906" s="10" t="n">
        <v>2</v>
      </c>
      <c r="B2906" s="10" t="inlineStr">
        <is>
          <t>Insumo</t>
        </is>
      </c>
      <c r="C2906" s="10" t="inlineStr">
        <is>
          <t>Revestimento em Tetos ,  Vinilico - Material e Mão de obra</t>
        </is>
      </c>
      <c r="D2906" s="10" t="inlineStr">
        <is>
          <t>PISO VINILICO FLAMBOYANT REGUÁ 208x1230mm TARKETT - MATERIAL E MÃO DE OBRA</t>
        </is>
      </c>
      <c r="E2906" s="11">
        <f t="array" ref="E2906">_xlfn.XLOOKUP(D2906,Insumos!B:B,Insumos!C:$C)</f>
        <v/>
      </c>
      <c r="F2906" s="14" t="n">
        <v>1</v>
      </c>
      <c r="G2906" s="92">
        <f t="array" ref="G2906">IF(B2906="insumo",_xlfn.XLOOKUP($D2906,Insumos!$B$1:$B$996,Insumos!$D$1:$D$996),"")</f>
        <v/>
      </c>
      <c r="H2906" s="92" t="n">
        <v>269.76</v>
      </c>
      <c r="I2906" s="2162" t="n">
        <v>0</v>
      </c>
      <c r="J2906" s="2162" t="n">
        <v>0</v>
      </c>
      <c r="K2906" s="2162" t="n"/>
    </row>
    <row r="2907" outlineLevel="2" ht="15.75" customHeight="1">
      <c r="A2907" s="1067" t="n">
        <v>1</v>
      </c>
      <c r="B2907" s="1067" t="inlineStr">
        <is>
          <t>Serviço</t>
        </is>
      </c>
      <c r="C2907" s="1067" t="inlineStr">
        <is>
          <t>Revestimento em Tetos ,  ACM - Material e Mão de obra</t>
        </is>
      </c>
      <c r="D2907" s="1067" t="inlineStr">
        <is>
          <t>Revestimento em Tetos ,  ACM - Material e Mão de obra</t>
        </is>
      </c>
      <c r="E2907" s="1068" t="inlineStr">
        <is>
          <t>M2</t>
        </is>
      </c>
      <c r="F2907" s="1067" t="n"/>
      <c r="G2907" s="1069">
        <f t="array" ref="G2907">IF(B2907="insumo",_xlfn.XLOOKUP($D2907,Insumos!$B$1:$B$996,Insumos!$D$1:$D$996),"")</f>
        <v/>
      </c>
      <c r="H2907" s="1069" t="n">
        <v>986.4</v>
      </c>
      <c r="I2907" s="2161" t="n">
        <v>0</v>
      </c>
      <c r="J2907" s="2161" t="n">
        <v>0</v>
      </c>
      <c r="K2907" s="2161" t="n"/>
    </row>
    <row r="2908" outlineLevel="3" ht="15.75" customHeight="1">
      <c r="A2908" s="10" t="n">
        <v>1</v>
      </c>
      <c r="B2908" s="10" t="inlineStr">
        <is>
          <t>Insumo</t>
        </is>
      </c>
      <c r="C2908" s="10" t="inlineStr">
        <is>
          <t>Revestimento em Tetos ,  ACM - Material e Mão de obra</t>
        </is>
      </c>
      <c r="D2908" s="10" t="inlineStr">
        <is>
          <t>Acabamento em ACM em tetos - Material e mão de obra</t>
        </is>
      </c>
      <c r="E2908" s="11">
        <f t="array" ref="E2908">_xlfn.XLOOKUP(D2908,Insumos!B:B,Insumos!C:$C)</f>
        <v/>
      </c>
      <c r="F2908" s="14" t="n">
        <v>1</v>
      </c>
      <c r="G2908" s="92">
        <f t="array" ref="G2908">IF(B2908="insumo",_xlfn.XLOOKUP($D2908,Insumos!$B$1:$B$996,Insumos!$D$1:$D$996),"")</f>
        <v/>
      </c>
      <c r="H2908" s="92" t="n">
        <v>986.4</v>
      </c>
      <c r="I2908" s="2162" t="n">
        <v>0</v>
      </c>
      <c r="J2908" s="2162" t="n">
        <v>0</v>
      </c>
      <c r="K2908" s="2162" t="n"/>
    </row>
    <row r="2909" outlineLevel="2" ht="15.75" customHeight="1">
      <c r="A2909" s="1067" t="n">
        <v>1</v>
      </c>
      <c r="B2909" s="1067" t="inlineStr">
        <is>
          <t>Serviço</t>
        </is>
      </c>
      <c r="C2909" s="1067" t="inlineStr">
        <is>
          <t xml:space="preserve">Revestimento em Tetos, Marcenaria, incluindo chapa de 18mm, acessorios para instalação - Material e Mão de Obra </t>
        </is>
      </c>
      <c r="D2909" s="1067" t="inlineStr">
        <is>
          <t xml:space="preserve">Revestimento em Tetos, Marcenaria, incluindo chapa de 18mm, acessorios para instalação - Material e Mão de Obra </t>
        </is>
      </c>
      <c r="E2909" s="1068" t="inlineStr">
        <is>
          <t>M2</t>
        </is>
      </c>
      <c r="F2909" s="1067" t="n"/>
      <c r="G2909" s="1069">
        <f t="array" ref="G2909">IF(B2909="insumo",_xlfn.XLOOKUP($D2909,Insumos!$B$1:$B$996,Insumos!$D$1:$D$996),"")</f>
        <v/>
      </c>
      <c r="H2909" s="1069" t="n">
        <v>613</v>
      </c>
      <c r="I2909" s="2161" t="n">
        <v>0</v>
      </c>
      <c r="J2909" s="2161" t="n">
        <v>0</v>
      </c>
      <c r="K2909" s="2161" t="n"/>
    </row>
    <row r="2910" outlineLevel="3" ht="15.75" customHeight="1">
      <c r="A2910" s="10" t="n">
        <v>2</v>
      </c>
      <c r="B2910" s="10" t="inlineStr">
        <is>
          <t>Insumo</t>
        </is>
      </c>
      <c r="C2910" s="10" t="inlineStr">
        <is>
          <t xml:space="preserve">Revestimento em Tetos, Marcenaria, incluindo chapa de 18mm, acessorios para instalação - Material e Mão de Obra </t>
        </is>
      </c>
      <c r="D2910" s="10" t="inlineStr">
        <is>
          <t xml:space="preserve">Revestimento em Marcenaria, incluindo chapa de 18mm, acessorios para instalação - Material e Mão de Obra </t>
        </is>
      </c>
      <c r="E2910" s="11">
        <f t="array" ref="E2910">_xlfn.XLOOKUP(D2910,Insumos!B:B,Insumos!C:$C)</f>
        <v/>
      </c>
      <c r="F2910" s="14" t="n">
        <v>1</v>
      </c>
      <c r="G2910" s="92">
        <f t="array" ref="G2910">IF(B2910="insumo",_xlfn.XLOOKUP($D2910,Insumos!$B$1:$B$996,Insumos!$D$1:$D$996),"")</f>
        <v/>
      </c>
      <c r="H2910" s="92" t="n">
        <v>613</v>
      </c>
      <c r="I2910" s="2162" t="n">
        <v>0</v>
      </c>
      <c r="J2910" s="2162" t="n">
        <v>0</v>
      </c>
      <c r="K2910" s="2162" t="n"/>
    </row>
    <row r="2911" outlineLevel="1" ht="15.75" customHeight="1">
      <c r="A2911" s="1090" t="n">
        <v>6</v>
      </c>
      <c r="B2911" s="1090" t="inlineStr">
        <is>
          <t>Subetapa</t>
        </is>
      </c>
      <c r="C2911" s="1090" t="inlineStr">
        <is>
          <t xml:space="preserve">Revestimento em Tetos, Marcenaria, incluindo chapa de 18mm, acessorios para instalação - Material e Mão de Obra </t>
        </is>
      </c>
      <c r="D2911" s="1090" t="inlineStr">
        <is>
          <t>MÃO DE OBRA</t>
        </is>
      </c>
      <c r="E2911" s="1091" t="n"/>
      <c r="F2911" s="2160" t="n"/>
      <c r="G2911" s="1091" t="n"/>
      <c r="H2911" s="1091" t="n">
        <v>0</v>
      </c>
      <c r="I2911" s="2160" t="n">
        <v>0</v>
      </c>
      <c r="J2911" s="2160" t="n">
        <v>0</v>
      </c>
      <c r="K2911" s="2160" t="n"/>
    </row>
    <row r="2912" outlineLevel="2" ht="15.75" customHeight="1">
      <c r="A2912" s="1067" t="n">
        <v>1</v>
      </c>
      <c r="B2912" s="1067" t="inlineStr">
        <is>
          <t>Serviço</t>
        </is>
      </c>
      <c r="C2912" s="1067" t="inlineStr">
        <is>
          <t>Mão de obra execução de estucamento em teto</t>
        </is>
      </c>
      <c r="D2912" s="1067" t="inlineStr">
        <is>
          <t>Mão de obra execução de estucamento em teto</t>
        </is>
      </c>
      <c r="E2912" s="1068" t="inlineStr">
        <is>
          <t>M2</t>
        </is>
      </c>
      <c r="F2912" s="1075" t="n"/>
      <c r="G2912" s="1069">
        <f t="array" ref="G2912">IF(B2912="insumo",_xlfn.XLOOKUP($D2912,Insumos!$B$1:$B$996,Insumos!$D$1:$D$996),"")</f>
        <v/>
      </c>
      <c r="H2912" s="1069" t="n">
        <v>25</v>
      </c>
      <c r="I2912" s="2161" t="e">
        <v>#REF!</v>
      </c>
      <c r="J2912" s="2161" t="e">
        <v>#REF!</v>
      </c>
      <c r="K2912" s="2161" t="n"/>
    </row>
    <row r="2913" outlineLevel="3" ht="15.75" customHeight="1">
      <c r="A2913" s="10" t="n">
        <v>1</v>
      </c>
      <c r="B2913" s="10" t="inlineStr">
        <is>
          <t>Insumo</t>
        </is>
      </c>
      <c r="C2913" s="10" t="inlineStr">
        <is>
          <t>Mão de obra execução de estucamento em teto</t>
        </is>
      </c>
      <c r="D2913" s="10" t="inlineStr">
        <is>
          <t>Mão de obra execução de estucamento em teto</t>
        </is>
      </c>
      <c r="E2913" s="11">
        <f t="array" ref="E2913">_xlfn.XLOOKUP(D2913,Insumos!B:B,Insumos!C:$C)</f>
        <v/>
      </c>
      <c r="F2913" s="14" t="n">
        <v>1</v>
      </c>
      <c r="G2913" s="92">
        <f t="array" ref="G2913">IF(B2913="insumo",_xlfn.XLOOKUP($D2913,Insumos!$B$1:$B$996,Insumos!$D$1:$D$996),"")</f>
        <v/>
      </c>
      <c r="H2913" s="92" t="n">
        <v>25</v>
      </c>
      <c r="I2913" s="2162" t="e">
        <v>#REF!</v>
      </c>
      <c r="J2913" s="2162" t="e">
        <v>#REF!</v>
      </c>
      <c r="K2913" s="2162" t="n"/>
    </row>
    <row r="2914" outlineLevel="2" ht="15.75" customHeight="1">
      <c r="A2914" s="1067" t="n">
        <v>1</v>
      </c>
      <c r="B2914" s="1067" t="inlineStr">
        <is>
          <t>Serviço</t>
        </is>
      </c>
      <c r="C2914" s="1067" t="inlineStr">
        <is>
          <t>Mão de obra execução de Reboco em teto</t>
        </is>
      </c>
      <c r="D2914" s="1067" t="inlineStr">
        <is>
          <t>Mão de obra execução de Reboco em teto</t>
        </is>
      </c>
      <c r="E2914" s="1068" t="inlineStr">
        <is>
          <t>M2</t>
        </is>
      </c>
      <c r="F2914" s="1075" t="n"/>
      <c r="G2914" s="1069">
        <f t="array" ref="G2914">IF(B2914="insumo",_xlfn.XLOOKUP($D2914,Insumos!$B$1:$B$996,Insumos!$D$1:$D$996),"")</f>
        <v/>
      </c>
      <c r="H2914" s="1069" t="n">
        <v>40</v>
      </c>
      <c r="I2914" s="2161" t="e">
        <v>#REF!</v>
      </c>
      <c r="J2914" s="2161" t="e">
        <v>#REF!</v>
      </c>
      <c r="K2914" s="2161" t="n"/>
    </row>
    <row r="2915" outlineLevel="3" ht="15.75" customHeight="1">
      <c r="A2915" s="10" t="n">
        <v>1</v>
      </c>
      <c r="B2915" s="10" t="inlineStr">
        <is>
          <t>Insumo</t>
        </is>
      </c>
      <c r="C2915" s="10" t="inlineStr">
        <is>
          <t>Mão de obra execução de Reboco em teto</t>
        </is>
      </c>
      <c r="D2915" s="10" t="inlineStr">
        <is>
          <t>Mão de obra execução de Reboco em teto</t>
        </is>
      </c>
      <c r="E2915" s="11">
        <f t="array" ref="E2915">_xlfn.XLOOKUP(D2915,Insumos!B:B,Insumos!C:$C)</f>
        <v/>
      </c>
      <c r="F2915" s="14" t="n">
        <v>1</v>
      </c>
      <c r="G2915" s="92">
        <f t="array" ref="G2915">IF(B2915="insumo",_xlfn.XLOOKUP($D2915,Insumos!$B$1:$B$996,Insumos!$D$1:$D$996),"")</f>
        <v/>
      </c>
      <c r="H2915" s="92" t="n">
        <v>40</v>
      </c>
      <c r="I2915" s="2162" t="e">
        <v>#REF!</v>
      </c>
      <c r="J2915" s="2162" t="e">
        <v>#REF!</v>
      </c>
      <c r="K2915" s="2162" t="n"/>
    </row>
    <row r="2916" outlineLevel="2" ht="15.75" customHeight="1">
      <c r="A2916" s="1067" t="n">
        <v>1</v>
      </c>
      <c r="B2916" s="1067" t="inlineStr">
        <is>
          <t>Serviço</t>
        </is>
      </c>
      <c r="C2916" s="1067" t="inlineStr">
        <is>
          <t>Revestimento cerâmico em tetos</t>
        </is>
      </c>
      <c r="D2916" s="1067" t="inlineStr">
        <is>
          <t>Revestimento cerâmico em tetos</t>
        </is>
      </c>
      <c r="E2916" s="1068" t="inlineStr">
        <is>
          <t>M2</t>
        </is>
      </c>
      <c r="F2916" s="1075" t="n"/>
      <c r="G2916" s="1069">
        <f t="array" ref="G2916">IF(B2916="insumo",_xlfn.XLOOKUP($D2916,Insumos!$B$1:$B$996,Insumos!$D$1:$D$996),"")</f>
        <v/>
      </c>
      <c r="H2916" s="1069" t="n">
        <v>75</v>
      </c>
      <c r="I2916" s="2161" t="n">
        <v>0</v>
      </c>
      <c r="J2916" s="2161" t="n">
        <v>0</v>
      </c>
      <c r="K2916" s="2161" t="n"/>
    </row>
    <row r="2917" outlineLevel="3" ht="15.75" customHeight="1">
      <c r="A2917" s="10" t="n">
        <v>1</v>
      </c>
      <c r="B2917" s="10" t="inlineStr">
        <is>
          <t>Insumo</t>
        </is>
      </c>
      <c r="C2917" s="10" t="inlineStr">
        <is>
          <t>Revestimento cerâmico em tetos</t>
        </is>
      </c>
      <c r="D2917" s="10" t="inlineStr">
        <is>
          <t>Revestimento cerâmico em tetos</t>
        </is>
      </c>
      <c r="E2917" s="11">
        <f t="array" ref="E2917">_xlfn.XLOOKUP(D2917,Insumos!B:B,Insumos!C:$C)</f>
        <v/>
      </c>
      <c r="F2917" s="14" t="n">
        <v>1</v>
      </c>
      <c r="G2917" s="92">
        <f t="array" ref="G2917">IF(B2917="insumo",_xlfn.XLOOKUP($D2917,Insumos!$B$1:$B$996,Insumos!$D$1:$D$996),"")</f>
        <v/>
      </c>
      <c r="H2917" s="92" t="n">
        <v>75</v>
      </c>
      <c r="I2917" s="2162" t="n">
        <v>0</v>
      </c>
      <c r="J2917" s="2162" t="n">
        <v>0</v>
      </c>
      <c r="K2917" s="2162" t="n"/>
    </row>
    <row r="2918" ht="15.75" customHeight="1">
      <c r="A2918" s="7" t="n">
        <v>1</v>
      </c>
      <c r="B2918" s="7" t="inlineStr">
        <is>
          <t>Etapa</t>
        </is>
      </c>
      <c r="C2918" s="7" t="inlineStr">
        <is>
          <t>Revestimento cerâmico em tetos</t>
        </is>
      </c>
      <c r="D2918" s="7" t="inlineStr">
        <is>
          <t>PISOS E PAVIMENTAÇÕES</t>
        </is>
      </c>
      <c r="E2918" s="8" t="n"/>
      <c r="F2918" s="2159" t="n"/>
      <c r="G2918" s="91">
        <f t="array" ref="G2918">IF(B2918="insumo",_xlfn.XLOOKUP($D2918,Insumos!$B$1:$B$996,Insumos!$D$1:$D$996),"")</f>
        <v/>
      </c>
      <c r="H2918" s="91" t="n">
        <v>0</v>
      </c>
      <c r="I2918" s="2159" t="n">
        <v>0</v>
      </c>
      <c r="J2918" s="2159" t="n">
        <v>0</v>
      </c>
      <c r="K2918" s="2159" t="n"/>
    </row>
    <row r="2919" outlineLevel="1" ht="15.75" customHeight="1">
      <c r="A2919" s="1090" t="n">
        <v>1</v>
      </c>
      <c r="B2919" s="1090" t="inlineStr">
        <is>
          <t>Subetapa</t>
        </is>
      </c>
      <c r="C2919" s="1090" t="inlineStr">
        <is>
          <t>Revestimento cerâmico em tetos</t>
        </is>
      </c>
      <c r="D2919" s="1090" t="inlineStr">
        <is>
          <t>ENCHIMENTOS</t>
        </is>
      </c>
      <c r="E2919" s="1091" t="n"/>
      <c r="F2919" s="2160" t="n"/>
      <c r="G2919" s="1091" t="n"/>
      <c r="H2919" s="1091" t="n">
        <v>0</v>
      </c>
      <c r="I2919" s="2160" t="n">
        <v>0</v>
      </c>
      <c r="J2919" s="2160" t="n">
        <v>0</v>
      </c>
      <c r="K2919" s="2160" t="n"/>
    </row>
    <row r="2920" outlineLevel="2" ht="15.75" customHeight="1">
      <c r="A2920" s="1067" t="n">
        <v>1</v>
      </c>
      <c r="B2920" s="1067" t="inlineStr">
        <is>
          <t>Serviço</t>
        </is>
      </c>
      <c r="C2920" s="1067" t="inlineStr">
        <is>
          <t>Enchimento de EPS em laje</t>
        </is>
      </c>
      <c r="D2920" s="1067" t="inlineStr">
        <is>
          <t>Enchimento de EPS em laje</t>
        </is>
      </c>
      <c r="E2920" s="1068" t="inlineStr">
        <is>
          <t>M2</t>
        </is>
      </c>
      <c r="F2920" s="1067" t="n"/>
      <c r="G2920" s="1069">
        <f t="array" ref="G2920">IF(B2920="insumo",_xlfn.XLOOKUP($D2920,Insumos!$B$1:$B$996,Insumos!$D$1:$D$996),"")</f>
        <v/>
      </c>
      <c r="H2920" s="1069" t="n">
        <v>166.666666666667</v>
      </c>
      <c r="I2920" s="2161" t="n">
        <v>0</v>
      </c>
      <c r="J2920" s="2161" t="n">
        <v>0</v>
      </c>
      <c r="K2920" s="2161" t="n"/>
    </row>
    <row r="2921" outlineLevel="3" ht="15.75" customHeight="1">
      <c r="A2921" s="10" t="n">
        <v>1</v>
      </c>
      <c r="B2921" s="10" t="inlineStr">
        <is>
          <t>Insumo</t>
        </is>
      </c>
      <c r="C2921" s="10" t="inlineStr">
        <is>
          <t>Enchimento de EPS em laje</t>
        </is>
      </c>
      <c r="D2921" s="10" t="inlineStr">
        <is>
          <t>Isopor Eps Nivelamento Laje Contra Piso 1000x330x110mm</t>
        </is>
      </c>
      <c r="E2921" s="11">
        <f t="array" ref="E2921">_xlfn.XLOOKUP(D2921,Insumos!B:B,Insumos!C:$C)</f>
        <v/>
      </c>
      <c r="F2921" s="14" t="n">
        <v>1.1</v>
      </c>
      <c r="G2921" s="92">
        <f t="array" ref="G2921">IF(B2921="insumo",_xlfn.XLOOKUP($D2921,Insumos!$B$1:$B$996,Insumos!$D$1:$D$996),"")</f>
        <v/>
      </c>
      <c r="H2921" s="92" t="n">
        <v>166.666666666667</v>
      </c>
      <c r="I2921" s="2162" t="n">
        <v>0</v>
      </c>
      <c r="J2921" s="2162" t="n">
        <v>0</v>
      </c>
      <c r="K2921" s="2162" t="n"/>
    </row>
    <row r="2922" outlineLevel="2" ht="15.75" customHeight="1">
      <c r="A2922" s="1067" t="n">
        <v>1</v>
      </c>
      <c r="B2922" s="1067" t="inlineStr">
        <is>
          <t>Serviço</t>
        </is>
      </c>
      <c r="C2922" s="1067" t="inlineStr">
        <is>
          <t>Enchimento de escada com Concreto Magro, e=10cm</t>
        </is>
      </c>
      <c r="D2922" s="1067" t="inlineStr">
        <is>
          <t>Enchimento de escada com Concreto Magro, e=10cm</t>
        </is>
      </c>
      <c r="E2922" s="1068" t="inlineStr">
        <is>
          <t>M3</t>
        </is>
      </c>
      <c r="F2922" s="1067" t="n"/>
      <c r="G2922" s="1069">
        <f t="array" ref="G2922">IF(B2922="insumo",_xlfn.XLOOKUP($D2922,Insumos!$B$1:$B$996,Insumos!$D$1:$D$996),"")</f>
        <v/>
      </c>
      <c r="H2922" s="1069" t="n">
        <v>495.247</v>
      </c>
      <c r="I2922" s="2161" t="n">
        <v>0</v>
      </c>
      <c r="J2922" s="2161" t="n">
        <v>0</v>
      </c>
      <c r="K2922" s="2161" t="n"/>
    </row>
    <row r="2923" outlineLevel="3" ht="15.75" customHeight="1">
      <c r="A2923" s="10" t="n">
        <v>3</v>
      </c>
      <c r="B2923" s="10" t="inlineStr">
        <is>
          <t>Insumo</t>
        </is>
      </c>
      <c r="C2923" s="10" t="inlineStr">
        <is>
          <t>Enchimento de escada com Concreto Magro, e=10cm</t>
        </is>
      </c>
      <c r="D2923" s="10" t="inlineStr">
        <is>
          <t>CONCRETO MAGRO PARA LASTRO</t>
        </is>
      </c>
      <c r="E2923" s="11">
        <f t="array" ref="E2923">_xlfn.XLOOKUP(D2923,Insumos!B:B,Insumos!C:$C)</f>
        <v/>
      </c>
      <c r="F2923" s="14" t="n">
        <v>1.05</v>
      </c>
      <c r="G2923" s="92">
        <f t="array" ref="G2923">IF(B2923="insumo",_xlfn.XLOOKUP($D2923,Insumos!$B$1:$B$996,Insumos!$D$1:$D$996),"")</f>
        <v/>
      </c>
      <c r="H2923" s="92" t="n">
        <v>452.487</v>
      </c>
      <c r="I2923" s="2162" t="n">
        <v>0</v>
      </c>
      <c r="J2923" s="2162" t="n">
        <v>0</v>
      </c>
      <c r="K2923" s="2162" t="n"/>
    </row>
    <row r="2924" outlineLevel="3" ht="15.75" customHeight="1">
      <c r="A2924" s="10" t="n">
        <v>25</v>
      </c>
      <c r="B2924" s="10" t="inlineStr">
        <is>
          <t>Insumo</t>
        </is>
      </c>
      <c r="C2924" s="10" t="inlineStr">
        <is>
          <t>Enchimento de escada com Concreto Magro, e=10cm</t>
        </is>
      </c>
      <c r="D2924" s="10" t="inlineStr">
        <is>
          <t>serviço de bombeamento</t>
        </is>
      </c>
      <c r="E2924" s="11">
        <f t="array" ref="E2924">_xlfn.XLOOKUP(D2924,Insumos!B:B,Insumos!C:$C)</f>
        <v/>
      </c>
      <c r="F2924" s="14" t="n">
        <v>1.05</v>
      </c>
      <c r="G2924" s="92">
        <f t="array" ref="G2924">IF(B2924="insumo",_xlfn.XLOOKUP($D2924,Insumos!$B$1:$B$996,Insumos!$D$1:$D$996),"")</f>
        <v/>
      </c>
      <c r="H2924" s="92" t="n">
        <v>42</v>
      </c>
      <c r="I2924" s="2162" t="n">
        <v>0</v>
      </c>
      <c r="J2924" s="2162" t="n">
        <v>0</v>
      </c>
      <c r="K2924" s="2162" t="n"/>
    </row>
    <row r="2925" outlineLevel="3" ht="15.75" customHeight="1">
      <c r="A2925" s="10" t="n">
        <v>62</v>
      </c>
      <c r="B2925" s="10" t="inlineStr">
        <is>
          <t>Insumo</t>
        </is>
      </c>
      <c r="C2925" s="10" t="inlineStr">
        <is>
          <t>Enchimento de escada com Concreto Magro, e=10cm</t>
        </is>
      </c>
      <c r="D2925" s="10" t="inlineStr">
        <is>
          <t>Cimento Portland Composto CP II-32</t>
        </is>
      </c>
      <c r="E2925" s="11">
        <f t="array" ref="E2925">_xlfn.XLOOKUP(D2925,Insumos!B:B,Insumos!C:$C)</f>
        <v/>
      </c>
      <c r="F2925" s="14" t="n">
        <v>1</v>
      </c>
      <c r="G2925" s="92">
        <f t="array" ref="G2925">IF(B2925="insumo",_xlfn.XLOOKUP($D2925,Insumos!$B$1:$B$996,Insumos!$D$1:$D$996),"")</f>
        <v/>
      </c>
      <c r="H2925" s="92" t="n">
        <v>0.76</v>
      </c>
      <c r="I2925" s="2162" t="n">
        <v>0</v>
      </c>
      <c r="J2925" s="2162" t="n">
        <v>0</v>
      </c>
      <c r="K2925" s="2162" t="n"/>
    </row>
    <row r="2926" outlineLevel="2" ht="15.75" customHeight="1">
      <c r="A2926" s="1067" t="n">
        <v>1</v>
      </c>
      <c r="B2926" s="1067" t="inlineStr">
        <is>
          <t>Serviço</t>
        </is>
      </c>
      <c r="C2926" s="1067" t="inlineStr">
        <is>
          <t>Enchimento de piso - com areia média - Material e Mão de obra</t>
        </is>
      </c>
      <c r="D2926" s="1067" t="inlineStr">
        <is>
          <t>Enchimento de piso - com areia média - Material e Mão de obra</t>
        </is>
      </c>
      <c r="E2926" s="1068" t="inlineStr">
        <is>
          <t>M2</t>
        </is>
      </c>
      <c r="F2926" s="1067" t="n"/>
      <c r="G2926" s="1069">
        <f t="array" ref="G2926">IF(B2926="insumo",_xlfn.XLOOKUP($D2926,Insumos!$B$1:$B$996,Insumos!$D$1:$D$996),"")</f>
        <v/>
      </c>
      <c r="H2926" s="1069" t="n">
        <v>189.3</v>
      </c>
      <c r="I2926" s="2161" t="n">
        <v>0</v>
      </c>
      <c r="J2926" s="2161" t="n">
        <v>0</v>
      </c>
      <c r="K2926" s="2161" t="n"/>
    </row>
    <row r="2927" outlineLevel="3" ht="15.75" customHeight="1">
      <c r="A2927" s="10" t="n">
        <v>1</v>
      </c>
      <c r="B2927" s="10" t="inlineStr">
        <is>
          <t>Insumo</t>
        </is>
      </c>
      <c r="C2927" s="10" t="inlineStr">
        <is>
          <t>Enchimento de piso - com areia média - Material e Mão de obra</t>
        </is>
      </c>
      <c r="D2927" s="10" t="inlineStr">
        <is>
          <t>Mão de obra de enchimento de piso</t>
        </is>
      </c>
      <c r="E2927" s="11">
        <f t="array" ref="E2927">_xlfn.XLOOKUP(D2927,Insumos!B:B,Insumos!C:$C)</f>
        <v/>
      </c>
      <c r="F2927" s="14" t="n">
        <v>1</v>
      </c>
      <c r="G2927" s="92">
        <f t="array" ref="G2927">IF(B2927="insumo",_xlfn.XLOOKUP($D2927,Insumos!$B$1:$B$996,Insumos!$D$1:$D$996),"")</f>
        <v/>
      </c>
      <c r="H2927" s="92" t="n">
        <v>16.75</v>
      </c>
      <c r="I2927" s="2162" t="n">
        <v>0</v>
      </c>
      <c r="J2927" s="2162" t="n">
        <v>0</v>
      </c>
      <c r="K2927" s="2162" t="n"/>
    </row>
    <row r="2928" outlineLevel="3" ht="15.75" customHeight="1">
      <c r="A2928" s="10" t="n">
        <v>10</v>
      </c>
      <c r="B2928" s="10" t="inlineStr">
        <is>
          <t>Insumo</t>
        </is>
      </c>
      <c r="C2928" s="10" t="inlineStr">
        <is>
          <t>Enchimento de piso - com areia média - Material e Mão de obra</t>
        </is>
      </c>
      <c r="D2928" s="10" t="inlineStr">
        <is>
          <t>AREIA MEDIA</t>
        </is>
      </c>
      <c r="E2928" s="11">
        <f t="array" ref="E2928">_xlfn.XLOOKUP(D2928,Insumos!B:B,Insumos!C:$C)</f>
        <v/>
      </c>
      <c r="F2928" s="14" t="n">
        <v>1.19</v>
      </c>
      <c r="G2928" s="92">
        <f t="array" ref="G2928">IF(B2928="insumo",_xlfn.XLOOKUP($D2928,Insumos!$B$1:$B$996,Insumos!$D$1:$D$996),"")</f>
        <v/>
      </c>
      <c r="H2928" s="92" t="n">
        <v>172.55</v>
      </c>
      <c r="I2928" s="2162" t="n">
        <v>0</v>
      </c>
      <c r="J2928" s="2162" t="n">
        <v>0</v>
      </c>
      <c r="K2928" s="2162" t="n"/>
    </row>
    <row r="2929" outlineLevel="2" ht="15.75" customHeight="1">
      <c r="A2929" s="1067" t="n">
        <v>1</v>
      </c>
      <c r="B2929" s="1067" t="inlineStr">
        <is>
          <t>Serviço</t>
        </is>
      </c>
      <c r="C2929" s="1067" t="inlineStr">
        <is>
          <t>Revestimento de Piso Elevado</t>
        </is>
      </c>
      <c r="D2929" s="1067" t="inlineStr">
        <is>
          <t>Revestimento de Piso Elevado</t>
        </is>
      </c>
      <c r="E2929" s="1068" t="inlineStr">
        <is>
          <t>M2</t>
        </is>
      </c>
      <c r="F2929" s="1067" t="n"/>
      <c r="G2929" s="1069">
        <f t="array" ref="G2929">IF(B2929="insumo",_xlfn.XLOOKUP($D2929,Insumos!$B$1:$B$996,Insumos!$D$1:$D$996),"")</f>
        <v/>
      </c>
      <c r="H2929" s="1069" t="n">
        <v>296.7</v>
      </c>
      <c r="I2929" s="2161" t="n">
        <v>0</v>
      </c>
      <c r="J2929" s="2161" t="n">
        <v>0</v>
      </c>
      <c r="K2929" s="2161" t="n"/>
    </row>
    <row r="2930" outlineLevel="3" ht="15.75" customHeight="1">
      <c r="A2930" s="10" t="n">
        <v>2</v>
      </c>
      <c r="B2930" s="10" t="inlineStr">
        <is>
          <t>Insumo</t>
        </is>
      </c>
      <c r="C2930" s="10" t="inlineStr">
        <is>
          <t>Revestimento de Piso Elevado</t>
        </is>
      </c>
      <c r="D2930" s="10" t="inlineStr">
        <is>
          <t>Piso elevado</t>
        </is>
      </c>
      <c r="E2930" s="11">
        <f t="array" ref="E2930">_xlfn.XLOOKUP(D2930,Insumos!B:B,Insumos!C:$C)</f>
        <v/>
      </c>
      <c r="F2930" s="14" t="n">
        <v>1</v>
      </c>
      <c r="G2930" s="92">
        <f t="array" ref="G2930">IF(B2930="insumo",_xlfn.XLOOKUP($D2930,Insumos!$B$1:$B$996,Insumos!$D$1:$D$996),"")</f>
        <v/>
      </c>
      <c r="H2930" s="92" t="n">
        <v>146.7</v>
      </c>
      <c r="I2930" s="2162" t="n">
        <v>0</v>
      </c>
      <c r="J2930" s="2162" t="n">
        <v>0</v>
      </c>
      <c r="K2930" s="2162" t="n"/>
    </row>
    <row r="2931" outlineLevel="3" ht="15.75" customHeight="1">
      <c r="A2931" s="10" t="n">
        <v>3</v>
      </c>
      <c r="B2931" s="10" t="inlineStr">
        <is>
          <t>Insumo</t>
        </is>
      </c>
      <c r="C2931" s="10" t="inlineStr">
        <is>
          <t>Revestimento de Piso Elevado</t>
        </is>
      </c>
      <c r="D2931" s="10" t="inlineStr">
        <is>
          <t>Mão de obra execução de piso elevado</t>
        </is>
      </c>
      <c r="E2931" s="11">
        <f t="array" ref="E2931">_xlfn.XLOOKUP(D2931,Insumos!B:B,Insumos!C:$C)</f>
        <v/>
      </c>
      <c r="F2931" s="14" t="n">
        <v>1</v>
      </c>
      <c r="G2931" s="92">
        <f t="array" ref="G2931">IF(B2931="insumo",_xlfn.XLOOKUP($D2931,Insumos!$B$1:$B$996,Insumos!$D$1:$D$996),"")</f>
        <v/>
      </c>
      <c r="H2931" s="92" t="n">
        <v>150</v>
      </c>
      <c r="I2931" s="2162" t="n">
        <v>0</v>
      </c>
      <c r="J2931" s="2162" t="n">
        <v>0</v>
      </c>
      <c r="K2931" s="2162" t="n"/>
    </row>
    <row r="2932" outlineLevel="2" ht="15.75" customHeight="1">
      <c r="A2932" s="1067" t="n">
        <v>1</v>
      </c>
      <c r="B2932" s="1067" t="inlineStr">
        <is>
          <t>Serviço</t>
        </is>
      </c>
      <c r="C2932" s="1067" t="inlineStr">
        <is>
          <t xml:space="preserve">Revestimento de Piso Lajota  </t>
        </is>
      </c>
      <c r="D2932" s="1067" t="inlineStr">
        <is>
          <t xml:space="preserve">Revestimento de Piso Lajota  </t>
        </is>
      </c>
      <c r="E2932" s="1068" t="inlineStr">
        <is>
          <t>M2</t>
        </is>
      </c>
      <c r="F2932" s="1067" t="n"/>
      <c r="G2932" s="1069">
        <f t="array" ref="G2932">IF(B2932="insumo",_xlfn.XLOOKUP($D2932,Insumos!$B$1:$B$996,Insumos!$D$1:$D$996),"")</f>
        <v/>
      </c>
      <c r="H2932" s="1069" t="n">
        <v>233.425</v>
      </c>
      <c r="I2932" s="2161" t="n">
        <v>0</v>
      </c>
      <c r="J2932" s="2161" t="n">
        <v>0</v>
      </c>
      <c r="K2932" s="2161" t="n"/>
    </row>
    <row r="2933" outlineLevel="3" ht="15.75" customHeight="1">
      <c r="A2933" s="10" t="n">
        <v>2</v>
      </c>
      <c r="B2933" s="10" t="inlineStr">
        <is>
          <t>Insumo</t>
        </is>
      </c>
      <c r="C2933" s="10" t="inlineStr">
        <is>
          <t xml:space="preserve">Revestimento de Piso Lajota  </t>
        </is>
      </c>
      <c r="D2933" s="10" t="inlineStr">
        <is>
          <t>BLOCO CERÂMICO - 14X19X19cm</t>
        </is>
      </c>
      <c r="E2933" s="11">
        <f t="array" ref="E2933">_xlfn.XLOOKUP(D2933,Insumos!B:B,Insumos!C:$C)</f>
        <v/>
      </c>
      <c r="F2933" s="14">
        <f>ROUNDUP((1/(0.19*0.19)),)</f>
        <v/>
      </c>
      <c r="G2933" s="92">
        <f t="array" ref="G2933">IF(B2933="insumo",_xlfn.XLOOKUP($D2933,Insumos!$B$1:$B$996,Insumos!$D$1:$D$996),"")</f>
        <v/>
      </c>
      <c r="H2933" s="92" t="n">
        <v>72.8</v>
      </c>
      <c r="I2933" s="2162" t="n">
        <v>0</v>
      </c>
      <c r="J2933" s="2162" t="n">
        <v>0</v>
      </c>
      <c r="K2933" s="2162" t="n"/>
    </row>
    <row r="2934" outlineLevel="3" ht="15.75" customHeight="1">
      <c r="A2934" s="10" t="n">
        <v>17</v>
      </c>
      <c r="B2934" s="10" t="inlineStr">
        <is>
          <t>Insumo</t>
        </is>
      </c>
      <c r="C2934" s="10" t="inlineStr">
        <is>
          <t xml:space="preserve">Revestimento de Piso Lajota  </t>
        </is>
      </c>
      <c r="D2934" s="10" t="inlineStr">
        <is>
          <t>ARGAMASSA ESTABILIZADA PARA ASSENTAMENTO</t>
        </is>
      </c>
      <c r="E2934" s="11">
        <f t="array" ref="E2934">_xlfn.XLOOKUP(D2934,Insumos!B:B,Insumos!C:$C)</f>
        <v/>
      </c>
      <c r="F2934" s="14" t="n">
        <v>0.025</v>
      </c>
      <c r="G2934" s="92">
        <f t="array" ref="G2934">IF(B2934="insumo",_xlfn.XLOOKUP($D2934,Insumos!$B$1:$B$996,Insumos!$D$1:$D$996),"")</f>
        <v/>
      </c>
      <c r="H2934" s="92" t="n">
        <v>10.625</v>
      </c>
      <c r="I2934" s="2162" t="n">
        <v>0</v>
      </c>
      <c r="J2934" s="2162" t="n">
        <v>0</v>
      </c>
      <c r="K2934" s="2162" t="n"/>
    </row>
    <row r="2935" outlineLevel="3" ht="15.75" customHeight="1">
      <c r="A2935" s="10" t="n">
        <v>3</v>
      </c>
      <c r="B2935" s="10" t="inlineStr">
        <is>
          <t>Insumo</t>
        </is>
      </c>
      <c r="C2935" s="10" t="inlineStr">
        <is>
          <t xml:space="preserve">Revestimento de Piso Lajota  </t>
        </is>
      </c>
      <c r="D2935" s="10" t="inlineStr">
        <is>
          <t>Mão de obra execução de piso elevado</t>
        </is>
      </c>
      <c r="E2935" s="11">
        <f t="array" ref="E2935">_xlfn.XLOOKUP(D2935,Insumos!B:B,Insumos!C:$C)</f>
        <v/>
      </c>
      <c r="F2935" s="14" t="n">
        <v>1</v>
      </c>
      <c r="G2935" s="92">
        <f t="array" ref="G2935">IF(B2935="insumo",_xlfn.XLOOKUP($D2935,Insumos!$B$1:$B$996,Insumos!$D$1:$D$996),"")</f>
        <v/>
      </c>
      <c r="H2935" s="92" t="n">
        <v>150</v>
      </c>
      <c r="I2935" s="2162" t="n">
        <v>0</v>
      </c>
      <c r="J2935" s="2162" t="n">
        <v>0</v>
      </c>
      <c r="K2935" s="2162" t="n"/>
    </row>
    <row r="2936" outlineLevel="1" ht="15.75" customHeight="1">
      <c r="A2936" s="1090" t="n">
        <v>1</v>
      </c>
      <c r="B2936" s="1090" t="inlineStr">
        <is>
          <t>Subetapa</t>
        </is>
      </c>
      <c r="C2936" s="1090" t="inlineStr">
        <is>
          <t xml:space="preserve">Revestimento de Piso Lajota  </t>
        </is>
      </c>
      <c r="D2936" s="1090" t="inlineStr">
        <is>
          <t>CONTRAPISO AUTONIVELANTE</t>
        </is>
      </c>
      <c r="E2936" s="1091" t="n"/>
      <c r="F2936" s="2160" t="n"/>
      <c r="G2936" s="1091" t="n"/>
      <c r="H2936" s="1091" t="n">
        <v>0</v>
      </c>
      <c r="I2936" s="2160" t="n">
        <v>0</v>
      </c>
      <c r="J2936" s="2160" t="n">
        <v>0</v>
      </c>
      <c r="K2936" s="2160" t="n"/>
    </row>
    <row r="2937" outlineLevel="2" ht="15.75" customHeight="1">
      <c r="A2937" s="1067" t="n">
        <v>1</v>
      </c>
      <c r="B2937" s="1067" t="inlineStr">
        <is>
          <t>Serviço</t>
        </is>
      </c>
      <c r="C2937" s="1067" t="inlineStr">
        <is>
          <t>Contrapiso comum em argamassa estabilizada, auto nivelado, espessura 2cm</t>
        </is>
      </c>
      <c r="D2937" s="1067" t="inlineStr">
        <is>
          <t>Contrapiso comum em argamassa estabilizada, auto nivelado, espessura 2cm</t>
        </is>
      </c>
      <c r="E2937" s="1068" t="inlineStr">
        <is>
          <t>M2</t>
        </is>
      </c>
      <c r="F2937" s="1067" t="n"/>
      <c r="G2937" s="1069">
        <f t="array" ref="G2937">IF(B2937="insumo",_xlfn.XLOOKUP($D2937,Insumos!$B$1:$B$996,Insumos!$D$1:$D$996),"")</f>
        <v/>
      </c>
      <c r="H2937" s="1069" t="n">
        <v>21.08614</v>
      </c>
      <c r="I2937" s="2161" t="n">
        <v>0</v>
      </c>
      <c r="J2937" s="2161" t="n">
        <v>0</v>
      </c>
      <c r="K2937" s="2161" t="n"/>
    </row>
    <row r="2938" outlineLevel="3" ht="15.75" customHeight="1">
      <c r="A2938" s="10" t="n">
        <v>6</v>
      </c>
      <c r="B2938" s="10" t="inlineStr">
        <is>
          <t>Insumo</t>
        </is>
      </c>
      <c r="C2938" s="10" t="inlineStr">
        <is>
          <t>Contrapiso comum em argamassa estabilizada, auto nivelado, espessura 2cm</t>
        </is>
      </c>
      <c r="D2938" s="10" t="inlineStr">
        <is>
          <t>Argamassa usninada para contrapiso nivelada</t>
        </is>
      </c>
      <c r="E2938" s="11">
        <f t="array" ref="E2938">_xlfn.XLOOKUP(D2938,Insumos!B:B,Insumos!C:$C)</f>
        <v/>
      </c>
      <c r="F2938" s="14" t="n">
        <v>0.022</v>
      </c>
      <c r="G2938" s="92">
        <f t="array" ref="G2938">IF(B2938="insumo",_xlfn.XLOOKUP($D2938,Insumos!$B$1:$B$996,Insumos!$D$1:$D$996),"")</f>
        <v/>
      </c>
      <c r="H2938" s="92" t="n">
        <v>11.33</v>
      </c>
      <c r="I2938" s="2162" t="n">
        <v>0</v>
      </c>
      <c r="J2938" s="2162" t="n">
        <v>0</v>
      </c>
      <c r="K2938" s="2162" t="n"/>
    </row>
    <row r="2939" outlineLevel="3" ht="15.75" customHeight="1">
      <c r="A2939" s="10" t="n">
        <v>41</v>
      </c>
      <c r="B2939" s="10" t="inlineStr">
        <is>
          <t>Insumo</t>
        </is>
      </c>
      <c r="C2939" s="10" t="inlineStr">
        <is>
          <t>Contrapiso comum em argamassa estabilizada, auto nivelado, espessura 2cm</t>
        </is>
      </c>
      <c r="D2939" s="10" t="inlineStr">
        <is>
          <t>Aditivo Adesivo Liquido Para Argamassas De Revestimentos Cimenticios</t>
        </is>
      </c>
      <c r="E2939" s="11">
        <f t="array" ref="E2939">_xlfn.XLOOKUP(D2939,Insumos!B:B,Insumos!C:$C)</f>
        <v/>
      </c>
      <c r="F2939" s="14" t="n">
        <v>0.021</v>
      </c>
      <c r="G2939" s="92">
        <f t="array" ref="G2939">IF(B2939="insumo",_xlfn.XLOOKUP($D2939,Insumos!$B$1:$B$996,Insumos!$D$1:$D$996),"")</f>
        <v/>
      </c>
      <c r="H2939" s="92" t="n">
        <v>0.40614</v>
      </c>
      <c r="I2939" s="2162" t="n">
        <v>0</v>
      </c>
      <c r="J2939" s="2162" t="n">
        <v>0</v>
      </c>
      <c r="K2939" s="2162" t="n"/>
    </row>
    <row r="2940" outlineLevel="3" ht="15.75" customHeight="1">
      <c r="A2940" s="10" t="n">
        <v>8</v>
      </c>
      <c r="B2940" s="10" t="inlineStr">
        <is>
          <t>Insumo</t>
        </is>
      </c>
      <c r="C2940" s="10" t="inlineStr">
        <is>
          <t>Contrapiso comum em argamassa estabilizada, auto nivelado, espessura 2cm</t>
        </is>
      </c>
      <c r="D2940" s="10" t="inlineStr">
        <is>
          <t xml:space="preserve">Cimento Autonivelante para Contrapiso </t>
        </is>
      </c>
      <c r="E2940" s="11">
        <f t="array" ref="E2940">_xlfn.XLOOKUP(D2940,Insumos!B:B,Insumos!C:$C)</f>
        <v/>
      </c>
      <c r="F2940" s="14" t="n">
        <v>2.2</v>
      </c>
      <c r="G2940" s="92">
        <f t="array" ref="G2940">IF(B2940="insumo",_xlfn.XLOOKUP($D2940,Insumos!$B$1:$B$996,Insumos!$D$1:$D$996),"")</f>
        <v/>
      </c>
      <c r="H2940" s="92" t="n">
        <v>9.35</v>
      </c>
      <c r="I2940" s="2162" t="n">
        <v>0</v>
      </c>
      <c r="J2940" s="2162" t="n">
        <v>0</v>
      </c>
      <c r="K2940" s="2162" t="n"/>
    </row>
    <row r="2941" outlineLevel="2" ht="15.75" customHeight="1">
      <c r="A2941" s="1067" t="n">
        <v>1</v>
      </c>
      <c r="B2941" s="1067" t="inlineStr">
        <is>
          <t>Serviço</t>
        </is>
      </c>
      <c r="C2941" s="1067" t="inlineStr">
        <is>
          <t>Contrapiso comum em argamassa estabilizada, auto nivelado, espessura 2,5cm</t>
        </is>
      </c>
      <c r="D2941" s="1067" t="inlineStr">
        <is>
          <t>Contrapiso comum em argamassa estabilizada, auto nivelado, espessura 2,5cm</t>
        </is>
      </c>
      <c r="E2941" s="1068" t="inlineStr">
        <is>
          <t>M2</t>
        </is>
      </c>
      <c r="F2941" s="1067" t="n"/>
      <c r="G2941" s="1069">
        <f t="array" ref="G2941">IF(B2941="insumo",_xlfn.XLOOKUP($D2941,Insumos!$B$1:$B$996,Insumos!$D$1:$D$996),"")</f>
        <v/>
      </c>
      <c r="H2941" s="1069" t="n">
        <v>23.91864</v>
      </c>
      <c r="I2941" s="2161" t="n">
        <v>0</v>
      </c>
      <c r="J2941" s="2161" t="n">
        <v>0</v>
      </c>
      <c r="K2941" s="2161" t="n"/>
    </row>
    <row r="2942" outlineLevel="3" ht="15.75" customHeight="1">
      <c r="A2942" s="10" t="n">
        <v>6</v>
      </c>
      <c r="B2942" s="10" t="inlineStr">
        <is>
          <t>Insumo</t>
        </is>
      </c>
      <c r="C2942" s="10" t="inlineStr">
        <is>
          <t>Contrapiso comum em argamassa estabilizada, auto nivelado, espessura 2,5cm</t>
        </is>
      </c>
      <c r="D2942" s="10" t="inlineStr">
        <is>
          <t>Argamassa usninada para contrapiso nivelada</t>
        </is>
      </c>
      <c r="E2942" s="11">
        <f t="array" ref="E2942">_xlfn.XLOOKUP(D2942,Insumos!B:B,Insumos!C:$C)</f>
        <v/>
      </c>
      <c r="F2942" s="14" t="n">
        <v>0.0275</v>
      </c>
      <c r="G2942" s="92">
        <f t="array" ref="G2942">IF(B2942="insumo",_xlfn.XLOOKUP($D2942,Insumos!$B$1:$B$996,Insumos!$D$1:$D$996),"")</f>
        <v/>
      </c>
      <c r="H2942" s="92" t="n">
        <v>14.1625</v>
      </c>
      <c r="I2942" s="2162" t="n">
        <v>0</v>
      </c>
      <c r="J2942" s="2162" t="n">
        <v>0</v>
      </c>
      <c r="K2942" s="2162" t="n"/>
    </row>
    <row r="2943" outlineLevel="3" ht="15.75" customHeight="1">
      <c r="A2943" s="10" t="n">
        <v>41</v>
      </c>
      <c r="B2943" s="10" t="inlineStr">
        <is>
          <t>Insumo</t>
        </is>
      </c>
      <c r="C2943" s="10" t="inlineStr">
        <is>
          <t>Contrapiso comum em argamassa estabilizada, auto nivelado, espessura 2,5cm</t>
        </is>
      </c>
      <c r="D2943" s="10" t="inlineStr">
        <is>
          <t>Aditivo Adesivo Liquido Para Argamassas De Revestimentos Cimenticios</t>
        </is>
      </c>
      <c r="E2943" s="11">
        <f t="array" ref="E2943">_xlfn.XLOOKUP(D2943,Insumos!B:B,Insumos!C:$C)</f>
        <v/>
      </c>
      <c r="F2943" s="14" t="n">
        <v>0.021</v>
      </c>
      <c r="G2943" s="92">
        <f t="array" ref="G2943">IF(B2943="insumo",_xlfn.XLOOKUP($D2943,Insumos!$B$1:$B$996,Insumos!$D$1:$D$996),"")</f>
        <v/>
      </c>
      <c r="H2943" s="92" t="n">
        <v>0.40614</v>
      </c>
      <c r="I2943" s="2162" t="n">
        <v>0</v>
      </c>
      <c r="J2943" s="2162" t="n">
        <v>0</v>
      </c>
      <c r="K2943" s="2162" t="n"/>
    </row>
    <row r="2944" outlineLevel="3" ht="15.75" customHeight="1">
      <c r="A2944" s="10" t="n">
        <v>8</v>
      </c>
      <c r="B2944" s="10" t="inlineStr">
        <is>
          <t>Insumo</t>
        </is>
      </c>
      <c r="C2944" s="10" t="inlineStr">
        <is>
          <t>Contrapiso comum em argamassa estabilizada, auto nivelado, espessura 2,5cm</t>
        </is>
      </c>
      <c r="D2944" s="10" t="inlineStr">
        <is>
          <t xml:space="preserve">Cimento Autonivelante para Contrapiso </t>
        </is>
      </c>
      <c r="E2944" s="11">
        <f t="array" ref="E2944">_xlfn.XLOOKUP(D2944,Insumos!B:B,Insumos!C:$C)</f>
        <v/>
      </c>
      <c r="F2944" s="14" t="n">
        <v>2.2</v>
      </c>
      <c r="G2944" s="92">
        <f t="array" ref="G2944">IF(B2944="insumo",_xlfn.XLOOKUP($D2944,Insumos!$B$1:$B$996,Insumos!$D$1:$D$996),"")</f>
        <v/>
      </c>
      <c r="H2944" s="92" t="n">
        <v>9.35</v>
      </c>
      <c r="I2944" s="2162" t="n">
        <v>0</v>
      </c>
      <c r="J2944" s="2162" t="n">
        <v>0</v>
      </c>
      <c r="K2944" s="2162" t="n"/>
    </row>
    <row r="2945" outlineLevel="2" ht="15.75" customHeight="1">
      <c r="A2945" s="1067" t="n">
        <v>1</v>
      </c>
      <c r="B2945" s="1067" t="inlineStr">
        <is>
          <t>Serviço</t>
        </is>
      </c>
      <c r="C2945" s="1067" t="inlineStr">
        <is>
          <t>Contrapiso comum em argamassa estabilizada, auto nivelado, espessura 4cm</t>
        </is>
      </c>
      <c r="D2945" s="1067" t="inlineStr">
        <is>
          <t>Contrapiso comum em argamassa estabilizada, auto nivelado, espessura 4cm</t>
        </is>
      </c>
      <c r="E2945" s="1068" t="inlineStr">
        <is>
          <t>M2</t>
        </is>
      </c>
      <c r="F2945" s="1067" t="n"/>
      <c r="G2945" s="1069">
        <f t="array" ref="G2945">IF(B2945="insumo",_xlfn.XLOOKUP($D2945,Insumos!$B$1:$B$996,Insumos!$D$1:$D$996),"")</f>
        <v/>
      </c>
      <c r="H2945" s="1069" t="n">
        <v>35.6681866666667</v>
      </c>
      <c r="I2945" s="2161" t="n">
        <v>0</v>
      </c>
      <c r="J2945" s="2161" t="n">
        <v>0</v>
      </c>
      <c r="K2945" s="2161" t="n"/>
    </row>
    <row r="2946" outlineLevel="3" ht="15.75" customHeight="1">
      <c r="A2946" s="10" t="n">
        <v>6</v>
      </c>
      <c r="B2946" s="10" t="inlineStr">
        <is>
          <t>Insumo</t>
        </is>
      </c>
      <c r="C2946" s="10" t="inlineStr">
        <is>
          <t>Contrapiso comum em argamassa estabilizada, auto nivelado, espessura 4cm</t>
        </is>
      </c>
      <c r="D2946" s="10" t="inlineStr">
        <is>
          <t>Argamassa usninada para contrapiso nivelada</t>
        </is>
      </c>
      <c r="E2946" s="11">
        <f t="array" ref="E2946">_xlfn.XLOOKUP(D2946,Insumos!B:B,Insumos!C:$C)</f>
        <v/>
      </c>
      <c r="F2946" s="14">
        <f>0.033*4/3</f>
        <v/>
      </c>
      <c r="G2946" s="92">
        <f t="array" ref="G2946">IF(B2946="insumo",_xlfn.XLOOKUP($D2946,Insumos!$B$1:$B$996,Insumos!$D$1:$D$996),"")</f>
        <v/>
      </c>
      <c r="H2946" s="92" t="n">
        <v>22.66</v>
      </c>
      <c r="I2946" s="2162" t="n">
        <v>0</v>
      </c>
      <c r="J2946" s="2162" t="n">
        <v>0</v>
      </c>
      <c r="K2946" s="2162" t="n"/>
    </row>
    <row r="2947" outlineLevel="3" ht="15.75" customHeight="1">
      <c r="A2947" s="10" t="n">
        <v>41</v>
      </c>
      <c r="B2947" s="10" t="inlineStr">
        <is>
          <t>Insumo</t>
        </is>
      </c>
      <c r="C2947" s="10" t="inlineStr">
        <is>
          <t>Contrapiso comum em argamassa estabilizada, auto nivelado, espessura 4cm</t>
        </is>
      </c>
      <c r="D2947" s="10" t="inlineStr">
        <is>
          <t>Aditivo Adesivo Liquido Para Argamassas De Revestimentos Cimenticios</t>
        </is>
      </c>
      <c r="E2947" s="11">
        <f t="array" ref="E2947">_xlfn.XLOOKUP(D2947,Insumos!B:B,Insumos!C:$C)</f>
        <v/>
      </c>
      <c r="F2947" s="14">
        <f>0.021*4/3</f>
        <v/>
      </c>
      <c r="G2947" s="92">
        <f t="array" ref="G2947">IF(B2947="insumo",_xlfn.XLOOKUP($D2947,Insumos!$B$1:$B$996,Insumos!$D$1:$D$996),"")</f>
        <v/>
      </c>
      <c r="H2947" s="92" t="n">
        <v>0.54152</v>
      </c>
      <c r="I2947" s="2162" t="n">
        <v>0</v>
      </c>
      <c r="J2947" s="2162" t="n">
        <v>0</v>
      </c>
      <c r="K2947" s="2162" t="n"/>
    </row>
    <row r="2948" outlineLevel="3" ht="15.75" customHeight="1">
      <c r="A2948" s="10" t="n">
        <v>8</v>
      </c>
      <c r="B2948" s="10" t="inlineStr">
        <is>
          <t>Insumo</t>
        </is>
      </c>
      <c r="C2948" s="10" t="inlineStr">
        <is>
          <t>Contrapiso comum em argamassa estabilizada, auto nivelado, espessura 4cm</t>
        </is>
      </c>
      <c r="D2948" s="10" t="inlineStr">
        <is>
          <t xml:space="preserve">Cimento Autonivelante para Contrapiso </t>
        </is>
      </c>
      <c r="E2948" s="11">
        <f t="array" ref="E2948">_xlfn.XLOOKUP(D2948,Insumos!B:B,Insumos!C:$C)</f>
        <v/>
      </c>
      <c r="F2948" s="14">
        <f>2.2*4/3</f>
        <v/>
      </c>
      <c r="G2948" s="92">
        <f t="array" ref="G2948">IF(B2948="insumo",_xlfn.XLOOKUP($D2948,Insumos!$B$1:$B$996,Insumos!$D$1:$D$996),"")</f>
        <v/>
      </c>
      <c r="H2948" s="92" t="n">
        <v>12.4666666666667</v>
      </c>
      <c r="I2948" s="2162" t="n">
        <v>0</v>
      </c>
      <c r="J2948" s="2162" t="n">
        <v>0</v>
      </c>
      <c r="K2948" s="2162" t="n"/>
    </row>
    <row r="2949" outlineLevel="2" ht="15.75" customHeight="1">
      <c r="A2949" s="1067" t="n">
        <v>1</v>
      </c>
      <c r="B2949" s="1067" t="inlineStr">
        <is>
          <t>Serviço</t>
        </is>
      </c>
      <c r="C2949" s="1067" t="inlineStr">
        <is>
          <t>Contrapiso comum em argamassa estabilizada, auto nivelado, espessura 3cm</t>
        </is>
      </c>
      <c r="D2949" s="1067" t="inlineStr">
        <is>
          <t>Contrapiso comum em argamassa estabilizada, auto nivelado, espessura 3cm</t>
        </is>
      </c>
      <c r="E2949" s="1068" t="inlineStr">
        <is>
          <t>M2</t>
        </is>
      </c>
      <c r="F2949" s="1067" t="n"/>
      <c r="G2949" s="1069">
        <f t="array" ref="G2949">IF(B2949="insumo",_xlfn.XLOOKUP($D2949,Insumos!$B$1:$B$996,Insumos!$D$1:$D$996),"")</f>
        <v/>
      </c>
      <c r="H2949" s="1069" t="n">
        <v>26.75114</v>
      </c>
      <c r="I2949" s="2161" t="n">
        <v>0</v>
      </c>
      <c r="J2949" s="2161" t="n">
        <v>0</v>
      </c>
      <c r="K2949" s="2161" t="n"/>
    </row>
    <row r="2950" outlineLevel="3" ht="15.75" customHeight="1">
      <c r="A2950" s="10" t="n">
        <v>6</v>
      </c>
      <c r="B2950" s="10" t="inlineStr">
        <is>
          <t>Insumo</t>
        </is>
      </c>
      <c r="C2950" s="10" t="inlineStr">
        <is>
          <t>Contrapiso comum em argamassa estabilizada, auto nivelado, espessura 3cm</t>
        </is>
      </c>
      <c r="D2950" s="10" t="inlineStr">
        <is>
          <t>Argamassa usninada para contrapiso nivelada</t>
        </is>
      </c>
      <c r="E2950" s="11">
        <f t="array" ref="E2950">_xlfn.XLOOKUP(D2950,Insumos!B:B,Insumos!C:$C)</f>
        <v/>
      </c>
      <c r="F2950" s="14" t="n">
        <v>0.033</v>
      </c>
      <c r="G2950" s="92">
        <f t="array" ref="G2950">IF(B2950="insumo",_xlfn.XLOOKUP($D2950,Insumos!$B$1:$B$996,Insumos!$D$1:$D$996),"")</f>
        <v/>
      </c>
      <c r="H2950" s="92" t="n">
        <v>16.995</v>
      </c>
      <c r="I2950" s="2162" t="n">
        <v>0</v>
      </c>
      <c r="J2950" s="2162" t="n">
        <v>0</v>
      </c>
      <c r="K2950" s="2162" t="n"/>
    </row>
    <row r="2951" outlineLevel="3" ht="15.75" customHeight="1">
      <c r="A2951" s="10" t="n">
        <v>41</v>
      </c>
      <c r="B2951" s="10" t="inlineStr">
        <is>
          <t>Insumo</t>
        </is>
      </c>
      <c r="C2951" s="10" t="inlineStr">
        <is>
          <t>Contrapiso comum em argamassa estabilizada, auto nivelado, espessura 3cm</t>
        </is>
      </c>
      <c r="D2951" s="10" t="inlineStr">
        <is>
          <t>Aditivo Adesivo Liquido Para Argamassas De Revestimentos Cimenticios</t>
        </is>
      </c>
      <c r="E2951" s="11">
        <f t="array" ref="E2951">_xlfn.XLOOKUP(D2951,Insumos!B:B,Insumos!C:$C)</f>
        <v/>
      </c>
      <c r="F2951" s="14" t="n">
        <v>0.021</v>
      </c>
      <c r="G2951" s="92">
        <f t="array" ref="G2951">IF(B2951="insumo",_xlfn.XLOOKUP($D2951,Insumos!$B$1:$B$996,Insumos!$D$1:$D$996),"")</f>
        <v/>
      </c>
      <c r="H2951" s="92" t="n">
        <v>0.40614</v>
      </c>
      <c r="I2951" s="2162" t="n">
        <v>0</v>
      </c>
      <c r="J2951" s="2162" t="n">
        <v>0</v>
      </c>
      <c r="K2951" s="2162" t="n"/>
    </row>
    <row r="2952" outlineLevel="3" ht="15.75" customHeight="1">
      <c r="A2952" s="10" t="n">
        <v>8</v>
      </c>
      <c r="B2952" s="10" t="inlineStr">
        <is>
          <t>Insumo</t>
        </is>
      </c>
      <c r="C2952" s="10" t="inlineStr">
        <is>
          <t>Contrapiso comum em argamassa estabilizada, auto nivelado, espessura 3cm</t>
        </is>
      </c>
      <c r="D2952" s="10" t="inlineStr">
        <is>
          <t xml:space="preserve">Cimento Autonivelante para Contrapiso </t>
        </is>
      </c>
      <c r="E2952" s="11">
        <f t="array" ref="E2952">_xlfn.XLOOKUP(D2952,Insumos!B:B,Insumos!C:$C)</f>
        <v/>
      </c>
      <c r="F2952" s="14" t="n">
        <v>2.2</v>
      </c>
      <c r="G2952" s="92">
        <f t="array" ref="G2952">IF(B2952="insumo",_xlfn.XLOOKUP($D2952,Insumos!$B$1:$B$996,Insumos!$D$1:$D$996),"")</f>
        <v/>
      </c>
      <c r="H2952" s="92" t="n">
        <v>9.35</v>
      </c>
      <c r="I2952" s="2162" t="n">
        <v>0</v>
      </c>
      <c r="J2952" s="2162" t="n">
        <v>0</v>
      </c>
      <c r="K2952" s="2162" t="n"/>
    </row>
    <row r="2953" outlineLevel="2" ht="15.75" customHeight="1">
      <c r="A2953" s="1067" t="n">
        <v>1</v>
      </c>
      <c r="B2953" s="1067" t="inlineStr">
        <is>
          <t>Serviço</t>
        </is>
      </c>
      <c r="C2953" s="1067" t="inlineStr">
        <is>
          <t>Contrapiso comum em argamassa estabilizada, auto nivelado, espessura 5cm</t>
        </is>
      </c>
      <c r="D2953" s="1067" t="inlineStr">
        <is>
          <t>Contrapiso comum em argamassa estabilizada, auto nivelado, espessura 5cm</t>
        </is>
      </c>
      <c r="E2953" s="1068" t="inlineStr">
        <is>
          <t>M2</t>
        </is>
      </c>
      <c r="F2953" s="1067" t="n"/>
      <c r="G2953" s="1069">
        <f t="array" ref="G2953">IF(B2953="insumo",_xlfn.XLOOKUP($D2953,Insumos!$B$1:$B$996,Insumos!$D$1:$D$996),"")</f>
        <v/>
      </c>
      <c r="H2953" s="1069" t="n">
        <v>44.5852333333333</v>
      </c>
      <c r="I2953" s="2161" t="e">
        <v>#REF!</v>
      </c>
      <c r="J2953" s="2161" t="e">
        <v>#REF!</v>
      </c>
      <c r="K2953" s="2161" t="n"/>
    </row>
    <row r="2954" outlineLevel="3" ht="15.75" customHeight="1">
      <c r="A2954" s="10" t="n">
        <v>6</v>
      </c>
      <c r="B2954" s="10" t="inlineStr">
        <is>
          <t>Insumo</t>
        </is>
      </c>
      <c r="C2954" s="10" t="inlineStr">
        <is>
          <t>Contrapiso comum em argamassa estabilizada, auto nivelado, espessura 5cm</t>
        </is>
      </c>
      <c r="D2954" s="10" t="inlineStr">
        <is>
          <t>Argamassa usninada para contrapiso nivelada</t>
        </is>
      </c>
      <c r="E2954" s="11">
        <f t="array" ref="E2954">_xlfn.XLOOKUP(D2954,Insumos!B:B,Insumos!C:$C)</f>
        <v/>
      </c>
      <c r="F2954" s="14" t="n">
        <v>0.055</v>
      </c>
      <c r="G2954" s="92">
        <f t="array" ref="G2954">IF(B2954="insumo",_xlfn.XLOOKUP($D2954,Insumos!$B$1:$B$996,Insumos!$D$1:$D$996),"")</f>
        <v/>
      </c>
      <c r="H2954" s="92" t="n">
        <v>28.325</v>
      </c>
      <c r="I2954" s="2162" t="e">
        <v>#REF!</v>
      </c>
      <c r="J2954" s="2162" t="e">
        <v>#REF!</v>
      </c>
      <c r="K2954" s="2162" t="n"/>
    </row>
    <row r="2955" outlineLevel="3" ht="15.75" customHeight="1">
      <c r="A2955" s="10" t="n">
        <v>41</v>
      </c>
      <c r="B2955" s="10" t="inlineStr">
        <is>
          <t>Insumo</t>
        </is>
      </c>
      <c r="C2955" s="10" t="inlineStr">
        <is>
          <t>Contrapiso comum em argamassa estabilizada, auto nivelado, espessura 5cm</t>
        </is>
      </c>
      <c r="D2955" s="10" t="inlineStr">
        <is>
          <t>Aditivo Adesivo Liquido Para Argamassas De Revestimentos Cimenticios</t>
        </is>
      </c>
      <c r="E2955" s="11">
        <f t="array" ref="E2955">_xlfn.XLOOKUP(D2955,Insumos!B:B,Insumos!C:$C)</f>
        <v/>
      </c>
      <c r="F2955" s="14">
        <f>0.021*5/3</f>
        <v/>
      </c>
      <c r="G2955" s="92">
        <f t="array" ref="G2955">IF(B2955="insumo",_xlfn.XLOOKUP($D2955,Insumos!$B$1:$B$996,Insumos!$D$1:$D$996),"")</f>
        <v/>
      </c>
      <c r="H2955" s="92" t="n">
        <v>0.6768999999999999</v>
      </c>
      <c r="I2955" s="2162" t="e">
        <v>#REF!</v>
      </c>
      <c r="J2955" s="2162" t="e">
        <v>#REF!</v>
      </c>
      <c r="K2955" s="2162" t="n"/>
    </row>
    <row r="2956" outlineLevel="3" ht="15.75" customHeight="1">
      <c r="A2956" s="10" t="n">
        <v>8</v>
      </c>
      <c r="B2956" s="10" t="inlineStr">
        <is>
          <t>Insumo</t>
        </is>
      </c>
      <c r="C2956" s="10" t="inlineStr">
        <is>
          <t>Contrapiso comum em argamassa estabilizada, auto nivelado, espessura 5cm</t>
        </is>
      </c>
      <c r="D2956" s="10" t="inlineStr">
        <is>
          <t xml:space="preserve">Cimento Autonivelante para Contrapiso </t>
        </is>
      </c>
      <c r="E2956" s="11">
        <f t="array" ref="E2956">_xlfn.XLOOKUP(D2956,Insumos!B:B,Insumos!C:$C)</f>
        <v/>
      </c>
      <c r="F2956" s="14">
        <f>2.2*5/3</f>
        <v/>
      </c>
      <c r="G2956" s="92">
        <f t="array" ref="G2956">IF(B2956="insumo",_xlfn.XLOOKUP($D2956,Insumos!$B$1:$B$996,Insumos!$D$1:$D$996),"")</f>
        <v/>
      </c>
      <c r="H2956" s="92" t="n">
        <v>15.5833333333333</v>
      </c>
      <c r="I2956" s="2162" t="e">
        <v>#REF!</v>
      </c>
      <c r="J2956" s="2162" t="e">
        <v>#REF!</v>
      </c>
      <c r="K2956" s="2162" t="n"/>
    </row>
    <row r="2957" outlineLevel="2" ht="15.75" customHeight="1">
      <c r="A2957" s="1067" t="n">
        <v>1</v>
      </c>
      <c r="B2957" s="1067" t="inlineStr">
        <is>
          <t>Serviço</t>
        </is>
      </c>
      <c r="C2957" s="1067" t="inlineStr">
        <is>
          <t>Contrapiso comum em argamassa estabilizada, auto nivelado, espessura 8cm</t>
        </is>
      </c>
      <c r="D2957" s="1067" t="inlineStr">
        <is>
          <t>Contrapiso comum em argamassa estabilizada, auto nivelado, espessura 8cm</t>
        </is>
      </c>
      <c r="E2957" s="1068" t="inlineStr">
        <is>
          <t>M2</t>
        </is>
      </c>
      <c r="F2957" s="1067" t="n"/>
      <c r="G2957" s="1069">
        <f t="array" ref="G2957">IF(B2957="insumo",_xlfn.XLOOKUP($D2957,Insumos!$B$1:$B$996,Insumos!$D$1:$D$996),"")</f>
        <v/>
      </c>
      <c r="H2957" s="1069" t="n">
        <v>69.2763733333333</v>
      </c>
      <c r="I2957" s="2161" t="n">
        <v>0</v>
      </c>
      <c r="J2957" s="2161" t="n">
        <v>0</v>
      </c>
      <c r="K2957" s="2161" t="n"/>
    </row>
    <row r="2958" outlineLevel="3" ht="15.75" customHeight="1">
      <c r="A2958" s="10" t="n">
        <v>6</v>
      </c>
      <c r="B2958" s="10" t="inlineStr">
        <is>
          <t>Insumo</t>
        </is>
      </c>
      <c r="C2958" s="10" t="inlineStr">
        <is>
          <t>Contrapiso comum em argamassa estabilizada, auto nivelado, espessura 8cm</t>
        </is>
      </c>
      <c r="D2958" s="10" t="inlineStr">
        <is>
          <t>Argamassa usninada para contrapiso nivelada</t>
        </is>
      </c>
      <c r="E2958" s="11">
        <f t="array" ref="E2958">_xlfn.XLOOKUP(D2958,Insumos!B:B,Insumos!C:$C)</f>
        <v/>
      </c>
      <c r="F2958" s="14">
        <f>0.08*1.05</f>
        <v/>
      </c>
      <c r="G2958" s="92">
        <f t="array" ref="G2958">IF(B2958="insumo",_xlfn.XLOOKUP($D2958,Insumos!$B$1:$B$996,Insumos!$D$1:$D$996),"")</f>
        <v/>
      </c>
      <c r="H2958" s="92" t="n">
        <v>43.26</v>
      </c>
      <c r="I2958" s="2162" t="n">
        <v>0</v>
      </c>
      <c r="J2958" s="2162" t="n">
        <v>0</v>
      </c>
      <c r="K2958" s="2162" t="n"/>
    </row>
    <row r="2959" outlineLevel="3" ht="15.75" customHeight="1">
      <c r="A2959" s="10" t="n">
        <v>41</v>
      </c>
      <c r="B2959" s="10" t="inlineStr">
        <is>
          <t>Insumo</t>
        </is>
      </c>
      <c r="C2959" s="10" t="inlineStr">
        <is>
          <t>Contrapiso comum em argamassa estabilizada, auto nivelado, espessura 8cm</t>
        </is>
      </c>
      <c r="D2959" s="10" t="inlineStr">
        <is>
          <t>Aditivo Adesivo Liquido Para Argamassas De Revestimentos Cimenticios</t>
        </is>
      </c>
      <c r="E2959" s="11">
        <f t="array" ref="E2959">_xlfn.XLOOKUP(D2959,Insumos!B:B,Insumos!C:$C)</f>
        <v/>
      </c>
      <c r="F2959" s="14">
        <f>0.021*8/3</f>
        <v/>
      </c>
      <c r="G2959" s="92">
        <f t="array" ref="G2959">IF(B2959="insumo",_xlfn.XLOOKUP($D2959,Insumos!$B$1:$B$996,Insumos!$D$1:$D$996),"")</f>
        <v/>
      </c>
      <c r="H2959" s="92" t="n">
        <v>1.08304</v>
      </c>
      <c r="I2959" s="2162" t="n">
        <v>0</v>
      </c>
      <c r="J2959" s="2162" t="n">
        <v>0</v>
      </c>
      <c r="K2959" s="2162" t="n"/>
    </row>
    <row r="2960" outlineLevel="3" ht="15.75" customHeight="1">
      <c r="A2960" s="10" t="n">
        <v>8</v>
      </c>
      <c r="B2960" s="10" t="inlineStr">
        <is>
          <t>Insumo</t>
        </is>
      </c>
      <c r="C2960" s="10" t="inlineStr">
        <is>
          <t>Contrapiso comum em argamassa estabilizada, auto nivelado, espessura 8cm</t>
        </is>
      </c>
      <c r="D2960" s="10" t="inlineStr">
        <is>
          <t xml:space="preserve">Cimento Autonivelante para Contrapiso </t>
        </is>
      </c>
      <c r="E2960" s="11">
        <f t="array" ref="E2960">_xlfn.XLOOKUP(D2960,Insumos!B:B,Insumos!C:$C)</f>
        <v/>
      </c>
      <c r="F2960" s="14">
        <f>2.2*8/3</f>
        <v/>
      </c>
      <c r="G2960" s="92">
        <f t="array" ref="G2960">IF(B2960="insumo",_xlfn.XLOOKUP($D2960,Insumos!$B$1:$B$996,Insumos!$D$1:$D$996),"")</f>
        <v/>
      </c>
      <c r="H2960" s="92" t="n">
        <v>24.9333333333333</v>
      </c>
      <c r="I2960" s="2162" t="n">
        <v>0</v>
      </c>
      <c r="J2960" s="2162" t="n">
        <v>0</v>
      </c>
      <c r="K2960" s="2162" t="n"/>
    </row>
    <row r="2961" outlineLevel="1" ht="15.75" customHeight="1">
      <c r="A2961" s="1090" t="n">
        <v>1</v>
      </c>
      <c r="B2961" s="1090" t="inlineStr">
        <is>
          <t>Subetapa</t>
        </is>
      </c>
      <c r="C2961" s="1090" t="inlineStr">
        <is>
          <t>Contrapiso comum em argamassa estabilizada, auto nivelado, espessura 8cm</t>
        </is>
      </c>
      <c r="D2961" s="1090" t="inlineStr">
        <is>
          <t>CONTRAPISO COMUM ARGAMASSA USINADA</t>
        </is>
      </c>
      <c r="E2961" s="1091" t="n"/>
      <c r="F2961" s="2160" t="n"/>
      <c r="G2961" s="1091" t="n"/>
      <c r="H2961" s="1091" t="n">
        <v>0</v>
      </c>
      <c r="I2961" s="2160" t="n">
        <v>0</v>
      </c>
      <c r="J2961" s="2160" t="n">
        <v>0</v>
      </c>
      <c r="K2961" s="2160" t="n"/>
    </row>
    <row r="2962" outlineLevel="2" ht="15.75" customHeight="1">
      <c r="A2962" s="1067" t="n">
        <v>1</v>
      </c>
      <c r="B2962" s="1067" t="inlineStr">
        <is>
          <t>Serviço</t>
        </is>
      </c>
      <c r="C2962" s="1067" t="inlineStr">
        <is>
          <t>Contrapiso comum em argamassa estabilizada, nao aderido, espessura 1,5cm</t>
        </is>
      </c>
      <c r="D2962" s="1067" t="inlineStr">
        <is>
          <t>Contrapiso comum em argamassa estabilizada, nao aderido, espessura 1,5cm</t>
        </is>
      </c>
      <c r="E2962" s="1068" t="inlineStr">
        <is>
          <t>M2</t>
        </is>
      </c>
      <c r="F2962" s="1067" t="n"/>
      <c r="G2962" s="1069">
        <f t="array" ref="G2962">IF(B2962="insumo",_xlfn.XLOOKUP($D2962,Insumos!$B$1:$B$996,Insumos!$D$1:$D$996),"")</f>
        <v/>
      </c>
      <c r="H2962" s="1069" t="n">
        <v>9.861140000000001</v>
      </c>
      <c r="I2962" s="2161" t="n">
        <v>0</v>
      </c>
      <c r="J2962" s="2161" t="n">
        <v>0</v>
      </c>
      <c r="K2962" s="2161" t="n"/>
    </row>
    <row r="2963" outlineLevel="3" ht="15.75" customHeight="1">
      <c r="A2963" s="10" t="n">
        <v>32</v>
      </c>
      <c r="B2963" s="10" t="inlineStr">
        <is>
          <t>Insumo</t>
        </is>
      </c>
      <c r="C2963" s="10" t="inlineStr">
        <is>
          <t>Contrapiso comum em argamassa estabilizada, nao aderido, espessura 1,5cm</t>
        </is>
      </c>
      <c r="D2963" s="10" t="inlineStr">
        <is>
          <t>Argamassa usninada para contrapiso</t>
        </is>
      </c>
      <c r="E2963" s="11">
        <f t="array" ref="E2963">_xlfn.XLOOKUP(D2963,Insumos!B:B,Insumos!C:$C)</f>
        <v/>
      </c>
      <c r="F2963" s="14" t="n">
        <v>0.0165</v>
      </c>
      <c r="G2963" s="92">
        <f t="array" ref="G2963">IF(B2963="insumo",_xlfn.XLOOKUP($D2963,Insumos!$B$1:$B$996,Insumos!$D$1:$D$996),"")</f>
        <v/>
      </c>
      <c r="H2963" s="92" t="n">
        <v>9.074999999999999</v>
      </c>
      <c r="I2963" s="2162" t="n">
        <v>0</v>
      </c>
      <c r="J2963" s="2162" t="n">
        <v>0</v>
      </c>
      <c r="K2963" s="2162" t="n"/>
    </row>
    <row r="2964" outlineLevel="3" ht="15.75" customHeight="1">
      <c r="A2964" s="10" t="n">
        <v>41</v>
      </c>
      <c r="B2964" s="10" t="inlineStr">
        <is>
          <t>Insumo</t>
        </is>
      </c>
      <c r="C2964" s="10" t="inlineStr">
        <is>
          <t>Contrapiso comum em argamassa estabilizada, nao aderido, espessura 1,5cm</t>
        </is>
      </c>
      <c r="D2964" s="10" t="inlineStr">
        <is>
          <t>Aditivo Adesivo Liquido Para Argamassas De Revestimentos Cimenticios</t>
        </is>
      </c>
      <c r="E2964" s="11">
        <f t="array" ref="E2964">_xlfn.XLOOKUP(D2964,Insumos!B:B,Insumos!C:$C)</f>
        <v/>
      </c>
      <c r="F2964" s="14" t="n">
        <v>0.021</v>
      </c>
      <c r="G2964" s="92">
        <f t="array" ref="G2964">IF(B2964="insumo",_xlfn.XLOOKUP($D2964,Insumos!$B$1:$B$996,Insumos!$D$1:$D$996),"")</f>
        <v/>
      </c>
      <c r="H2964" s="92" t="n">
        <v>0.40614</v>
      </c>
      <c r="I2964" s="2162" t="n">
        <v>0</v>
      </c>
      <c r="J2964" s="2162" t="n">
        <v>0</v>
      </c>
      <c r="K2964" s="2162" t="n"/>
    </row>
    <row r="2965" outlineLevel="3" ht="15.75" customHeight="1">
      <c r="A2965" s="10" t="n">
        <v>62</v>
      </c>
      <c r="B2965" s="10" t="inlineStr">
        <is>
          <t>Insumo</t>
        </is>
      </c>
      <c r="C2965" s="10" t="inlineStr">
        <is>
          <t>Contrapiso comum em argamassa estabilizada, nao aderido, espessura 1,5cm</t>
        </is>
      </c>
      <c r="D2965" s="10" t="inlineStr">
        <is>
          <t>Cimento Portland Composto CP II-32</t>
        </is>
      </c>
      <c r="E2965" s="11">
        <f t="array" ref="E2965">_xlfn.XLOOKUP(D2965,Insumos!B:B,Insumos!C:$C)</f>
        <v/>
      </c>
      <c r="F2965" s="14" t="n">
        <v>0.5</v>
      </c>
      <c r="G2965" s="92">
        <f t="array" ref="G2965">IF(B2965="insumo",_xlfn.XLOOKUP($D2965,Insumos!$B$1:$B$996,Insumos!$D$1:$D$996),"")</f>
        <v/>
      </c>
      <c r="H2965" s="92" t="n">
        <v>0.38</v>
      </c>
      <c r="I2965" s="2162" t="n">
        <v>0</v>
      </c>
      <c r="J2965" s="2162" t="n">
        <v>0</v>
      </c>
      <c r="K2965" s="2162" t="n"/>
    </row>
    <row r="2966" outlineLevel="2" ht="15.75" customHeight="1">
      <c r="A2966" s="1067" t="n">
        <v>1</v>
      </c>
      <c r="B2966" s="1067" t="inlineStr">
        <is>
          <t>Serviço</t>
        </is>
      </c>
      <c r="C2966" s="1067" t="inlineStr">
        <is>
          <t>Contrapiso comum em argamassa estabilizada, nao aderido, espessura 2cm</t>
        </is>
      </c>
      <c r="D2966" s="1067" t="inlineStr">
        <is>
          <t>Contrapiso comum em argamassa estabilizada, nao aderido, espessura 2cm</t>
        </is>
      </c>
      <c r="E2966" s="1068" t="inlineStr">
        <is>
          <t>M2</t>
        </is>
      </c>
      <c r="F2966" s="1067" t="n"/>
      <c r="G2966" s="1069">
        <f t="array" ref="G2966">IF(B2966="insumo",_xlfn.XLOOKUP($D2966,Insumos!$B$1:$B$996,Insumos!$D$1:$D$996),"")</f>
        <v/>
      </c>
      <c r="H2966" s="1069" t="n">
        <v>12.88614</v>
      </c>
      <c r="I2966" s="2161" t="n">
        <v>0</v>
      </c>
      <c r="J2966" s="2161" t="n">
        <v>0</v>
      </c>
      <c r="K2966" s="2161" t="n"/>
    </row>
    <row r="2967" outlineLevel="3" ht="15.75" customHeight="1">
      <c r="A2967" s="10" t="n">
        <v>32</v>
      </c>
      <c r="B2967" s="10" t="inlineStr">
        <is>
          <t>Insumo</t>
        </is>
      </c>
      <c r="C2967" s="10" t="inlineStr">
        <is>
          <t>Contrapiso comum em argamassa estabilizada, nao aderido, espessura 2cm</t>
        </is>
      </c>
      <c r="D2967" s="10" t="inlineStr">
        <is>
          <t>Argamassa usninada para contrapiso</t>
        </is>
      </c>
      <c r="E2967" s="11">
        <f t="array" ref="E2967">_xlfn.XLOOKUP(D2967,Insumos!B:B,Insumos!C:$C)</f>
        <v/>
      </c>
      <c r="F2967" s="14" t="n">
        <v>0.022</v>
      </c>
      <c r="G2967" s="92">
        <f t="array" ref="G2967">IF(B2967="insumo",_xlfn.XLOOKUP($D2967,Insumos!$B$1:$B$996,Insumos!$D$1:$D$996),"")</f>
        <v/>
      </c>
      <c r="H2967" s="92" t="n">
        <v>12.1</v>
      </c>
      <c r="I2967" s="2162" t="n">
        <v>0</v>
      </c>
      <c r="J2967" s="2162" t="n">
        <v>0</v>
      </c>
      <c r="K2967" s="2162" t="n"/>
    </row>
    <row r="2968" outlineLevel="3" ht="15.75" customHeight="1">
      <c r="A2968" s="10" t="n">
        <v>41</v>
      </c>
      <c r="B2968" s="10" t="inlineStr">
        <is>
          <t>Insumo</t>
        </is>
      </c>
      <c r="C2968" s="10" t="inlineStr">
        <is>
          <t>Contrapiso comum em argamassa estabilizada, nao aderido, espessura 2cm</t>
        </is>
      </c>
      <c r="D2968" s="10" t="inlineStr">
        <is>
          <t>Aditivo Adesivo Liquido Para Argamassas De Revestimentos Cimenticios</t>
        </is>
      </c>
      <c r="E2968" s="11">
        <f t="array" ref="E2968">_xlfn.XLOOKUP(D2968,Insumos!B:B,Insumos!C:$C)</f>
        <v/>
      </c>
      <c r="F2968" s="14" t="n">
        <v>0.021</v>
      </c>
      <c r="G2968" s="92">
        <f t="array" ref="G2968">IF(B2968="insumo",_xlfn.XLOOKUP($D2968,Insumos!$B$1:$B$996,Insumos!$D$1:$D$996),"")</f>
        <v/>
      </c>
      <c r="H2968" s="92" t="n">
        <v>0.40614</v>
      </c>
      <c r="I2968" s="2162" t="n">
        <v>0</v>
      </c>
      <c r="J2968" s="2162" t="n">
        <v>0</v>
      </c>
      <c r="K2968" s="2162" t="n"/>
    </row>
    <row r="2969" outlineLevel="3" ht="15.75" customHeight="1">
      <c r="A2969" s="10" t="n">
        <v>62</v>
      </c>
      <c r="B2969" s="10" t="inlineStr">
        <is>
          <t>Insumo</t>
        </is>
      </c>
      <c r="C2969" s="10" t="inlineStr">
        <is>
          <t>Contrapiso comum em argamassa estabilizada, nao aderido, espessura 2cm</t>
        </is>
      </c>
      <c r="D2969" s="10" t="inlineStr">
        <is>
          <t>Cimento Portland Composto CP II-32</t>
        </is>
      </c>
      <c r="E2969" s="11">
        <f t="array" ref="E2969">_xlfn.XLOOKUP(D2969,Insumos!B:B,Insumos!C:$C)</f>
        <v/>
      </c>
      <c r="F2969" s="14" t="n">
        <v>0.5</v>
      </c>
      <c r="G2969" s="92">
        <f t="array" ref="G2969">IF(B2969="insumo",_xlfn.XLOOKUP($D2969,Insumos!$B$1:$B$996,Insumos!$D$1:$D$996),"")</f>
        <v/>
      </c>
      <c r="H2969" s="92" t="n">
        <v>0.38</v>
      </c>
      <c r="I2969" s="2162" t="n">
        <v>0</v>
      </c>
      <c r="J2969" s="2162" t="n">
        <v>0</v>
      </c>
      <c r="K2969" s="2162" t="n"/>
    </row>
    <row r="2970" outlineLevel="2" ht="15.75" customHeight="1">
      <c r="A2970" s="1067" t="n">
        <v>1</v>
      </c>
      <c r="B2970" s="1067" t="inlineStr">
        <is>
          <t>Serviço</t>
        </is>
      </c>
      <c r="C2970" s="1067" t="inlineStr">
        <is>
          <t>Contrapiso comum em argamassa estabilizada, nao aderido, espessura 2,5cm</t>
        </is>
      </c>
      <c r="D2970" s="1067" t="inlineStr">
        <is>
          <t>Contrapiso comum em argamassa estabilizada, nao aderido, espessura 2,5cm</t>
        </is>
      </c>
      <c r="E2970" s="1068" t="inlineStr">
        <is>
          <t>M2</t>
        </is>
      </c>
      <c r="F2970" s="1067" t="n"/>
      <c r="G2970" s="1069">
        <f t="array" ref="G2970">IF(B2970="insumo",_xlfn.XLOOKUP($D2970,Insumos!$B$1:$B$996,Insumos!$D$1:$D$996),"")</f>
        <v/>
      </c>
      <c r="H2970" s="1069" t="n">
        <v>15.91114</v>
      </c>
      <c r="I2970" s="2161" t="n">
        <v>0</v>
      </c>
      <c r="J2970" s="2161" t="n">
        <v>0</v>
      </c>
      <c r="K2970" s="2161" t="n"/>
    </row>
    <row r="2971" outlineLevel="3" ht="15.75" customHeight="1">
      <c r="A2971" s="10" t="n">
        <v>32</v>
      </c>
      <c r="B2971" s="10" t="inlineStr">
        <is>
          <t>Insumo</t>
        </is>
      </c>
      <c r="C2971" s="10" t="inlineStr">
        <is>
          <t>Contrapiso comum em argamassa estabilizada, nao aderido, espessura 2,5cm</t>
        </is>
      </c>
      <c r="D2971" s="10" t="inlineStr">
        <is>
          <t>Argamassa usninada para contrapiso</t>
        </is>
      </c>
      <c r="E2971" s="11">
        <f t="array" ref="E2971">_xlfn.XLOOKUP(D2971,Insumos!B:B,Insumos!C:$C)</f>
        <v/>
      </c>
      <c r="F2971" s="14" t="n">
        <v>0.0275</v>
      </c>
      <c r="G2971" s="92">
        <f t="array" ref="G2971">IF(B2971="insumo",_xlfn.XLOOKUP($D2971,Insumos!$B$1:$B$996,Insumos!$D$1:$D$996),"")</f>
        <v/>
      </c>
      <c r="H2971" s="92" t="n">
        <v>15.125</v>
      </c>
      <c r="I2971" s="2162" t="n">
        <v>0</v>
      </c>
      <c r="J2971" s="2162" t="n">
        <v>0</v>
      </c>
      <c r="K2971" s="2162" t="n"/>
    </row>
    <row r="2972" outlineLevel="3" ht="15.75" customHeight="1">
      <c r="A2972" s="10" t="n">
        <v>41</v>
      </c>
      <c r="B2972" s="10" t="inlineStr">
        <is>
          <t>Insumo</t>
        </is>
      </c>
      <c r="C2972" s="10" t="inlineStr">
        <is>
          <t>Contrapiso comum em argamassa estabilizada, nao aderido, espessura 2,5cm</t>
        </is>
      </c>
      <c r="D2972" s="10" t="inlineStr">
        <is>
          <t>Aditivo Adesivo Liquido Para Argamassas De Revestimentos Cimenticios</t>
        </is>
      </c>
      <c r="E2972" s="11">
        <f t="array" ref="E2972">_xlfn.XLOOKUP(D2972,Insumos!B:B,Insumos!C:$C)</f>
        <v/>
      </c>
      <c r="F2972" s="14" t="n">
        <v>0.021</v>
      </c>
      <c r="G2972" s="92">
        <f t="array" ref="G2972">IF(B2972="insumo",_xlfn.XLOOKUP($D2972,Insumos!$B$1:$B$996,Insumos!$D$1:$D$996),"")</f>
        <v/>
      </c>
      <c r="H2972" s="92" t="n">
        <v>0.40614</v>
      </c>
      <c r="I2972" s="2162" t="n">
        <v>0</v>
      </c>
      <c r="J2972" s="2162" t="n">
        <v>0</v>
      </c>
      <c r="K2972" s="2162" t="n"/>
    </row>
    <row r="2973" outlineLevel="3" ht="15.75" customHeight="1">
      <c r="A2973" s="10" t="n">
        <v>62</v>
      </c>
      <c r="B2973" s="10" t="inlineStr">
        <is>
          <t>Insumo</t>
        </is>
      </c>
      <c r="C2973" s="10" t="inlineStr">
        <is>
          <t>Contrapiso comum em argamassa estabilizada, nao aderido, espessura 2,5cm</t>
        </is>
      </c>
      <c r="D2973" s="10" t="inlineStr">
        <is>
          <t>Cimento Portland Composto CP II-32</t>
        </is>
      </c>
      <c r="E2973" s="11">
        <f t="array" ref="E2973">_xlfn.XLOOKUP(D2973,Insumos!B:B,Insumos!C:$C)</f>
        <v/>
      </c>
      <c r="F2973" s="14" t="n">
        <v>0.5</v>
      </c>
      <c r="G2973" s="92">
        <f t="array" ref="G2973">IF(B2973="insumo",_xlfn.XLOOKUP($D2973,Insumos!$B$1:$B$996,Insumos!$D$1:$D$996),"")</f>
        <v/>
      </c>
      <c r="H2973" s="92" t="n">
        <v>0.38</v>
      </c>
      <c r="I2973" s="2162" t="n">
        <v>0</v>
      </c>
      <c r="J2973" s="2162" t="n">
        <v>0</v>
      </c>
      <c r="K2973" s="2162" t="n"/>
    </row>
    <row r="2974" outlineLevel="2" ht="15.75" customHeight="1">
      <c r="A2974" s="1067" t="n">
        <v>1</v>
      </c>
      <c r="B2974" s="1067" t="inlineStr">
        <is>
          <t>Serviço</t>
        </is>
      </c>
      <c r="C2974" s="1067" t="inlineStr">
        <is>
          <t>Contrapiso comum em argamassa estabilizada, nao aderido, espessura 3cm</t>
        </is>
      </c>
      <c r="D2974" s="1067" t="inlineStr">
        <is>
          <t>Contrapiso comum em argamassa estabilizada, nao aderido, espessura 3cm</t>
        </is>
      </c>
      <c r="E2974" s="1068" t="inlineStr">
        <is>
          <t>M2</t>
        </is>
      </c>
      <c r="F2974" s="1067" t="n"/>
      <c r="G2974" s="1069">
        <f t="array" ref="G2974">IF(B2974="insumo",_xlfn.XLOOKUP($D2974,Insumos!$B$1:$B$996,Insumos!$D$1:$D$996),"")</f>
        <v/>
      </c>
      <c r="H2974" s="1069" t="n">
        <v>18.93614</v>
      </c>
      <c r="I2974" s="2161" t="n">
        <v>0</v>
      </c>
      <c r="J2974" s="2161" t="n">
        <v>0</v>
      </c>
      <c r="K2974" s="2161" t="n"/>
    </row>
    <row r="2975" outlineLevel="3" ht="15.75" customHeight="1">
      <c r="A2975" s="10" t="n">
        <v>32</v>
      </c>
      <c r="B2975" s="10" t="inlineStr">
        <is>
          <t>Insumo</t>
        </is>
      </c>
      <c r="C2975" s="10" t="inlineStr">
        <is>
          <t>Contrapiso comum em argamassa estabilizada, nao aderido, espessura 3cm</t>
        </is>
      </c>
      <c r="D2975" s="10" t="inlineStr">
        <is>
          <t>Argamassa usninada para contrapiso</t>
        </is>
      </c>
      <c r="E2975" s="11">
        <f t="array" ref="E2975">_xlfn.XLOOKUP(D2975,Insumos!B:B,Insumos!C:$C)</f>
        <v/>
      </c>
      <c r="F2975" s="14" t="n">
        <v>0.033</v>
      </c>
      <c r="G2975" s="92">
        <f t="array" ref="G2975">IF(B2975="insumo",_xlfn.XLOOKUP($D2975,Insumos!$B$1:$B$996,Insumos!$D$1:$D$996),"")</f>
        <v/>
      </c>
      <c r="H2975" s="92" t="n">
        <v>18.15</v>
      </c>
      <c r="I2975" s="2162" t="n">
        <v>0</v>
      </c>
      <c r="J2975" s="2162" t="n">
        <v>0</v>
      </c>
      <c r="K2975" s="2162" t="n"/>
    </row>
    <row r="2976" outlineLevel="3" ht="15.75" customHeight="1">
      <c r="A2976" s="10" t="n">
        <v>41</v>
      </c>
      <c r="B2976" s="10" t="inlineStr">
        <is>
          <t>Insumo</t>
        </is>
      </c>
      <c r="C2976" s="10" t="inlineStr">
        <is>
          <t>Contrapiso comum em argamassa estabilizada, nao aderido, espessura 3cm</t>
        </is>
      </c>
      <c r="D2976" s="10" t="inlineStr">
        <is>
          <t>Aditivo Adesivo Liquido Para Argamassas De Revestimentos Cimenticios</t>
        </is>
      </c>
      <c r="E2976" s="11">
        <f t="array" ref="E2976">_xlfn.XLOOKUP(D2976,Insumos!B:B,Insumos!C:$C)</f>
        <v/>
      </c>
      <c r="F2976" s="14" t="n">
        <v>0.021</v>
      </c>
      <c r="G2976" s="92">
        <f t="array" ref="G2976">IF(B2976="insumo",_xlfn.XLOOKUP($D2976,Insumos!$B$1:$B$996,Insumos!$D$1:$D$996),"")</f>
        <v/>
      </c>
      <c r="H2976" s="92" t="n">
        <v>0.40614</v>
      </c>
      <c r="I2976" s="2162" t="n">
        <v>0</v>
      </c>
      <c r="J2976" s="2162" t="n">
        <v>0</v>
      </c>
      <c r="K2976" s="2162" t="n"/>
    </row>
    <row r="2977" outlineLevel="3" ht="15.75" customHeight="1">
      <c r="A2977" s="10" t="n">
        <v>62</v>
      </c>
      <c r="B2977" s="10" t="inlineStr">
        <is>
          <t>Insumo</t>
        </is>
      </c>
      <c r="C2977" s="10" t="inlineStr">
        <is>
          <t>Contrapiso comum em argamassa estabilizada, nao aderido, espessura 3cm</t>
        </is>
      </c>
      <c r="D2977" s="10" t="inlineStr">
        <is>
          <t>Cimento Portland Composto CP II-32</t>
        </is>
      </c>
      <c r="E2977" s="11">
        <f t="array" ref="E2977">_xlfn.XLOOKUP(D2977,Insumos!B:B,Insumos!C:$C)</f>
        <v/>
      </c>
      <c r="F2977" s="14" t="n">
        <v>0.5</v>
      </c>
      <c r="G2977" s="92">
        <f t="array" ref="G2977">IF(B2977="insumo",_xlfn.XLOOKUP($D2977,Insumos!$B$1:$B$996,Insumos!$D$1:$D$996),"")</f>
        <v/>
      </c>
      <c r="H2977" s="92" t="n">
        <v>0.38</v>
      </c>
      <c r="I2977" s="2162" t="n">
        <v>0</v>
      </c>
      <c r="J2977" s="2162" t="n">
        <v>0</v>
      </c>
      <c r="K2977" s="2162" t="n"/>
    </row>
    <row r="2978" outlineLevel="2" ht="15.75" customHeight="1">
      <c r="A2978" s="1067" t="n">
        <v>1</v>
      </c>
      <c r="B2978" s="1067" t="inlineStr">
        <is>
          <t>Serviço</t>
        </is>
      </c>
      <c r="C2978" s="1067" t="inlineStr">
        <is>
          <t>Contrapiso comum em argamassa estabilizada, nao aderido, espessura 3,5cm</t>
        </is>
      </c>
      <c r="D2978" s="1067" t="inlineStr">
        <is>
          <t>Contrapiso comum em argamassa estabilizada, nao aderido, espessura 3,5cm</t>
        </is>
      </c>
      <c r="E2978" s="1068" t="inlineStr">
        <is>
          <t>M2</t>
        </is>
      </c>
      <c r="F2978" s="1067" t="n"/>
      <c r="G2978" s="1069">
        <f t="array" ref="G2978">IF(B2978="insumo",_xlfn.XLOOKUP($D2978,Insumos!$B$1:$B$996,Insumos!$D$1:$D$996),"")</f>
        <v/>
      </c>
      <c r="H2978" s="1069" t="n">
        <v>21.96114</v>
      </c>
      <c r="I2978" s="2161" t="n">
        <v>0</v>
      </c>
      <c r="J2978" s="2161" t="n">
        <v>0</v>
      </c>
      <c r="K2978" s="2161" t="n"/>
    </row>
    <row r="2979" outlineLevel="3" ht="15.75" customHeight="1">
      <c r="A2979" s="10" t="n">
        <v>32</v>
      </c>
      <c r="B2979" s="10" t="inlineStr">
        <is>
          <t>Insumo</t>
        </is>
      </c>
      <c r="C2979" s="10" t="inlineStr">
        <is>
          <t>Contrapiso comum em argamassa estabilizada, nao aderido, espessura 3,5cm</t>
        </is>
      </c>
      <c r="D2979" s="10" t="inlineStr">
        <is>
          <t>Argamassa usninada para contrapiso</t>
        </is>
      </c>
      <c r="E2979" s="11">
        <f t="array" ref="E2979">_xlfn.XLOOKUP(D2979,Insumos!B:B,Insumos!C:$C)</f>
        <v/>
      </c>
      <c r="F2979" s="14">
        <f>0.035*1.1</f>
        <v/>
      </c>
      <c r="G2979" s="92">
        <f t="array" ref="G2979">IF(B2979="insumo",_xlfn.XLOOKUP($D2979,Insumos!$B$1:$B$996,Insumos!$D$1:$D$996),"")</f>
        <v/>
      </c>
      <c r="H2979" s="92" t="n">
        <v>21.175</v>
      </c>
      <c r="I2979" s="2162" t="n">
        <v>0</v>
      </c>
      <c r="J2979" s="2162" t="n">
        <v>0</v>
      </c>
      <c r="K2979" s="2162" t="n"/>
    </row>
    <row r="2980" outlineLevel="3" ht="15.75" customHeight="1">
      <c r="A2980" s="10" t="n">
        <v>41</v>
      </c>
      <c r="B2980" s="10" t="inlineStr">
        <is>
          <t>Insumo</t>
        </is>
      </c>
      <c r="C2980" s="10" t="inlineStr">
        <is>
          <t>Contrapiso comum em argamassa estabilizada, nao aderido, espessura 3,5cm</t>
        </is>
      </c>
      <c r="D2980" s="10" t="inlineStr">
        <is>
          <t>Aditivo Adesivo Liquido Para Argamassas De Revestimentos Cimenticios</t>
        </is>
      </c>
      <c r="E2980" s="11">
        <f t="array" ref="E2980">_xlfn.XLOOKUP(D2980,Insumos!B:B,Insumos!C:$C)</f>
        <v/>
      </c>
      <c r="F2980" s="14" t="n">
        <v>0.021</v>
      </c>
      <c r="G2980" s="92">
        <f t="array" ref="G2980">IF(B2980="insumo",_xlfn.XLOOKUP($D2980,Insumos!$B$1:$B$996,Insumos!$D$1:$D$996),"")</f>
        <v/>
      </c>
      <c r="H2980" s="92" t="n">
        <v>0.40614</v>
      </c>
      <c r="I2980" s="2162" t="n">
        <v>0</v>
      </c>
      <c r="J2980" s="2162" t="n">
        <v>0</v>
      </c>
      <c r="K2980" s="2162" t="n"/>
    </row>
    <row r="2981" outlineLevel="3" ht="15.75" customHeight="1">
      <c r="A2981" s="10" t="n">
        <v>62</v>
      </c>
      <c r="B2981" s="10" t="inlineStr">
        <is>
          <t>Insumo</t>
        </is>
      </c>
      <c r="C2981" s="10" t="inlineStr">
        <is>
          <t>Contrapiso comum em argamassa estabilizada, nao aderido, espessura 3,5cm</t>
        </is>
      </c>
      <c r="D2981" s="10" t="inlineStr">
        <is>
          <t>Cimento Portland Composto CP II-32</t>
        </is>
      </c>
      <c r="E2981" s="11">
        <f t="array" ref="E2981">_xlfn.XLOOKUP(D2981,Insumos!B:B,Insumos!C:$C)</f>
        <v/>
      </c>
      <c r="F2981" s="14" t="n">
        <v>0.5</v>
      </c>
      <c r="G2981" s="92">
        <f t="array" ref="G2981">IF(B2981="insumo",_xlfn.XLOOKUP($D2981,Insumos!$B$1:$B$996,Insumos!$D$1:$D$996),"")</f>
        <v/>
      </c>
      <c r="H2981" s="92" t="n">
        <v>0.38</v>
      </c>
      <c r="I2981" s="2162" t="n">
        <v>0</v>
      </c>
      <c r="J2981" s="2162" t="n">
        <v>0</v>
      </c>
      <c r="K2981" s="2162" t="n"/>
    </row>
    <row r="2982" outlineLevel="2" ht="15.75" customHeight="1">
      <c r="A2982" s="1067" t="n">
        <v>1</v>
      </c>
      <c r="B2982" s="1067" t="inlineStr">
        <is>
          <t>Serviço</t>
        </is>
      </c>
      <c r="C2982" s="1067" t="inlineStr">
        <is>
          <t>Contrapiso comum em argamassa estabilizada, nao aderido, espessura 4cm</t>
        </is>
      </c>
      <c r="D2982" s="1067" t="inlineStr">
        <is>
          <t>Contrapiso comum em argamassa estabilizada, nao aderido, espessura 4cm</t>
        </is>
      </c>
      <c r="E2982" s="1068" t="inlineStr">
        <is>
          <t>M2</t>
        </is>
      </c>
      <c r="F2982" s="1067" t="n"/>
      <c r="G2982" s="1069">
        <f t="array" ref="G2982">IF(B2982="insumo",_xlfn.XLOOKUP($D2982,Insumos!$B$1:$B$996,Insumos!$D$1:$D$996),"")</f>
        <v/>
      </c>
      <c r="H2982" s="1069" t="n">
        <v>24.98614</v>
      </c>
      <c r="I2982" s="2161" t="n">
        <v>0</v>
      </c>
      <c r="J2982" s="2161" t="n">
        <v>0</v>
      </c>
      <c r="K2982" s="2161" t="n"/>
    </row>
    <row r="2983" outlineLevel="3" ht="15.75" customHeight="1">
      <c r="A2983" s="10" t="n">
        <v>32</v>
      </c>
      <c r="B2983" s="10" t="inlineStr">
        <is>
          <t>Insumo</t>
        </is>
      </c>
      <c r="C2983" s="10" t="inlineStr">
        <is>
          <t>Contrapiso comum em argamassa estabilizada, nao aderido, espessura 4cm</t>
        </is>
      </c>
      <c r="D2983" s="10" t="inlineStr">
        <is>
          <t>Argamassa usninada para contrapiso</t>
        </is>
      </c>
      <c r="E2983" s="11">
        <f t="array" ref="E2983">_xlfn.XLOOKUP(D2983,Insumos!B:B,Insumos!C:$C)</f>
        <v/>
      </c>
      <c r="F2983" s="14">
        <f>0.04*1.1</f>
        <v/>
      </c>
      <c r="G2983" s="92">
        <f t="array" ref="G2983">IF(B2983="insumo",_xlfn.XLOOKUP($D2983,Insumos!$B$1:$B$996,Insumos!$D$1:$D$996),"")</f>
        <v/>
      </c>
      <c r="H2983" s="92" t="n">
        <v>24.2</v>
      </c>
      <c r="I2983" s="2162" t="n">
        <v>0</v>
      </c>
      <c r="J2983" s="2162" t="n">
        <v>0</v>
      </c>
      <c r="K2983" s="2162" t="n"/>
    </row>
    <row r="2984" outlineLevel="3" ht="15.75" customHeight="1">
      <c r="A2984" s="10" t="n">
        <v>41</v>
      </c>
      <c r="B2984" s="10" t="inlineStr">
        <is>
          <t>Insumo</t>
        </is>
      </c>
      <c r="C2984" s="10" t="inlineStr">
        <is>
          <t>Contrapiso comum em argamassa estabilizada, nao aderido, espessura 4cm</t>
        </is>
      </c>
      <c r="D2984" s="10" t="inlineStr">
        <is>
          <t>Aditivo Adesivo Liquido Para Argamassas De Revestimentos Cimenticios</t>
        </is>
      </c>
      <c r="E2984" s="11">
        <f t="array" ref="E2984">_xlfn.XLOOKUP(D2984,Insumos!B:B,Insumos!C:$C)</f>
        <v/>
      </c>
      <c r="F2984" s="14" t="n">
        <v>0.021</v>
      </c>
      <c r="G2984" s="92">
        <f t="array" ref="G2984">IF(B2984="insumo",_xlfn.XLOOKUP($D2984,Insumos!$B$1:$B$996,Insumos!$D$1:$D$996),"")</f>
        <v/>
      </c>
      <c r="H2984" s="92" t="n">
        <v>0.40614</v>
      </c>
      <c r="I2984" s="2162" t="n">
        <v>0</v>
      </c>
      <c r="J2984" s="2162" t="n">
        <v>0</v>
      </c>
      <c r="K2984" s="2162" t="n"/>
    </row>
    <row r="2985" outlineLevel="3" ht="15.75" customHeight="1">
      <c r="A2985" s="10" t="n">
        <v>62</v>
      </c>
      <c r="B2985" s="10" t="inlineStr">
        <is>
          <t>Insumo</t>
        </is>
      </c>
      <c r="C2985" s="10" t="inlineStr">
        <is>
          <t>Contrapiso comum em argamassa estabilizada, nao aderido, espessura 4cm</t>
        </is>
      </c>
      <c r="D2985" s="10" t="inlineStr">
        <is>
          <t>Cimento Portland Composto CP II-32</t>
        </is>
      </c>
      <c r="E2985" s="11">
        <f t="array" ref="E2985">_xlfn.XLOOKUP(D2985,Insumos!B:B,Insumos!C:$C)</f>
        <v/>
      </c>
      <c r="F2985" s="14" t="n">
        <v>0.5</v>
      </c>
      <c r="G2985" s="92">
        <f t="array" ref="G2985">IF(B2985="insumo",_xlfn.XLOOKUP($D2985,Insumos!$B$1:$B$996,Insumos!$D$1:$D$996),"")</f>
        <v/>
      </c>
      <c r="H2985" s="92" t="n">
        <v>0.38</v>
      </c>
      <c r="I2985" s="2162" t="n">
        <v>0</v>
      </c>
      <c r="J2985" s="2162" t="n">
        <v>0</v>
      </c>
      <c r="K2985" s="2162" t="n"/>
    </row>
    <row r="2986" outlineLevel="2" ht="15.75" customHeight="1">
      <c r="A2986" s="1067" t="n">
        <v>1</v>
      </c>
      <c r="B2986" s="1067" t="inlineStr">
        <is>
          <t>Serviço</t>
        </is>
      </c>
      <c r="C2986" s="1067" t="inlineStr">
        <is>
          <t>Contrapiso comum em argamassa estabilizada, nao aderido, espessura 5cm</t>
        </is>
      </c>
      <c r="D2986" s="1067" t="inlineStr">
        <is>
          <t>Contrapiso comum em argamassa estabilizada, nao aderido, espessura 5cm</t>
        </is>
      </c>
      <c r="E2986" s="1068" t="inlineStr">
        <is>
          <t>M2</t>
        </is>
      </c>
      <c r="F2986" s="1067" t="n"/>
      <c r="G2986" s="1069">
        <f t="array" ref="G2986">IF(B2986="insumo",_xlfn.XLOOKUP($D2986,Insumos!$B$1:$B$996,Insumos!$D$1:$D$996),"")</f>
        <v/>
      </c>
      <c r="H2986" s="1069" t="n">
        <v>31.5602333333333</v>
      </c>
      <c r="I2986" s="2161" t="n">
        <v>0</v>
      </c>
      <c r="J2986" s="2161" t="n">
        <v>0</v>
      </c>
      <c r="K2986" s="2161" t="n"/>
    </row>
    <row r="2987" outlineLevel="3" ht="15.75" customHeight="1">
      <c r="A2987" s="10" t="n">
        <v>32</v>
      </c>
      <c r="B2987" s="10" t="inlineStr">
        <is>
          <t>Insumo</t>
        </is>
      </c>
      <c r="C2987" s="10" t="inlineStr">
        <is>
          <t>Contrapiso comum em argamassa estabilizada, nao aderido, espessura 5cm</t>
        </is>
      </c>
      <c r="D2987" s="10" t="inlineStr">
        <is>
          <t>Argamassa usninada para contrapiso</t>
        </is>
      </c>
      <c r="E2987" s="11">
        <f t="array" ref="E2987">_xlfn.XLOOKUP(D2987,Insumos!B:B,Insumos!C:$C)</f>
        <v/>
      </c>
      <c r="F2987" s="14" t="n">
        <v>0.05500000000000001</v>
      </c>
      <c r="G2987" s="92">
        <f t="array" ref="G2987">IF(B2987="insumo",_xlfn.XLOOKUP($D2987,Insumos!$B$1:$B$996,Insumos!$D$1:$D$996),"")</f>
        <v/>
      </c>
      <c r="H2987" s="92" t="n">
        <v>30.25</v>
      </c>
      <c r="I2987" s="2162" t="n">
        <v>0</v>
      </c>
      <c r="J2987" s="2162" t="n">
        <v>0</v>
      </c>
      <c r="K2987" s="2162" t="n"/>
    </row>
    <row r="2988" outlineLevel="3" ht="15.75" customHeight="1">
      <c r="A2988" s="10" t="n">
        <v>41</v>
      </c>
      <c r="B2988" s="10" t="inlineStr">
        <is>
          <t>Insumo</t>
        </is>
      </c>
      <c r="C2988" s="10" t="inlineStr">
        <is>
          <t>Contrapiso comum em argamassa estabilizada, nao aderido, espessura 5cm</t>
        </is>
      </c>
      <c r="D2988" s="10" t="inlineStr">
        <is>
          <t>Aditivo Adesivo Liquido Para Argamassas De Revestimentos Cimenticios</t>
        </is>
      </c>
      <c r="E2988" s="11">
        <f t="array" ref="E2988">_xlfn.XLOOKUP(D2988,Insumos!B:B,Insumos!C:$C)</f>
        <v/>
      </c>
      <c r="F2988" s="14" t="n">
        <v>0.035</v>
      </c>
      <c r="G2988" s="92">
        <f t="array" ref="G2988">IF(B2988="insumo",_xlfn.XLOOKUP($D2988,Insumos!$B$1:$B$996,Insumos!$D$1:$D$996),"")</f>
        <v/>
      </c>
      <c r="H2988" s="92" t="n">
        <v>0.6768999999999999</v>
      </c>
      <c r="I2988" s="2162" t="n">
        <v>0</v>
      </c>
      <c r="J2988" s="2162" t="n">
        <v>0</v>
      </c>
      <c r="K2988" s="2162" t="n"/>
    </row>
    <row r="2989" outlineLevel="3" ht="15.75" customHeight="1">
      <c r="A2989" s="10" t="n">
        <v>62</v>
      </c>
      <c r="B2989" s="10" t="inlineStr">
        <is>
          <t>Insumo</t>
        </is>
      </c>
      <c r="C2989" s="10" t="inlineStr">
        <is>
          <t>Contrapiso comum em argamassa estabilizada, nao aderido, espessura 5cm</t>
        </is>
      </c>
      <c r="D2989" s="10" t="inlineStr">
        <is>
          <t>Cimento Portland Composto CP II-32</t>
        </is>
      </c>
      <c r="E2989" s="11">
        <f t="array" ref="E2989">_xlfn.XLOOKUP(D2989,Insumos!B:B,Insumos!C:$C)</f>
        <v/>
      </c>
      <c r="F2989" s="14" t="n">
        <v>0.8333333333333335</v>
      </c>
      <c r="G2989" s="92">
        <f t="array" ref="G2989">IF(B2989="insumo",_xlfn.XLOOKUP($D2989,Insumos!$B$1:$B$996,Insumos!$D$1:$D$996),"")</f>
        <v/>
      </c>
      <c r="H2989" s="92" t="n">
        <v>0.633333333333333</v>
      </c>
      <c r="I2989" s="2162" t="n">
        <v>0</v>
      </c>
      <c r="J2989" s="2162" t="n">
        <v>0</v>
      </c>
      <c r="K2989" s="2162" t="n"/>
    </row>
    <row r="2990" outlineLevel="2" ht="15.75" customHeight="1">
      <c r="A2990" s="1067" t="n">
        <v>1</v>
      </c>
      <c r="B2990" s="1067" t="inlineStr">
        <is>
          <t>Serviço</t>
        </is>
      </c>
      <c r="C2990" s="1067" t="inlineStr">
        <is>
          <t>Contrapiso comum em argamassa estabilizada, nao aderido, espessura 5,5cm</t>
        </is>
      </c>
      <c r="D2990" s="1067" t="inlineStr">
        <is>
          <t>Contrapiso comum em argamassa estabilizada, nao aderido, espessura 5,5cm</t>
        </is>
      </c>
      <c r="E2990" s="1068" t="inlineStr">
        <is>
          <t>M2</t>
        </is>
      </c>
      <c r="F2990" s="1067" t="n"/>
      <c r="G2990" s="1069">
        <f t="array" ref="G2990">IF(B2990="insumo",_xlfn.XLOOKUP($D2990,Insumos!$B$1:$B$996,Insumos!$D$1:$D$996),"")</f>
        <v/>
      </c>
      <c r="H2990" s="1069" t="n">
        <v>34.7162566666667</v>
      </c>
      <c r="I2990" s="2161" t="n">
        <v>0</v>
      </c>
      <c r="J2990" s="2161" t="n">
        <v>0</v>
      </c>
      <c r="K2990" s="2161" t="n"/>
    </row>
    <row r="2991" outlineLevel="3" ht="15.75" customHeight="1">
      <c r="A2991" s="10" t="n">
        <v>32</v>
      </c>
      <c r="B2991" s="10" t="inlineStr">
        <is>
          <t>Insumo</t>
        </is>
      </c>
      <c r="C2991" s="10" t="inlineStr">
        <is>
          <t>Contrapiso comum em argamassa estabilizada, nao aderido, espessura 5,5cm</t>
        </is>
      </c>
      <c r="D2991" s="10" t="inlineStr">
        <is>
          <t>Argamassa usninada para contrapiso</t>
        </is>
      </c>
      <c r="E2991" s="11">
        <f t="array" ref="E2991">_xlfn.XLOOKUP(D2991,Insumos!B:B,Insumos!C:$C)</f>
        <v/>
      </c>
      <c r="F2991" s="14" t="n">
        <v>0.06050000000000001</v>
      </c>
      <c r="G2991" s="92">
        <f t="array" ref="G2991">IF(B2991="insumo",_xlfn.XLOOKUP($D2991,Insumos!$B$1:$B$996,Insumos!$D$1:$D$996),"")</f>
        <v/>
      </c>
      <c r="H2991" s="92" t="n">
        <v>33.275</v>
      </c>
      <c r="I2991" s="2162" t="n">
        <v>0</v>
      </c>
      <c r="J2991" s="2162" t="n">
        <v>0</v>
      </c>
      <c r="K2991" s="2162" t="n"/>
    </row>
    <row r="2992" outlineLevel="3" ht="15.75" customHeight="1">
      <c r="A2992" s="10" t="n">
        <v>41</v>
      </c>
      <c r="B2992" s="10" t="inlineStr">
        <is>
          <t>Insumo</t>
        </is>
      </c>
      <c r="C2992" s="10" t="inlineStr">
        <is>
          <t>Contrapiso comum em argamassa estabilizada, nao aderido, espessura 5,5cm</t>
        </is>
      </c>
      <c r="D2992" s="10" t="inlineStr">
        <is>
          <t>Aditivo Adesivo Liquido Para Argamassas De Revestimentos Cimenticios</t>
        </is>
      </c>
      <c r="E2992" s="11">
        <f t="array" ref="E2992">_xlfn.XLOOKUP(D2992,Insumos!B:B,Insumos!C:$C)</f>
        <v/>
      </c>
      <c r="F2992" s="14" t="n">
        <v>0.03850000000000001</v>
      </c>
      <c r="G2992" s="92">
        <f t="array" ref="G2992">IF(B2992="insumo",_xlfn.XLOOKUP($D2992,Insumos!$B$1:$B$996,Insumos!$D$1:$D$996),"")</f>
        <v/>
      </c>
      <c r="H2992" s="92" t="n">
        <v>0.74459</v>
      </c>
      <c r="I2992" s="2162" t="n">
        <v>0</v>
      </c>
      <c r="J2992" s="2162" t="n">
        <v>0</v>
      </c>
      <c r="K2992" s="2162" t="n"/>
    </row>
    <row r="2993" outlineLevel="3" ht="15.75" customHeight="1">
      <c r="A2993" s="10" t="n">
        <v>62</v>
      </c>
      <c r="B2993" s="10" t="inlineStr">
        <is>
          <t>Insumo</t>
        </is>
      </c>
      <c r="C2993" s="10" t="inlineStr">
        <is>
          <t>Contrapiso comum em argamassa estabilizada, nao aderido, espessura 5,5cm</t>
        </is>
      </c>
      <c r="D2993" s="10" t="inlineStr">
        <is>
          <t>Cimento Portland Composto CP II-32</t>
        </is>
      </c>
      <c r="E2993" s="11">
        <f t="array" ref="E2993">_xlfn.XLOOKUP(D2993,Insumos!B:B,Insumos!C:$C)</f>
        <v/>
      </c>
      <c r="F2993" s="14" t="n">
        <v>0.9166666666666667</v>
      </c>
      <c r="G2993" s="92">
        <f t="array" ref="G2993">IF(B2993="insumo",_xlfn.XLOOKUP($D2993,Insumos!$B$1:$B$996,Insumos!$D$1:$D$996),"")</f>
        <v/>
      </c>
      <c r="H2993" s="92" t="n">
        <v>0.696666666666667</v>
      </c>
      <c r="I2993" s="2162" t="n">
        <v>0</v>
      </c>
      <c r="J2993" s="2162" t="n">
        <v>0</v>
      </c>
      <c r="K2993" s="2162" t="n"/>
    </row>
    <row r="2994" outlineLevel="2" ht="15.75" customHeight="1">
      <c r="A2994" s="1067" t="n">
        <v>1</v>
      </c>
      <c r="B2994" s="1067" t="inlineStr">
        <is>
          <t>Serviço</t>
        </is>
      </c>
      <c r="C2994" s="1067" t="inlineStr">
        <is>
          <t>Contrapiso comum em argamassa estabilizada, nao aderido, espessura 6cm</t>
        </is>
      </c>
      <c r="D2994" s="1067" t="inlineStr">
        <is>
          <t>Contrapiso comum em argamassa estabilizada, nao aderido, espessura 6cm</t>
        </is>
      </c>
      <c r="E2994" s="1068" t="inlineStr">
        <is>
          <t>M2</t>
        </is>
      </c>
      <c r="F2994" s="1067" t="n"/>
      <c r="G2994" s="1069">
        <f t="array" ref="G2994">IF(B2994="insumo",_xlfn.XLOOKUP($D2994,Insumos!$B$1:$B$996,Insumos!$D$1:$D$996),"")</f>
        <v/>
      </c>
      <c r="H2994" s="1069" t="n">
        <v>37.87228</v>
      </c>
      <c r="I2994" s="2161" t="n">
        <v>0</v>
      </c>
      <c r="J2994" s="2161" t="n">
        <v>0</v>
      </c>
      <c r="K2994" s="2161" t="n"/>
    </row>
    <row r="2995" outlineLevel="3" ht="15.75" customHeight="1">
      <c r="A2995" s="10" t="n">
        <v>32</v>
      </c>
      <c r="B2995" s="10" t="inlineStr">
        <is>
          <t>Insumo</t>
        </is>
      </c>
      <c r="C2995" s="10" t="inlineStr">
        <is>
          <t>Contrapiso comum em argamassa estabilizada, nao aderido, espessura 6cm</t>
        </is>
      </c>
      <c r="D2995" s="10" t="inlineStr">
        <is>
          <t>Argamassa usninada para contrapiso</t>
        </is>
      </c>
      <c r="E2995" s="11">
        <f t="array" ref="E2995">_xlfn.XLOOKUP(D2995,Insumos!B:B,Insumos!C:$C)</f>
        <v/>
      </c>
      <c r="F2995" s="14" t="n">
        <v>0.066</v>
      </c>
      <c r="G2995" s="92">
        <f t="array" ref="G2995">IF(B2995="insumo",_xlfn.XLOOKUP($D2995,Insumos!$B$1:$B$996,Insumos!$D$1:$D$996),"")</f>
        <v/>
      </c>
      <c r="H2995" s="92" t="n">
        <v>36.3</v>
      </c>
      <c r="I2995" s="2162" t="n">
        <v>0</v>
      </c>
      <c r="J2995" s="2162" t="n">
        <v>0</v>
      </c>
      <c r="K2995" s="2162" t="n"/>
    </row>
    <row r="2996" outlineLevel="3" ht="15.75" customHeight="1">
      <c r="A2996" s="10" t="n">
        <v>41</v>
      </c>
      <c r="B2996" s="10" t="inlineStr">
        <is>
          <t>Insumo</t>
        </is>
      </c>
      <c r="C2996" s="10" t="inlineStr">
        <is>
          <t>Contrapiso comum em argamassa estabilizada, nao aderido, espessura 6cm</t>
        </is>
      </c>
      <c r="D2996" s="10" t="inlineStr">
        <is>
          <t>Aditivo Adesivo Liquido Para Argamassas De Revestimentos Cimenticios</t>
        </is>
      </c>
      <c r="E2996" s="11">
        <f t="array" ref="E2996">_xlfn.XLOOKUP(D2996,Insumos!B:B,Insumos!C:$C)</f>
        <v/>
      </c>
      <c r="F2996" s="14" t="n">
        <v>0.042</v>
      </c>
      <c r="G2996" s="92">
        <f t="array" ref="G2996">IF(B2996="insumo",_xlfn.XLOOKUP($D2996,Insumos!$B$1:$B$996,Insumos!$D$1:$D$996),"")</f>
        <v/>
      </c>
      <c r="H2996" s="92" t="n">
        <v>0.81228</v>
      </c>
      <c r="I2996" s="2162" t="n">
        <v>0</v>
      </c>
      <c r="J2996" s="2162" t="n">
        <v>0</v>
      </c>
      <c r="K2996" s="2162" t="n"/>
    </row>
    <row r="2997" outlineLevel="3" ht="15.75" customHeight="1">
      <c r="A2997" s="10" t="n">
        <v>62</v>
      </c>
      <c r="B2997" s="10" t="inlineStr">
        <is>
          <t>Insumo</t>
        </is>
      </c>
      <c r="C2997" s="10" t="inlineStr">
        <is>
          <t>Contrapiso comum em argamassa estabilizada, nao aderido, espessura 6cm</t>
        </is>
      </c>
      <c r="D2997" s="10" t="inlineStr">
        <is>
          <t>Cimento Portland Composto CP II-32</t>
        </is>
      </c>
      <c r="E2997" s="11">
        <f t="array" ref="E2997">_xlfn.XLOOKUP(D2997,Insumos!B:B,Insumos!C:$C)</f>
        <v/>
      </c>
      <c r="F2997" s="14" t="n">
        <v>1</v>
      </c>
      <c r="G2997" s="92">
        <f t="array" ref="G2997">IF(B2997="insumo",_xlfn.XLOOKUP($D2997,Insumos!$B$1:$B$996,Insumos!$D$1:$D$996),"")</f>
        <v/>
      </c>
      <c r="H2997" s="92" t="n">
        <v>0.76</v>
      </c>
      <c r="I2997" s="2162" t="n">
        <v>0</v>
      </c>
      <c r="J2997" s="2162" t="n">
        <v>0</v>
      </c>
      <c r="K2997" s="2162" t="n"/>
    </row>
    <row r="2998" outlineLevel="2" ht="15.75" customHeight="1">
      <c r="A2998" s="1067" t="n">
        <v>1</v>
      </c>
      <c r="B2998" s="1067" t="inlineStr">
        <is>
          <t>Serviço</t>
        </is>
      </c>
      <c r="C2998" s="1067" t="inlineStr">
        <is>
          <t>Contrapiso comum em argamassa estabilizada, nao aderido, espessura 7cm</t>
        </is>
      </c>
      <c r="D2998" s="1067" t="inlineStr">
        <is>
          <t>Contrapiso comum em argamassa estabilizada, nao aderido, espessura 7cm</t>
        </is>
      </c>
      <c r="E2998" s="1068" t="inlineStr">
        <is>
          <t>M2</t>
        </is>
      </c>
      <c r="F2998" s="1067" t="n"/>
      <c r="G2998" s="1069">
        <f t="array" ref="G2998">IF(B2998="insumo",_xlfn.XLOOKUP($D2998,Insumos!$B$1:$B$996,Insumos!$D$1:$D$996),"")</f>
        <v/>
      </c>
      <c r="H2998" s="1069" t="n">
        <v>45.49456</v>
      </c>
      <c r="I2998" s="2161" t="n">
        <v>0</v>
      </c>
      <c r="J2998" s="2161" t="n">
        <v>0</v>
      </c>
      <c r="K2998" s="2161" t="n"/>
    </row>
    <row r="2999" outlineLevel="3" ht="15.75" customHeight="1">
      <c r="A2999" s="10" t="n">
        <v>32</v>
      </c>
      <c r="B2999" s="10" t="inlineStr">
        <is>
          <t>Insumo</t>
        </is>
      </c>
      <c r="C2999" s="10" t="inlineStr">
        <is>
          <t>Contrapiso comum em argamassa estabilizada, nao aderido, espessura 7cm</t>
        </is>
      </c>
      <c r="D2999" s="10" t="inlineStr">
        <is>
          <t>Argamassa usninada para contrapiso</t>
        </is>
      </c>
      <c r="E2999" s="11">
        <f t="array" ref="E2999">_xlfn.XLOOKUP(D2999,Insumos!B:B,Insumos!C:$C)</f>
        <v/>
      </c>
      <c r="F2999" s="14">
        <f>0.07*1.1</f>
        <v/>
      </c>
      <c r="G2999" s="92">
        <f t="array" ref="G2999">IF(B2999="insumo",_xlfn.XLOOKUP($D2999,Insumos!$B$1:$B$996,Insumos!$D$1:$D$996),"")</f>
        <v/>
      </c>
      <c r="H2999" s="92" t="n">
        <v>42.35</v>
      </c>
      <c r="I2999" s="2162" t="n">
        <v>0</v>
      </c>
      <c r="J2999" s="2162" t="n">
        <v>0</v>
      </c>
      <c r="K2999" s="2162" t="n"/>
    </row>
    <row r="3000" outlineLevel="3" ht="15.75" customHeight="1">
      <c r="A3000" s="10" t="n">
        <v>41</v>
      </c>
      <c r="B3000" s="10" t="inlineStr">
        <is>
          <t>Insumo</t>
        </is>
      </c>
      <c r="C3000" s="10" t="inlineStr">
        <is>
          <t>Contrapiso comum em argamassa estabilizada, nao aderido, espessura 7cm</t>
        </is>
      </c>
      <c r="D3000" s="10" t="inlineStr">
        <is>
          <t>Aditivo Adesivo Liquido Para Argamassas De Revestimentos Cimenticios</t>
        </is>
      </c>
      <c r="E3000" s="11">
        <f t="array" ref="E3000">_xlfn.XLOOKUP(D3000,Insumos!B:B,Insumos!C:$C)</f>
        <v/>
      </c>
      <c r="F3000" s="14">
        <f>(0.021*0.8)/0.2</f>
        <v/>
      </c>
      <c r="G3000" s="92">
        <f t="array" ref="G3000">IF(B3000="insumo",_xlfn.XLOOKUP($D3000,Insumos!$B$1:$B$996,Insumos!$D$1:$D$996),"")</f>
        <v/>
      </c>
      <c r="H3000" s="92" t="n">
        <v>1.62456</v>
      </c>
      <c r="I3000" s="2162" t="n">
        <v>0</v>
      </c>
      <c r="J3000" s="2162" t="n">
        <v>0</v>
      </c>
      <c r="K3000" s="2162" t="n"/>
    </row>
    <row r="3001" outlineLevel="3" ht="15.75" customHeight="1">
      <c r="A3001" s="10" t="n">
        <v>62</v>
      </c>
      <c r="B3001" s="10" t="inlineStr">
        <is>
          <t>Insumo</t>
        </is>
      </c>
      <c r="C3001" s="10" t="inlineStr">
        <is>
          <t>Contrapiso comum em argamassa estabilizada, nao aderido, espessura 7cm</t>
        </is>
      </c>
      <c r="D3001" s="10" t="inlineStr">
        <is>
          <t>Cimento Portland Composto CP II-32</t>
        </is>
      </c>
      <c r="E3001" s="11">
        <f t="array" ref="E3001">_xlfn.XLOOKUP(D3001,Insumos!B:B,Insumos!C:$C)</f>
        <v/>
      </c>
      <c r="F3001" s="14">
        <f>(0.5*0.8)/0.2</f>
        <v/>
      </c>
      <c r="G3001" s="92">
        <f t="array" ref="G3001">IF(B3001="insumo",_xlfn.XLOOKUP($D3001,Insumos!$B$1:$B$996,Insumos!$D$1:$D$996),"")</f>
        <v/>
      </c>
      <c r="H3001" s="92" t="n">
        <v>1.52</v>
      </c>
      <c r="I3001" s="2162" t="n">
        <v>0</v>
      </c>
      <c r="J3001" s="2162" t="n">
        <v>0</v>
      </c>
      <c r="K3001" s="2162" t="n"/>
    </row>
    <row r="3002" outlineLevel="2" ht="15.75" customHeight="1">
      <c r="A3002" s="1067" t="n">
        <v>1</v>
      </c>
      <c r="B3002" s="1067" t="inlineStr">
        <is>
          <t>Serviço</t>
        </is>
      </c>
      <c r="C3002" s="1067" t="inlineStr">
        <is>
          <t>Contrapiso comum em argamassa estabilizada, nao aderido, espessura 8cm</t>
        </is>
      </c>
      <c r="D3002" s="1067" t="inlineStr">
        <is>
          <t>Contrapiso comum em argamassa estabilizada, nao aderido, espessura 8cm</t>
        </is>
      </c>
      <c r="E3002" s="1068" t="inlineStr">
        <is>
          <t>M2</t>
        </is>
      </c>
      <c r="F3002" s="1067" t="n"/>
      <c r="G3002" s="1069">
        <f t="array" ref="G3002">IF(B3002="insumo",_xlfn.XLOOKUP($D3002,Insumos!$B$1:$B$996,Insumos!$D$1:$D$996),"")</f>
        <v/>
      </c>
      <c r="H3002" s="1069" t="n">
        <v>51.54456</v>
      </c>
      <c r="I3002" s="2161" t="n">
        <v>0</v>
      </c>
      <c r="J3002" s="2161" t="n">
        <v>0</v>
      </c>
      <c r="K3002" s="2161" t="n"/>
    </row>
    <row r="3003" outlineLevel="3" ht="15.75" customHeight="1">
      <c r="A3003" s="10" t="n">
        <v>32</v>
      </c>
      <c r="B3003" s="10" t="inlineStr">
        <is>
          <t>Insumo</t>
        </is>
      </c>
      <c r="C3003" s="10" t="inlineStr">
        <is>
          <t>Contrapiso comum em argamassa estabilizada, nao aderido, espessura 8cm</t>
        </is>
      </c>
      <c r="D3003" s="10" t="inlineStr">
        <is>
          <t>Argamassa usninada para contrapiso</t>
        </is>
      </c>
      <c r="E3003" s="11">
        <f t="array" ref="E3003">_xlfn.XLOOKUP(D3003,Insumos!B:B,Insumos!C:$C)</f>
        <v/>
      </c>
      <c r="F3003" s="14">
        <f>0.08*1.1</f>
        <v/>
      </c>
      <c r="G3003" s="92">
        <f t="array" ref="G3003">IF(B3003="insumo",_xlfn.XLOOKUP($D3003,Insumos!$B$1:$B$996,Insumos!$D$1:$D$996),"")</f>
        <v/>
      </c>
      <c r="H3003" s="92" t="n">
        <v>48.4</v>
      </c>
      <c r="I3003" s="2162" t="n">
        <v>0</v>
      </c>
      <c r="J3003" s="2162" t="n">
        <v>0</v>
      </c>
      <c r="K3003" s="2162" t="n"/>
    </row>
    <row r="3004" outlineLevel="3" ht="15.75" customHeight="1">
      <c r="A3004" s="10" t="n">
        <v>41</v>
      </c>
      <c r="B3004" s="10" t="inlineStr">
        <is>
          <t>Insumo</t>
        </is>
      </c>
      <c r="C3004" s="10" t="inlineStr">
        <is>
          <t>Contrapiso comum em argamassa estabilizada, nao aderido, espessura 8cm</t>
        </is>
      </c>
      <c r="D3004" s="10" t="inlineStr">
        <is>
          <t>Aditivo Adesivo Liquido Para Argamassas De Revestimentos Cimenticios</t>
        </is>
      </c>
      <c r="E3004" s="11">
        <f t="array" ref="E3004">_xlfn.XLOOKUP(D3004,Insumos!B:B,Insumos!C:$C)</f>
        <v/>
      </c>
      <c r="F3004" s="14">
        <f>(0.021*0.8)/0.2</f>
        <v/>
      </c>
      <c r="G3004" s="92">
        <f t="array" ref="G3004">IF(B3004="insumo",_xlfn.XLOOKUP($D3004,Insumos!$B$1:$B$996,Insumos!$D$1:$D$996),"")</f>
        <v/>
      </c>
      <c r="H3004" s="92" t="n">
        <v>1.62456</v>
      </c>
      <c r="I3004" s="2162" t="n">
        <v>0</v>
      </c>
      <c r="J3004" s="2162" t="n">
        <v>0</v>
      </c>
      <c r="K3004" s="2162" t="n"/>
    </row>
    <row r="3005" outlineLevel="3" ht="15.75" customHeight="1">
      <c r="A3005" s="10" t="n">
        <v>62</v>
      </c>
      <c r="B3005" s="10" t="inlineStr">
        <is>
          <t>Insumo</t>
        </is>
      </c>
      <c r="C3005" s="10" t="inlineStr">
        <is>
          <t>Contrapiso comum em argamassa estabilizada, nao aderido, espessura 8cm</t>
        </is>
      </c>
      <c r="D3005" s="10" t="inlineStr">
        <is>
          <t>Cimento Portland Composto CP II-32</t>
        </is>
      </c>
      <c r="E3005" s="11">
        <f t="array" ref="E3005">_xlfn.XLOOKUP(D3005,Insumos!B:B,Insumos!C:$C)</f>
        <v/>
      </c>
      <c r="F3005" s="14">
        <f>(0.5*0.8)/0.2</f>
        <v/>
      </c>
      <c r="G3005" s="92">
        <f t="array" ref="G3005">IF(B3005="insumo",_xlfn.XLOOKUP($D3005,Insumos!$B$1:$B$996,Insumos!$D$1:$D$996),"")</f>
        <v/>
      </c>
      <c r="H3005" s="92" t="n">
        <v>1.52</v>
      </c>
      <c r="I3005" s="2162" t="n">
        <v>0</v>
      </c>
      <c r="J3005" s="2162" t="n">
        <v>0</v>
      </c>
      <c r="K3005" s="2162" t="n"/>
    </row>
    <row r="3006" outlineLevel="2" ht="15.75" customHeight="1">
      <c r="A3006" s="1067" t="n">
        <v>1</v>
      </c>
      <c r="B3006" s="1067" t="inlineStr">
        <is>
          <t>Serviço</t>
        </is>
      </c>
      <c r="C3006" s="1067" t="inlineStr">
        <is>
          <t>Contrapiso comum em argamassa estabilizada, nao aderido, espessura 10cm</t>
        </is>
      </c>
      <c r="D3006" s="1067" t="inlineStr">
        <is>
          <t>Contrapiso comum em argamassa estabilizada, nao aderido, espessura 10cm</t>
        </is>
      </c>
      <c r="E3006" s="1068" t="inlineStr">
        <is>
          <t>M2</t>
        </is>
      </c>
      <c r="F3006" s="1067" t="n"/>
      <c r="G3006" s="1069">
        <f t="array" ref="G3006">IF(B3006="insumo",_xlfn.XLOOKUP($D3006,Insumos!$B$1:$B$996,Insumos!$D$1:$D$996),"")</f>
        <v/>
      </c>
      <c r="H3006" s="1069" t="n">
        <v>64.4307</v>
      </c>
      <c r="I3006" s="2161" t="n">
        <v>0</v>
      </c>
      <c r="J3006" s="2161" t="n">
        <v>0</v>
      </c>
      <c r="K3006" s="2161" t="n"/>
    </row>
    <row r="3007" outlineLevel="3" ht="15.75" customHeight="1">
      <c r="A3007" s="10" t="n">
        <v>32</v>
      </c>
      <c r="B3007" s="10" t="inlineStr">
        <is>
          <t>Insumo</t>
        </is>
      </c>
      <c r="C3007" s="10" t="inlineStr">
        <is>
          <t>Contrapiso comum em argamassa estabilizada, nao aderido, espessura 10cm</t>
        </is>
      </c>
      <c r="D3007" s="10" t="inlineStr">
        <is>
          <t>Argamassa usninada para contrapiso</t>
        </is>
      </c>
      <c r="E3007" s="11">
        <f t="array" ref="E3007">_xlfn.XLOOKUP(D3007,Insumos!B:B,Insumos!C:$C)</f>
        <v/>
      </c>
      <c r="F3007" s="14">
        <f>(0.022*1)/0.2</f>
        <v/>
      </c>
      <c r="G3007" s="92">
        <f t="array" ref="G3007">IF(B3007="insumo",_xlfn.XLOOKUP($D3007,Insumos!$B$1:$B$996,Insumos!$D$1:$D$996),"")</f>
        <v/>
      </c>
      <c r="H3007" s="92" t="n">
        <v>60.5</v>
      </c>
      <c r="I3007" s="2162" t="n">
        <v>0</v>
      </c>
      <c r="J3007" s="2162" t="n">
        <v>0</v>
      </c>
      <c r="K3007" s="2162" t="n"/>
    </row>
    <row r="3008" outlineLevel="3" ht="15.75" customHeight="1">
      <c r="A3008" s="10" t="n">
        <v>41</v>
      </c>
      <c r="B3008" s="10" t="inlineStr">
        <is>
          <t>Insumo</t>
        </is>
      </c>
      <c r="C3008" s="10" t="inlineStr">
        <is>
          <t>Contrapiso comum em argamassa estabilizada, nao aderido, espessura 10cm</t>
        </is>
      </c>
      <c r="D3008" s="10" t="inlineStr">
        <is>
          <t>Aditivo Adesivo Liquido Para Argamassas De Revestimentos Cimenticios</t>
        </is>
      </c>
      <c r="E3008" s="11">
        <f t="array" ref="E3008">_xlfn.XLOOKUP(D3008,Insumos!B:B,Insumos!C:$C)</f>
        <v/>
      </c>
      <c r="F3008" s="14">
        <f>(0.021*1)/0.2</f>
        <v/>
      </c>
      <c r="G3008" s="92">
        <f t="array" ref="G3008">IF(B3008="insumo",_xlfn.XLOOKUP($D3008,Insumos!$B$1:$B$996,Insumos!$D$1:$D$996),"")</f>
        <v/>
      </c>
      <c r="H3008" s="92" t="n">
        <v>2.0307</v>
      </c>
      <c r="I3008" s="2162" t="n">
        <v>0</v>
      </c>
      <c r="J3008" s="2162" t="n">
        <v>0</v>
      </c>
      <c r="K3008" s="2162" t="n"/>
    </row>
    <row r="3009" outlineLevel="3" ht="15.75" customHeight="1">
      <c r="A3009" s="10" t="n">
        <v>62</v>
      </c>
      <c r="B3009" s="10" t="inlineStr">
        <is>
          <t>Insumo</t>
        </is>
      </c>
      <c r="C3009" s="10" t="inlineStr">
        <is>
          <t>Contrapiso comum em argamassa estabilizada, nao aderido, espessura 10cm</t>
        </is>
      </c>
      <c r="D3009" s="10" t="inlineStr">
        <is>
          <t>Cimento Portland Composto CP II-32</t>
        </is>
      </c>
      <c r="E3009" s="11">
        <f t="array" ref="E3009">_xlfn.XLOOKUP(D3009,Insumos!B:B,Insumos!C:$C)</f>
        <v/>
      </c>
      <c r="F3009" s="14">
        <f>(0.5*1)/0.2</f>
        <v/>
      </c>
      <c r="G3009" s="92">
        <f t="array" ref="G3009">IF(B3009="insumo",_xlfn.XLOOKUP($D3009,Insumos!$B$1:$B$996,Insumos!$D$1:$D$996),"")</f>
        <v/>
      </c>
      <c r="H3009" s="92" t="n">
        <v>1.9</v>
      </c>
      <c r="I3009" s="2162" t="n">
        <v>0</v>
      </c>
      <c r="J3009" s="2162" t="n">
        <v>0</v>
      </c>
      <c r="K3009" s="2162" t="n"/>
    </row>
    <row r="3010" outlineLevel="2" ht="15.75" customHeight="1">
      <c r="A3010" s="1067" t="n">
        <v>1</v>
      </c>
      <c r="B3010" s="1067" t="inlineStr">
        <is>
          <t>Serviço</t>
        </is>
      </c>
      <c r="C3010" s="1067" t="inlineStr">
        <is>
          <t>Contrapiso comum em argamassa estabilizada, nao aderido, espessura 12cm</t>
        </is>
      </c>
      <c r="D3010" s="1067" t="inlineStr">
        <is>
          <t>Contrapiso comum em argamassa estabilizada, nao aderido, espessura 12cm</t>
        </is>
      </c>
      <c r="E3010" s="1068" t="inlineStr">
        <is>
          <t>M2</t>
        </is>
      </c>
      <c r="F3010" s="1067" t="n"/>
      <c r="G3010" s="1069">
        <f t="array" ref="G3010">IF(B3010="insumo",_xlfn.XLOOKUP($D3010,Insumos!$B$1:$B$996,Insumos!$D$1:$D$996),"")</f>
        <v/>
      </c>
      <c r="H3010" s="1069" t="n">
        <v>77.31684</v>
      </c>
      <c r="I3010" s="2161" t="n">
        <v>0</v>
      </c>
      <c r="J3010" s="2161" t="n">
        <v>0</v>
      </c>
      <c r="K3010" s="2161" t="n"/>
    </row>
    <row r="3011" outlineLevel="3" ht="15.75" customHeight="1">
      <c r="A3011" s="10" t="n">
        <v>32</v>
      </c>
      <c r="B3011" s="10" t="inlineStr">
        <is>
          <t>Insumo</t>
        </is>
      </c>
      <c r="C3011" s="10" t="inlineStr">
        <is>
          <t>Contrapiso comum em argamassa estabilizada, nao aderido, espessura 12cm</t>
        </is>
      </c>
      <c r="D3011" s="10" t="inlineStr">
        <is>
          <t>Argamassa usninada para contrapiso</t>
        </is>
      </c>
      <c r="E3011" s="11">
        <f t="array" ref="E3011">_xlfn.XLOOKUP(D3011,Insumos!B:B,Insumos!C:$C)</f>
        <v/>
      </c>
      <c r="F3011" s="14">
        <f>(0.022*1.2)/0.2</f>
        <v/>
      </c>
      <c r="G3011" s="92">
        <f t="array" ref="G3011">IF(B3011="insumo",_xlfn.XLOOKUP($D3011,Insumos!$B$1:$B$996,Insumos!$D$1:$D$996),"")</f>
        <v/>
      </c>
      <c r="H3011" s="92" t="n">
        <v>72.59999999999999</v>
      </c>
      <c r="I3011" s="2162" t="n">
        <v>0</v>
      </c>
      <c r="J3011" s="2162" t="n">
        <v>0</v>
      </c>
      <c r="K3011" s="2162" t="n"/>
    </row>
    <row r="3012" outlineLevel="3" ht="15.75" customHeight="1">
      <c r="A3012" s="10" t="n">
        <v>41</v>
      </c>
      <c r="B3012" s="10" t="inlineStr">
        <is>
          <t>Insumo</t>
        </is>
      </c>
      <c r="C3012" s="10" t="inlineStr">
        <is>
          <t>Contrapiso comum em argamassa estabilizada, nao aderido, espessura 12cm</t>
        </is>
      </c>
      <c r="D3012" s="10" t="inlineStr">
        <is>
          <t>Aditivo Adesivo Liquido Para Argamassas De Revestimentos Cimenticios</t>
        </is>
      </c>
      <c r="E3012" s="11">
        <f t="array" ref="E3012">_xlfn.XLOOKUP(D3012,Insumos!B:B,Insumos!C:$C)</f>
        <v/>
      </c>
      <c r="F3012" s="14">
        <f>(0.021*1.2)/0.2</f>
        <v/>
      </c>
      <c r="G3012" s="92">
        <f t="array" ref="G3012">IF(B3012="insumo",_xlfn.XLOOKUP($D3012,Insumos!$B$1:$B$996,Insumos!$D$1:$D$996),"")</f>
        <v/>
      </c>
      <c r="H3012" s="92" t="n">
        <v>2.43684</v>
      </c>
      <c r="I3012" s="2162" t="n">
        <v>0</v>
      </c>
      <c r="J3012" s="2162" t="n">
        <v>0</v>
      </c>
      <c r="K3012" s="2162" t="n"/>
    </row>
    <row r="3013" outlineLevel="3" ht="15.75" customHeight="1">
      <c r="A3013" s="10" t="n">
        <v>62</v>
      </c>
      <c r="B3013" s="10" t="inlineStr">
        <is>
          <t>Insumo</t>
        </is>
      </c>
      <c r="C3013" s="10" t="inlineStr">
        <is>
          <t>Contrapiso comum em argamassa estabilizada, nao aderido, espessura 12cm</t>
        </is>
      </c>
      <c r="D3013" s="10" t="inlineStr">
        <is>
          <t>Cimento Portland Composto CP II-32</t>
        </is>
      </c>
      <c r="E3013" s="11">
        <f t="array" ref="E3013">_xlfn.XLOOKUP(D3013,Insumos!B:B,Insumos!C:$C)</f>
        <v/>
      </c>
      <c r="F3013" s="14">
        <f>(0.5*1.2)/0.2</f>
        <v/>
      </c>
      <c r="G3013" s="92">
        <f t="array" ref="G3013">IF(B3013="insumo",_xlfn.XLOOKUP($D3013,Insumos!$B$1:$B$996,Insumos!$D$1:$D$996),"")</f>
        <v/>
      </c>
      <c r="H3013" s="92" t="n">
        <v>2.28</v>
      </c>
      <c r="I3013" s="2162" t="n">
        <v>0</v>
      </c>
      <c r="J3013" s="2162" t="n">
        <v>0</v>
      </c>
      <c r="K3013" s="2162" t="n"/>
    </row>
    <row r="3014" outlineLevel="2" ht="15.75" customHeight="1">
      <c r="A3014" s="1067" t="n">
        <v>1</v>
      </c>
      <c r="B3014" s="1067" t="inlineStr">
        <is>
          <t>Serviço</t>
        </is>
      </c>
      <c r="C3014" s="1067" t="inlineStr">
        <is>
          <t>Contrapiso comum em argamassa estabilizada, nao aderido, espessura 13cm</t>
        </is>
      </c>
      <c r="D3014" s="1067" t="inlineStr">
        <is>
          <t>Contrapiso comum em argamassa estabilizada, nao aderido, espessura 13cm</t>
        </is>
      </c>
      <c r="E3014" s="1068" t="inlineStr">
        <is>
          <t>M2</t>
        </is>
      </c>
      <c r="F3014" s="1067" t="n"/>
      <c r="G3014" s="1069">
        <f t="array" ref="G3014">IF(B3014="insumo",_xlfn.XLOOKUP($D3014,Insumos!$B$1:$B$996,Insumos!$D$1:$D$996),"")</f>
        <v/>
      </c>
      <c r="H3014" s="1069" t="n">
        <v>83.75991</v>
      </c>
      <c r="I3014" s="2161" t="n">
        <v>0</v>
      </c>
      <c r="J3014" s="2161" t="n">
        <v>0</v>
      </c>
      <c r="K3014" s="2161" t="n"/>
    </row>
    <row r="3015" outlineLevel="3" ht="15.75" customHeight="1">
      <c r="A3015" s="10" t="n">
        <v>32</v>
      </c>
      <c r="B3015" s="10" t="inlineStr">
        <is>
          <t>Insumo</t>
        </is>
      </c>
      <c r="C3015" s="10" t="inlineStr">
        <is>
          <t>Contrapiso comum em argamassa estabilizada, nao aderido, espessura 13cm</t>
        </is>
      </c>
      <c r="D3015" s="10" t="inlineStr">
        <is>
          <t>Argamassa usninada para contrapiso</t>
        </is>
      </c>
      <c r="E3015" s="11">
        <f t="array" ref="E3015">_xlfn.XLOOKUP(D3015,Insumos!B:B,Insumos!C:$C)</f>
        <v/>
      </c>
      <c r="F3015" s="14">
        <f>(0.022*1.3)/0.2</f>
        <v/>
      </c>
      <c r="G3015" s="92">
        <f t="array" ref="G3015">IF(B3015="insumo",_xlfn.XLOOKUP($D3015,Insumos!$B$1:$B$996,Insumos!$D$1:$D$996),"")</f>
        <v/>
      </c>
      <c r="H3015" s="92" t="n">
        <v>78.65000000000001</v>
      </c>
      <c r="I3015" s="2162" t="n">
        <v>0</v>
      </c>
      <c r="J3015" s="2162" t="n">
        <v>0</v>
      </c>
      <c r="K3015" s="2162" t="n"/>
    </row>
    <row r="3016" outlineLevel="3" ht="15.75" customHeight="1">
      <c r="A3016" s="10" t="n">
        <v>41</v>
      </c>
      <c r="B3016" s="10" t="inlineStr">
        <is>
          <t>Insumo</t>
        </is>
      </c>
      <c r="C3016" s="10" t="inlineStr">
        <is>
          <t>Contrapiso comum em argamassa estabilizada, nao aderido, espessura 13cm</t>
        </is>
      </c>
      <c r="D3016" s="10" t="inlineStr">
        <is>
          <t>Aditivo Adesivo Liquido Para Argamassas De Revestimentos Cimenticios</t>
        </is>
      </c>
      <c r="E3016" s="11">
        <f t="array" ref="E3016">_xlfn.XLOOKUP(D3016,Insumos!B:B,Insumos!C:$C)</f>
        <v/>
      </c>
      <c r="F3016" s="14">
        <f>(0.021*1.3)/0.2</f>
        <v/>
      </c>
      <c r="G3016" s="92">
        <f t="array" ref="G3016">IF(B3016="insumo",_xlfn.XLOOKUP($D3016,Insumos!$B$1:$B$996,Insumos!$D$1:$D$996),"")</f>
        <v/>
      </c>
      <c r="H3016" s="92" t="n">
        <v>2.63991</v>
      </c>
      <c r="I3016" s="2162" t="n">
        <v>0</v>
      </c>
      <c r="J3016" s="2162" t="n">
        <v>0</v>
      </c>
      <c r="K3016" s="2162" t="n"/>
    </row>
    <row r="3017" outlineLevel="3" ht="15.75" customHeight="1">
      <c r="A3017" s="10" t="n">
        <v>62</v>
      </c>
      <c r="B3017" s="10" t="inlineStr">
        <is>
          <t>Insumo</t>
        </is>
      </c>
      <c r="C3017" s="10" t="inlineStr">
        <is>
          <t>Contrapiso comum em argamassa estabilizada, nao aderido, espessura 13cm</t>
        </is>
      </c>
      <c r="D3017" s="10" t="inlineStr">
        <is>
          <t>Cimento Portland Composto CP II-32</t>
        </is>
      </c>
      <c r="E3017" s="11">
        <f t="array" ref="E3017">_xlfn.XLOOKUP(D3017,Insumos!B:B,Insumos!C:$C)</f>
        <v/>
      </c>
      <c r="F3017" s="14">
        <f>(0.5*1.3)/0.2</f>
        <v/>
      </c>
      <c r="G3017" s="92">
        <f t="array" ref="G3017">IF(B3017="insumo",_xlfn.XLOOKUP($D3017,Insumos!$B$1:$B$996,Insumos!$D$1:$D$996),"")</f>
        <v/>
      </c>
      <c r="H3017" s="92" t="n">
        <v>2.47</v>
      </c>
      <c r="I3017" s="2162" t="n">
        <v>0</v>
      </c>
      <c r="J3017" s="2162" t="n">
        <v>0</v>
      </c>
      <c r="K3017" s="2162" t="n"/>
    </row>
    <row r="3018" outlineLevel="2" ht="15.75" customHeight="1">
      <c r="A3018" s="1067" t="n">
        <v>1</v>
      </c>
      <c r="B3018" s="1067" t="inlineStr">
        <is>
          <t>Serviço</t>
        </is>
      </c>
      <c r="C3018" s="1067" t="inlineStr">
        <is>
          <t>Contrapiso comum em argamassa estabilizada, nao aderido, espessura 15cm</t>
        </is>
      </c>
      <c r="D3018" s="1067" t="inlineStr">
        <is>
          <t>Contrapiso comum em argamassa estabilizada, nao aderido, espessura 15cm</t>
        </is>
      </c>
      <c r="E3018" s="1068" t="inlineStr">
        <is>
          <t>M2</t>
        </is>
      </c>
      <c r="F3018" s="1067" t="n"/>
      <c r="G3018" s="1069">
        <f t="array" ref="G3018">IF(B3018="insumo",_xlfn.XLOOKUP($D3018,Insumos!$B$1:$B$996,Insumos!$D$1:$D$996),"")</f>
        <v/>
      </c>
      <c r="H3018" s="1069" t="n">
        <v>96.64605</v>
      </c>
      <c r="I3018" s="2161" t="n">
        <v>0</v>
      </c>
      <c r="J3018" s="2161" t="n">
        <v>0</v>
      </c>
      <c r="K3018" s="2161" t="n"/>
    </row>
    <row r="3019" outlineLevel="3" ht="15.75" customHeight="1">
      <c r="A3019" s="10" t="n">
        <v>32</v>
      </c>
      <c r="B3019" s="10" t="inlineStr">
        <is>
          <t>Insumo</t>
        </is>
      </c>
      <c r="C3019" s="10" t="inlineStr">
        <is>
          <t>Contrapiso comum em argamassa estabilizada, nao aderido, espessura 15cm</t>
        </is>
      </c>
      <c r="D3019" s="10" t="inlineStr">
        <is>
          <t>Argamassa usninada para contrapiso</t>
        </is>
      </c>
      <c r="E3019" s="11">
        <f t="array" ref="E3019">_xlfn.XLOOKUP(D3019,Insumos!B:B,Insumos!C:$C)</f>
        <v/>
      </c>
      <c r="F3019" s="14">
        <f>(0.022*1.5)/0.2</f>
        <v/>
      </c>
      <c r="G3019" s="92">
        <f t="array" ref="G3019">IF(B3019="insumo",_xlfn.XLOOKUP($D3019,Insumos!$B$1:$B$996,Insumos!$D$1:$D$996),"")</f>
        <v/>
      </c>
      <c r="H3019" s="92" t="n">
        <v>90.75</v>
      </c>
      <c r="I3019" s="2162" t="n">
        <v>0</v>
      </c>
      <c r="J3019" s="2162" t="n">
        <v>0</v>
      </c>
      <c r="K3019" s="2162" t="n"/>
    </row>
    <row r="3020" outlineLevel="3" ht="15.75" customHeight="1">
      <c r="A3020" s="10" t="n">
        <v>41</v>
      </c>
      <c r="B3020" s="10" t="inlineStr">
        <is>
          <t>Insumo</t>
        </is>
      </c>
      <c r="C3020" s="10" t="inlineStr">
        <is>
          <t>Contrapiso comum em argamassa estabilizada, nao aderido, espessura 15cm</t>
        </is>
      </c>
      <c r="D3020" s="10" t="inlineStr">
        <is>
          <t>Aditivo Adesivo Liquido Para Argamassas De Revestimentos Cimenticios</t>
        </is>
      </c>
      <c r="E3020" s="11">
        <f t="array" ref="E3020">_xlfn.XLOOKUP(D3020,Insumos!B:B,Insumos!C:$C)</f>
        <v/>
      </c>
      <c r="F3020" s="14">
        <f>(0.021*1.5)/0.2</f>
        <v/>
      </c>
      <c r="G3020" s="92">
        <f t="array" ref="G3020">IF(B3020="insumo",_xlfn.XLOOKUP($D3020,Insumos!$B$1:$B$996,Insumos!$D$1:$D$996),"")</f>
        <v/>
      </c>
      <c r="H3020" s="92" t="n">
        <v>3.04605</v>
      </c>
      <c r="I3020" s="2162" t="n">
        <v>0</v>
      </c>
      <c r="J3020" s="2162" t="n">
        <v>0</v>
      </c>
      <c r="K3020" s="2162" t="n"/>
    </row>
    <row r="3021" outlineLevel="3" ht="15.75" customHeight="1">
      <c r="A3021" s="10" t="n">
        <v>62</v>
      </c>
      <c r="B3021" s="10" t="inlineStr">
        <is>
          <t>Insumo</t>
        </is>
      </c>
      <c r="C3021" s="10" t="inlineStr">
        <is>
          <t>Contrapiso comum em argamassa estabilizada, nao aderido, espessura 15cm</t>
        </is>
      </c>
      <c r="D3021" s="10" t="inlineStr">
        <is>
          <t>Cimento Portland Composto CP II-32</t>
        </is>
      </c>
      <c r="E3021" s="11">
        <f t="array" ref="E3021">_xlfn.XLOOKUP(D3021,Insumos!B:B,Insumos!C:$C)</f>
        <v/>
      </c>
      <c r="F3021" s="14">
        <f>(0.5*1.5)/0.2</f>
        <v/>
      </c>
      <c r="G3021" s="92">
        <f t="array" ref="G3021">IF(B3021="insumo",_xlfn.XLOOKUP($D3021,Insumos!$B$1:$B$996,Insumos!$D$1:$D$996),"")</f>
        <v/>
      </c>
      <c r="H3021" s="92" t="n">
        <v>2.85</v>
      </c>
      <c r="I3021" s="2162" t="n">
        <v>0</v>
      </c>
      <c r="J3021" s="2162" t="n">
        <v>0</v>
      </c>
      <c r="K3021" s="2162" t="n"/>
    </row>
    <row r="3022" outlineLevel="1" ht="15.75" customHeight="1">
      <c r="A3022" s="1090" t="n">
        <v>1</v>
      </c>
      <c r="B3022" s="1090" t="inlineStr">
        <is>
          <t>Subetapa</t>
        </is>
      </c>
      <c r="C3022" s="1090" t="inlineStr">
        <is>
          <t>Contrapiso comum em argamassa estabilizada, nao aderido, espessura 15cm</t>
        </is>
      </c>
      <c r="D3022" s="1090" t="inlineStr">
        <is>
          <t>CONTRAPISO COMUM ARGAMASSA ENSACADA</t>
        </is>
      </c>
      <c r="E3022" s="1091" t="n"/>
      <c r="F3022" s="2160" t="n"/>
      <c r="G3022" s="1091" t="n"/>
      <c r="H3022" s="1091" t="n">
        <v>0</v>
      </c>
      <c r="I3022" s="2160" t="n">
        <v>0</v>
      </c>
      <c r="J3022" s="2160" t="n">
        <v>0</v>
      </c>
      <c r="K3022" s="2160" t="n"/>
    </row>
    <row r="3023" outlineLevel="2" ht="15.75" customHeight="1">
      <c r="A3023" s="1067" t="n">
        <v>1</v>
      </c>
      <c r="B3023" s="1067" t="inlineStr">
        <is>
          <t>Serviço</t>
        </is>
      </c>
      <c r="C3023" s="1067" t="inlineStr">
        <is>
          <t>Contrapiso comum em argamassa Ensacada virada em obra, espessura 5cm</t>
        </is>
      </c>
      <c r="D3023" s="1067" t="inlineStr">
        <is>
          <t>Contrapiso comum em argamassa Ensacada virada em obra, espessura 5cm</t>
        </is>
      </c>
      <c r="E3023" s="1068" t="inlineStr">
        <is>
          <t>M2</t>
        </is>
      </c>
      <c r="F3023" s="1067" t="n"/>
      <c r="G3023" s="1069">
        <f t="array" ref="G3023">IF(B3023="insumo",_xlfn.XLOOKUP($D3023,Insumos!$B$1:$B$996,Insumos!$D$1:$D$996),"")</f>
        <v/>
      </c>
      <c r="H3023" s="1069" t="n">
        <v>35.3102333333333</v>
      </c>
      <c r="I3023" s="2161" t="n">
        <v>0</v>
      </c>
      <c r="J3023" s="2161" t="n">
        <v>0</v>
      </c>
      <c r="K3023" s="2161" t="n"/>
    </row>
    <row r="3024" outlineLevel="3" ht="15.75" customHeight="1">
      <c r="A3024" s="10" t="n">
        <v>6</v>
      </c>
      <c r="B3024" s="10" t="inlineStr">
        <is>
          <t>Insumo</t>
        </is>
      </c>
      <c r="C3024" s="10" t="inlineStr">
        <is>
          <t>Contrapiso comum em argamassa Ensacada virada em obra, espessura 5cm</t>
        </is>
      </c>
      <c r="D3024" s="10" t="inlineStr">
        <is>
          <t>Argamassa ensacada para contrapiso</t>
        </is>
      </c>
      <c r="E3024" s="11">
        <f t="array" ref="E3024">_xlfn.XLOOKUP(D3024,Insumos!B:B,Insumos!C:$C)</f>
        <v/>
      </c>
      <c r="F3024" s="14">
        <f>1.7*5</f>
        <v/>
      </c>
      <c r="G3024" s="92">
        <f t="array" ref="G3024">IF(B3024="insumo",_xlfn.XLOOKUP($D3024,Insumos!$B$1:$B$996,Insumos!$D$1:$D$996),"")</f>
        <v/>
      </c>
      <c r="H3024" s="92" t="n">
        <v>34</v>
      </c>
      <c r="I3024" s="2162" t="n">
        <v>0</v>
      </c>
      <c r="J3024" s="2162" t="n">
        <v>0</v>
      </c>
      <c r="K3024" s="2162" t="n"/>
    </row>
    <row r="3025" outlineLevel="3" ht="15.75" customHeight="1">
      <c r="A3025" s="10" t="n">
        <v>41</v>
      </c>
      <c r="B3025" s="10" t="inlineStr">
        <is>
          <t>Insumo</t>
        </is>
      </c>
      <c r="C3025" s="10" t="inlineStr">
        <is>
          <t>Contrapiso comum em argamassa Ensacada virada em obra, espessura 5cm</t>
        </is>
      </c>
      <c r="D3025" s="10" t="inlineStr">
        <is>
          <t>Aditivo Adesivo Liquido Para Argamassas De Revestimentos Cimenticios</t>
        </is>
      </c>
      <c r="E3025" s="11">
        <f t="array" ref="E3025">_xlfn.XLOOKUP(D3025,Insumos!B:B,Insumos!C:$C)</f>
        <v/>
      </c>
      <c r="F3025" s="14" t="n">
        <v>0.035</v>
      </c>
      <c r="G3025" s="92">
        <f t="array" ref="G3025">IF(B3025="insumo",_xlfn.XLOOKUP($D3025,Insumos!$B$1:$B$996,Insumos!$D$1:$D$996),"")</f>
        <v/>
      </c>
      <c r="H3025" s="92" t="n">
        <v>0.6768999999999999</v>
      </c>
      <c r="I3025" s="2162" t="n">
        <v>0</v>
      </c>
      <c r="J3025" s="2162" t="n">
        <v>0</v>
      </c>
      <c r="K3025" s="2162" t="n"/>
    </row>
    <row r="3026" outlineLevel="3" ht="15.75" customHeight="1">
      <c r="A3026" s="10" t="n">
        <v>62</v>
      </c>
      <c r="B3026" s="10" t="inlineStr">
        <is>
          <t>Insumo</t>
        </is>
      </c>
      <c r="C3026" s="10" t="inlineStr">
        <is>
          <t>Contrapiso comum em argamassa Ensacada virada em obra, espessura 5cm</t>
        </is>
      </c>
      <c r="D3026" s="10" t="inlineStr">
        <is>
          <t>Cimento Portland Composto CP II-32</t>
        </is>
      </c>
      <c r="E3026" s="11">
        <f t="array" ref="E3026">_xlfn.XLOOKUP(D3026,Insumos!B:B,Insumos!C:$C)</f>
        <v/>
      </c>
      <c r="F3026" s="14" t="n">
        <v>0.8333333333333335</v>
      </c>
      <c r="G3026" s="92">
        <f t="array" ref="G3026">IF(B3026="insumo",_xlfn.XLOOKUP($D3026,Insumos!$B$1:$B$996,Insumos!$D$1:$D$996),"")</f>
        <v/>
      </c>
      <c r="H3026" s="92" t="n">
        <v>0.633333333333333</v>
      </c>
      <c r="I3026" s="2162" t="n">
        <v>0</v>
      </c>
      <c r="J3026" s="2162" t="n">
        <v>0</v>
      </c>
      <c r="K3026" s="2162" t="n"/>
    </row>
    <row r="3027" outlineLevel="2" ht="15.75" customHeight="1">
      <c r="A3027" s="1067" t="n">
        <v>1</v>
      </c>
      <c r="B3027" s="1067" t="inlineStr">
        <is>
          <t>Serviço</t>
        </is>
      </c>
      <c r="C3027" s="1067" t="inlineStr">
        <is>
          <t>Contrapiso comum em argamassa Ensacada virada em obra, espessura 8cm</t>
        </is>
      </c>
      <c r="D3027" s="1067" t="inlineStr">
        <is>
          <t>Contrapiso comum em argamassa Ensacada virada em obra, espessura 8cm</t>
        </is>
      </c>
      <c r="E3027" s="1068" t="inlineStr">
        <is>
          <t>M2</t>
        </is>
      </c>
      <c r="F3027" s="1067" t="n"/>
      <c r="G3027" s="1069">
        <f t="array" ref="G3027">IF(B3027="insumo",_xlfn.XLOOKUP($D3027,Insumos!$B$1:$B$996,Insumos!$D$1:$D$996),"")</f>
        <v/>
      </c>
      <c r="H3027" s="1069" t="n">
        <v>55.97228</v>
      </c>
      <c r="I3027" s="2161" t="n">
        <v>0</v>
      </c>
      <c r="J3027" s="2161" t="n">
        <v>0</v>
      </c>
      <c r="K3027" s="2161" t="n"/>
    </row>
    <row r="3028" outlineLevel="3" ht="15.75" customHeight="1">
      <c r="A3028" s="10" t="n">
        <v>6</v>
      </c>
      <c r="B3028" s="10" t="inlineStr">
        <is>
          <t>Insumo</t>
        </is>
      </c>
      <c r="C3028" s="10" t="inlineStr">
        <is>
          <t>Contrapiso comum em argamassa Ensacada virada em obra, espessura 8cm</t>
        </is>
      </c>
      <c r="D3028" s="10" t="inlineStr">
        <is>
          <t>Argamassa ensacada para contrapiso</t>
        </is>
      </c>
      <c r="E3028" s="11">
        <f t="array" ref="E3028">_xlfn.XLOOKUP(D3028,Insumos!B:B,Insumos!C:$C)</f>
        <v/>
      </c>
      <c r="F3028" s="14">
        <f>1.7*8</f>
        <v/>
      </c>
      <c r="G3028" s="92">
        <f t="array" ref="G3028">IF(B3028="insumo",_xlfn.XLOOKUP($D3028,Insumos!$B$1:$B$996,Insumos!$D$1:$D$996),"")</f>
        <v/>
      </c>
      <c r="H3028" s="92" t="n">
        <v>54.4</v>
      </c>
      <c r="I3028" s="2162" t="n">
        <v>0</v>
      </c>
      <c r="J3028" s="2162" t="n">
        <v>0</v>
      </c>
      <c r="K3028" s="2162" t="n"/>
    </row>
    <row r="3029" outlineLevel="3" ht="15.75" customHeight="1">
      <c r="A3029" s="10" t="n">
        <v>41</v>
      </c>
      <c r="B3029" s="10" t="inlineStr">
        <is>
          <t>Insumo</t>
        </is>
      </c>
      <c r="C3029" s="10" t="inlineStr">
        <is>
          <t>Contrapiso comum em argamassa Ensacada virada em obra, espessura 8cm</t>
        </is>
      </c>
      <c r="D3029" s="10" t="inlineStr">
        <is>
          <t>Aditivo Adesivo Liquido Para Argamassas De Revestimentos Cimenticios</t>
        </is>
      </c>
      <c r="E3029" s="11">
        <f t="array" ref="E3029">_xlfn.XLOOKUP(D3029,Insumos!B:B,Insumos!C:$C)</f>
        <v/>
      </c>
      <c r="F3029" s="14" t="n">
        <v>0.042</v>
      </c>
      <c r="G3029" s="92">
        <f t="array" ref="G3029">IF(B3029="insumo",_xlfn.XLOOKUP($D3029,Insumos!$B$1:$B$996,Insumos!$D$1:$D$996),"")</f>
        <v/>
      </c>
      <c r="H3029" s="92" t="n">
        <v>0.81228</v>
      </c>
      <c r="I3029" s="2162" t="n">
        <v>0</v>
      </c>
      <c r="J3029" s="2162" t="n">
        <v>0</v>
      </c>
      <c r="K3029" s="2162" t="n"/>
    </row>
    <row r="3030" outlineLevel="3" ht="15.75" customHeight="1">
      <c r="A3030" s="10" t="n">
        <v>62</v>
      </c>
      <c r="B3030" s="10" t="inlineStr">
        <is>
          <t>Insumo</t>
        </is>
      </c>
      <c r="C3030" s="10" t="inlineStr">
        <is>
          <t>Contrapiso comum em argamassa Ensacada virada em obra, espessura 8cm</t>
        </is>
      </c>
      <c r="D3030" s="10" t="inlineStr">
        <is>
          <t>Cimento Portland Composto CP II-32</t>
        </is>
      </c>
      <c r="E3030" s="11">
        <f t="array" ref="E3030">_xlfn.XLOOKUP(D3030,Insumos!B:B,Insumos!C:$C)</f>
        <v/>
      </c>
      <c r="F3030" s="14" t="n">
        <v>1</v>
      </c>
      <c r="G3030" s="92">
        <f t="array" ref="G3030">IF(B3030="insumo",_xlfn.XLOOKUP($D3030,Insumos!$B$1:$B$996,Insumos!$D$1:$D$996),"")</f>
        <v/>
      </c>
      <c r="H3030" s="92" t="n">
        <v>0.76</v>
      </c>
      <c r="I3030" s="2162" t="n">
        <v>0</v>
      </c>
      <c r="J3030" s="2162" t="n">
        <v>0</v>
      </c>
      <c r="K3030" s="2162" t="n"/>
    </row>
    <row r="3031" outlineLevel="2" ht="15.75" customHeight="1">
      <c r="A3031" s="1067" t="n">
        <v>1</v>
      </c>
      <c r="B3031" s="1067" t="inlineStr">
        <is>
          <t>Serviço</t>
        </is>
      </c>
      <c r="C3031" s="1067" t="inlineStr">
        <is>
          <t>Contrapiso comum em argamassa Ensacada virada em obra, espessura 10cm</t>
        </is>
      </c>
      <c r="D3031" s="1067" t="inlineStr">
        <is>
          <t>Contrapiso comum em argamassa Ensacada virada em obra, espessura 10cm</t>
        </is>
      </c>
      <c r="E3031" s="1068" t="inlineStr">
        <is>
          <t>M2</t>
        </is>
      </c>
      <c r="F3031" s="1067" t="n"/>
      <c r="G3031" s="1069">
        <f t="array" ref="G3031">IF(B3031="insumo",_xlfn.XLOOKUP($D3031,Insumos!$B$1:$B$996,Insumos!$D$1:$D$996),"")</f>
        <v/>
      </c>
      <c r="H3031" s="1069" t="n">
        <v>71.14456</v>
      </c>
      <c r="I3031" s="2161" t="n">
        <v>0</v>
      </c>
      <c r="J3031" s="2161" t="n">
        <v>0</v>
      </c>
      <c r="K3031" s="2161" t="n"/>
    </row>
    <row r="3032" outlineLevel="3" ht="15.75" customHeight="1">
      <c r="A3032" s="10" t="n">
        <v>6</v>
      </c>
      <c r="B3032" s="10" t="inlineStr">
        <is>
          <t>Insumo</t>
        </is>
      </c>
      <c r="C3032" s="10" t="inlineStr">
        <is>
          <t>Contrapiso comum em argamassa Ensacada virada em obra, espessura 10cm</t>
        </is>
      </c>
      <c r="D3032" s="10" t="inlineStr">
        <is>
          <t>Argamassa ensacada para contrapiso</t>
        </is>
      </c>
      <c r="E3032" s="11">
        <f t="array" ref="E3032">_xlfn.XLOOKUP(D3032,Insumos!B:B,Insumos!C:$C)</f>
        <v/>
      </c>
      <c r="F3032" s="14">
        <f>1.7*10</f>
        <v/>
      </c>
      <c r="G3032" s="92">
        <f t="array" ref="G3032">IF(B3032="insumo",_xlfn.XLOOKUP($D3032,Insumos!$B$1:$B$996,Insumos!$D$1:$D$996),"")</f>
        <v/>
      </c>
      <c r="H3032" s="92" t="n">
        <v>68</v>
      </c>
      <c r="I3032" s="2162" t="n">
        <v>0</v>
      </c>
      <c r="J3032" s="2162" t="n">
        <v>0</v>
      </c>
      <c r="K3032" s="2162" t="n"/>
    </row>
    <row r="3033" outlineLevel="3" ht="15.75" customHeight="1">
      <c r="A3033" s="10" t="n">
        <v>41</v>
      </c>
      <c r="B3033" s="10" t="inlineStr">
        <is>
          <t>Insumo</t>
        </is>
      </c>
      <c r="C3033" s="10" t="inlineStr">
        <is>
          <t>Contrapiso comum em argamassa Ensacada virada em obra, espessura 10cm</t>
        </is>
      </c>
      <c r="D3033" s="10" t="inlineStr">
        <is>
          <t>Aditivo Adesivo Liquido Para Argamassas De Revestimentos Cimenticios</t>
        </is>
      </c>
      <c r="E3033" s="11">
        <f t="array" ref="E3033">_xlfn.XLOOKUP(D3033,Insumos!B:B,Insumos!C:$C)</f>
        <v/>
      </c>
      <c r="F3033" s="14">
        <f>(0.021*0.8)/0.2</f>
        <v/>
      </c>
      <c r="G3033" s="92">
        <f t="array" ref="G3033">IF(B3033="insumo",_xlfn.XLOOKUP($D3033,Insumos!$B$1:$B$996,Insumos!$D$1:$D$996),"")</f>
        <v/>
      </c>
      <c r="H3033" s="92" t="n">
        <v>1.62456</v>
      </c>
      <c r="I3033" s="2162" t="n">
        <v>0</v>
      </c>
      <c r="J3033" s="2162" t="n">
        <v>0</v>
      </c>
      <c r="K3033" s="2162" t="n"/>
    </row>
    <row r="3034" outlineLevel="3" ht="15.75" customHeight="1">
      <c r="A3034" s="10" t="n">
        <v>62</v>
      </c>
      <c r="B3034" s="10" t="inlineStr">
        <is>
          <t>Insumo</t>
        </is>
      </c>
      <c r="C3034" s="10" t="inlineStr">
        <is>
          <t>Contrapiso comum em argamassa Ensacada virada em obra, espessura 10cm</t>
        </is>
      </c>
      <c r="D3034" s="10" t="inlineStr">
        <is>
          <t>Cimento Portland Composto CP II-32</t>
        </is>
      </c>
      <c r="E3034" s="11">
        <f t="array" ref="E3034">_xlfn.XLOOKUP(D3034,Insumos!B:B,Insumos!C:$C)</f>
        <v/>
      </c>
      <c r="F3034" s="14">
        <f>(0.5*0.8)/0.2</f>
        <v/>
      </c>
      <c r="G3034" s="92">
        <f t="array" ref="G3034">IF(B3034="insumo",_xlfn.XLOOKUP($D3034,Insumos!$B$1:$B$996,Insumos!$D$1:$D$996),"")</f>
        <v/>
      </c>
      <c r="H3034" s="92" t="n">
        <v>1.52</v>
      </c>
      <c r="I3034" s="2162" t="n">
        <v>0</v>
      </c>
      <c r="J3034" s="2162" t="n">
        <v>0</v>
      </c>
      <c r="K3034" s="2162" t="n"/>
    </row>
    <row r="3035" outlineLevel="2" ht="15.75" customHeight="1">
      <c r="A3035" s="1067" t="n">
        <v>1</v>
      </c>
      <c r="B3035" s="1067" t="inlineStr">
        <is>
          <t>Serviço</t>
        </is>
      </c>
      <c r="C3035" s="1067" t="inlineStr">
        <is>
          <t>Contrapiso comum em argamassa Ensacada virada em obra, espessura 12cm</t>
        </is>
      </c>
      <c r="D3035" s="1067" t="inlineStr">
        <is>
          <t>Contrapiso comum em argamassa Ensacada virada em obra, espessura 12cm</t>
        </is>
      </c>
      <c r="E3035" s="1068" t="inlineStr">
        <is>
          <t>M2</t>
        </is>
      </c>
      <c r="F3035" s="1067" t="n"/>
      <c r="G3035" s="1069">
        <f t="array" ref="G3035">IF(B3035="insumo",_xlfn.XLOOKUP($D3035,Insumos!$B$1:$B$996,Insumos!$D$1:$D$996),"")</f>
        <v/>
      </c>
      <c r="H3035" s="1069" t="n">
        <v>85.5307</v>
      </c>
      <c r="I3035" s="2161" t="n">
        <v>0</v>
      </c>
      <c r="J3035" s="2161" t="n">
        <v>0</v>
      </c>
      <c r="K3035" s="2161" t="n"/>
    </row>
    <row r="3036" outlineLevel="3" ht="15.75" customHeight="1">
      <c r="A3036" s="10" t="n">
        <v>6</v>
      </c>
      <c r="B3036" s="10" t="inlineStr">
        <is>
          <t>Insumo</t>
        </is>
      </c>
      <c r="C3036" s="10" t="inlineStr">
        <is>
          <t>Contrapiso comum em argamassa Ensacada virada em obra, espessura 12cm</t>
        </is>
      </c>
      <c r="D3036" s="10" t="inlineStr">
        <is>
          <t>Argamassa ensacada para contrapiso</t>
        </is>
      </c>
      <c r="E3036" s="11">
        <f t="array" ref="E3036">_xlfn.XLOOKUP(D3036,Insumos!B:B,Insumos!C:$C)</f>
        <v/>
      </c>
      <c r="F3036" s="14">
        <f>1.7*12</f>
        <v/>
      </c>
      <c r="G3036" s="92">
        <f t="array" ref="G3036">IF(B3036="insumo",_xlfn.XLOOKUP($D3036,Insumos!$B$1:$B$996,Insumos!$D$1:$D$996),"")</f>
        <v/>
      </c>
      <c r="H3036" s="92" t="n">
        <v>81.59999999999999</v>
      </c>
      <c r="I3036" s="2162" t="n">
        <v>0</v>
      </c>
      <c r="J3036" s="2162" t="n">
        <v>0</v>
      </c>
      <c r="K3036" s="2162" t="n"/>
    </row>
    <row r="3037" outlineLevel="3" ht="15.75" customHeight="1">
      <c r="A3037" s="10" t="n">
        <v>41</v>
      </c>
      <c r="B3037" s="10" t="inlineStr">
        <is>
          <t>Insumo</t>
        </is>
      </c>
      <c r="C3037" s="10" t="inlineStr">
        <is>
          <t>Contrapiso comum em argamassa Ensacada virada em obra, espessura 12cm</t>
        </is>
      </c>
      <c r="D3037" s="10" t="inlineStr">
        <is>
          <t>Aditivo Adesivo Liquido Para Argamassas De Revestimentos Cimenticios</t>
        </is>
      </c>
      <c r="E3037" s="11">
        <f t="array" ref="E3037">_xlfn.XLOOKUP(D3037,Insumos!B:B,Insumos!C:$C)</f>
        <v/>
      </c>
      <c r="F3037" s="14">
        <f>(0.021*1)/0.2</f>
        <v/>
      </c>
      <c r="G3037" s="92">
        <f t="array" ref="G3037">IF(B3037="insumo",_xlfn.XLOOKUP($D3037,Insumos!$B$1:$B$996,Insumos!$D$1:$D$996),"")</f>
        <v/>
      </c>
      <c r="H3037" s="92" t="n">
        <v>2.0307</v>
      </c>
      <c r="I3037" s="2162" t="n">
        <v>0</v>
      </c>
      <c r="J3037" s="2162" t="n">
        <v>0</v>
      </c>
      <c r="K3037" s="2162" t="n"/>
    </row>
    <row r="3038" outlineLevel="3" ht="15.75" customHeight="1">
      <c r="A3038" s="10" t="n">
        <v>62</v>
      </c>
      <c r="B3038" s="10" t="inlineStr">
        <is>
          <t>Insumo</t>
        </is>
      </c>
      <c r="C3038" s="10" t="inlineStr">
        <is>
          <t>Contrapiso comum em argamassa Ensacada virada em obra, espessura 12cm</t>
        </is>
      </c>
      <c r="D3038" s="10" t="inlineStr">
        <is>
          <t>Cimento Portland Composto CP II-32</t>
        </is>
      </c>
      <c r="E3038" s="11">
        <f t="array" ref="E3038">_xlfn.XLOOKUP(D3038,Insumos!B:B,Insumos!C:$C)</f>
        <v/>
      </c>
      <c r="F3038" s="14">
        <f>(0.5*1)/0.2</f>
        <v/>
      </c>
      <c r="G3038" s="92">
        <f t="array" ref="G3038">IF(B3038="insumo",_xlfn.XLOOKUP($D3038,Insumos!$B$1:$B$996,Insumos!$D$1:$D$996),"")</f>
        <v/>
      </c>
      <c r="H3038" s="92" t="n">
        <v>1.9</v>
      </c>
      <c r="I3038" s="2162" t="n">
        <v>0</v>
      </c>
      <c r="J3038" s="2162" t="n">
        <v>0</v>
      </c>
      <c r="K3038" s="2162" t="n"/>
    </row>
    <row r="3039" outlineLevel="2" ht="15.75" customHeight="1">
      <c r="A3039" s="1067" t="n">
        <v>1</v>
      </c>
      <c r="B3039" s="1067" t="inlineStr">
        <is>
          <t>Serviço</t>
        </is>
      </c>
      <c r="C3039" s="1067" t="inlineStr">
        <is>
          <t>Contrapiso comum em argamassa Ensacada virada em obra, espessura 13cm</t>
        </is>
      </c>
      <c r="D3039" s="1067" t="inlineStr">
        <is>
          <t>Contrapiso comum em argamassa Ensacada virada em obra, espessura 13cm</t>
        </is>
      </c>
      <c r="E3039" s="1068" t="inlineStr">
        <is>
          <t>M2</t>
        </is>
      </c>
      <c r="F3039" s="1067" t="n"/>
      <c r="G3039" s="1069">
        <f t="array" ref="G3039">IF(B3039="insumo",_xlfn.XLOOKUP($D3039,Insumos!$B$1:$B$996,Insumos!$D$1:$D$996),"")</f>
        <v/>
      </c>
      <c r="H3039" s="1069" t="n">
        <v>93.11684</v>
      </c>
      <c r="I3039" s="2161" t="n">
        <v>0</v>
      </c>
      <c r="J3039" s="2161" t="n">
        <v>0</v>
      </c>
      <c r="K3039" s="2161" t="n"/>
    </row>
    <row r="3040" outlineLevel="3" ht="15.75" customHeight="1">
      <c r="A3040" s="10" t="n">
        <v>6</v>
      </c>
      <c r="B3040" s="10" t="inlineStr">
        <is>
          <t>Insumo</t>
        </is>
      </c>
      <c r="C3040" s="10" t="inlineStr">
        <is>
          <t>Contrapiso comum em argamassa Ensacada virada em obra, espessura 13cm</t>
        </is>
      </c>
      <c r="D3040" s="10" t="inlineStr">
        <is>
          <t>Argamassa ensacada para contrapiso</t>
        </is>
      </c>
      <c r="E3040" s="11">
        <f t="array" ref="E3040">_xlfn.XLOOKUP(D3040,Insumos!B:B,Insumos!C:$C)</f>
        <v/>
      </c>
      <c r="F3040" s="14">
        <f>1.7*13</f>
        <v/>
      </c>
      <c r="G3040" s="92">
        <f t="array" ref="G3040">IF(B3040="insumo",_xlfn.XLOOKUP($D3040,Insumos!$B$1:$B$996,Insumos!$D$1:$D$996),"")</f>
        <v/>
      </c>
      <c r="H3040" s="92" t="n">
        <v>88.40000000000001</v>
      </c>
      <c r="I3040" s="2162" t="n">
        <v>0</v>
      </c>
      <c r="J3040" s="2162" t="n">
        <v>0</v>
      </c>
      <c r="K3040" s="2162" t="n"/>
    </row>
    <row r="3041" outlineLevel="3" ht="15.75" customHeight="1">
      <c r="A3041" s="10" t="n">
        <v>41</v>
      </c>
      <c r="B3041" s="10" t="inlineStr">
        <is>
          <t>Insumo</t>
        </is>
      </c>
      <c r="C3041" s="10" t="inlineStr">
        <is>
          <t>Contrapiso comum em argamassa Ensacada virada em obra, espessura 13cm</t>
        </is>
      </c>
      <c r="D3041" s="10" t="inlineStr">
        <is>
          <t>Aditivo Adesivo Liquido Para Argamassas De Revestimentos Cimenticios</t>
        </is>
      </c>
      <c r="E3041" s="11">
        <f t="array" ref="E3041">_xlfn.XLOOKUP(D3041,Insumos!B:B,Insumos!C:$C)</f>
        <v/>
      </c>
      <c r="F3041" s="14">
        <f>(0.021*1.2)/0.2</f>
        <v/>
      </c>
      <c r="G3041" s="92">
        <f t="array" ref="G3041">IF(B3041="insumo",_xlfn.XLOOKUP($D3041,Insumos!$B$1:$B$996,Insumos!$D$1:$D$996),"")</f>
        <v/>
      </c>
      <c r="H3041" s="92" t="n">
        <v>2.43684</v>
      </c>
      <c r="I3041" s="2162" t="n">
        <v>0</v>
      </c>
      <c r="J3041" s="2162" t="n">
        <v>0</v>
      </c>
      <c r="K3041" s="2162" t="n"/>
    </row>
    <row r="3042" outlineLevel="3" ht="15.75" customHeight="1">
      <c r="A3042" s="10" t="n">
        <v>62</v>
      </c>
      <c r="B3042" s="10" t="inlineStr">
        <is>
          <t>Insumo</t>
        </is>
      </c>
      <c r="C3042" s="10" t="inlineStr">
        <is>
          <t>Contrapiso comum em argamassa Ensacada virada em obra, espessura 13cm</t>
        </is>
      </c>
      <c r="D3042" s="10" t="inlineStr">
        <is>
          <t>Cimento Portland Composto CP II-32</t>
        </is>
      </c>
      <c r="E3042" s="11">
        <f t="array" ref="E3042">_xlfn.XLOOKUP(D3042,Insumos!B:B,Insumos!C:$C)</f>
        <v/>
      </c>
      <c r="F3042" s="14">
        <f>(0.5*1.2)/0.2</f>
        <v/>
      </c>
      <c r="G3042" s="92">
        <f t="array" ref="G3042">IF(B3042="insumo",_xlfn.XLOOKUP($D3042,Insumos!$B$1:$B$996,Insumos!$D$1:$D$996),"")</f>
        <v/>
      </c>
      <c r="H3042" s="92" t="n">
        <v>2.28</v>
      </c>
      <c r="I3042" s="2162" t="n">
        <v>0</v>
      </c>
      <c r="J3042" s="2162" t="n">
        <v>0</v>
      </c>
      <c r="K3042" s="2162" t="n"/>
    </row>
    <row r="3043" outlineLevel="2" ht="15.75" customHeight="1">
      <c r="A3043" s="1067" t="n">
        <v>1</v>
      </c>
      <c r="B3043" s="1067" t="inlineStr">
        <is>
          <t>Serviço</t>
        </is>
      </c>
      <c r="C3043" s="1067" t="inlineStr">
        <is>
          <t>Contrapiso comum em argamassa Ensacada virada em obra, espessura 15cm</t>
        </is>
      </c>
      <c r="D3043" s="1067" t="inlineStr">
        <is>
          <t>Contrapiso comum em argamassa Ensacada virada em obra, espessura 15cm</t>
        </is>
      </c>
      <c r="E3043" s="1068" t="inlineStr">
        <is>
          <t>M2</t>
        </is>
      </c>
      <c r="F3043" s="1067" t="n"/>
      <c r="G3043" s="1069">
        <f t="array" ref="G3043">IF(B3043="insumo",_xlfn.XLOOKUP($D3043,Insumos!$B$1:$B$996,Insumos!$D$1:$D$996),"")</f>
        <v/>
      </c>
      <c r="H3043" s="1069" t="n">
        <v>107.10991</v>
      </c>
      <c r="I3043" s="2161" t="n">
        <v>0</v>
      </c>
      <c r="J3043" s="2161" t="n">
        <v>0</v>
      </c>
      <c r="K3043" s="2161" t="n"/>
    </row>
    <row r="3044" outlineLevel="3" ht="15.75" customHeight="1">
      <c r="A3044" s="10" t="n">
        <v>6</v>
      </c>
      <c r="B3044" s="10" t="inlineStr">
        <is>
          <t>Insumo</t>
        </is>
      </c>
      <c r="C3044" s="10" t="inlineStr">
        <is>
          <t>Contrapiso comum em argamassa Ensacada virada em obra, espessura 15cm</t>
        </is>
      </c>
      <c r="D3044" s="10" t="inlineStr">
        <is>
          <t>Argamassa ensacada para contrapiso</t>
        </is>
      </c>
      <c r="E3044" s="11">
        <f t="array" ref="E3044">_xlfn.XLOOKUP(D3044,Insumos!B:B,Insumos!C:$C)</f>
        <v/>
      </c>
      <c r="F3044" s="14">
        <f>1.7*15</f>
        <v/>
      </c>
      <c r="G3044" s="92">
        <f t="array" ref="G3044">IF(B3044="insumo",_xlfn.XLOOKUP($D3044,Insumos!$B$1:$B$996,Insumos!$D$1:$D$996),"")</f>
        <v/>
      </c>
      <c r="H3044" s="92" t="n">
        <v>102</v>
      </c>
      <c r="I3044" s="2162" t="n">
        <v>0</v>
      </c>
      <c r="J3044" s="2162" t="n">
        <v>0</v>
      </c>
      <c r="K3044" s="2162" t="n"/>
    </row>
    <row r="3045" outlineLevel="3" ht="15.75" customHeight="1">
      <c r="A3045" s="10" t="n">
        <v>41</v>
      </c>
      <c r="B3045" s="10" t="inlineStr">
        <is>
          <t>Insumo</t>
        </is>
      </c>
      <c r="C3045" s="10" t="inlineStr">
        <is>
          <t>Contrapiso comum em argamassa Ensacada virada em obra, espessura 15cm</t>
        </is>
      </c>
      <c r="D3045" s="10" t="inlineStr">
        <is>
          <t>Aditivo Adesivo Liquido Para Argamassas De Revestimentos Cimenticios</t>
        </is>
      </c>
      <c r="E3045" s="11">
        <f t="array" ref="E3045">_xlfn.XLOOKUP(D3045,Insumos!B:B,Insumos!C:$C)</f>
        <v/>
      </c>
      <c r="F3045" s="14">
        <f>(0.021*1.3)/0.2</f>
        <v/>
      </c>
      <c r="G3045" s="92">
        <f t="array" ref="G3045">IF(B3045="insumo",_xlfn.XLOOKUP($D3045,Insumos!$B$1:$B$996,Insumos!$D$1:$D$996),"")</f>
        <v/>
      </c>
      <c r="H3045" s="92" t="n">
        <v>2.63991</v>
      </c>
      <c r="I3045" s="2162" t="n">
        <v>0</v>
      </c>
      <c r="J3045" s="2162" t="n">
        <v>0</v>
      </c>
      <c r="K3045" s="2162" t="n"/>
    </row>
    <row r="3046" outlineLevel="3" ht="15.75" customHeight="1">
      <c r="A3046" s="10" t="n">
        <v>62</v>
      </c>
      <c r="B3046" s="10" t="inlineStr">
        <is>
          <t>Insumo</t>
        </is>
      </c>
      <c r="C3046" s="10" t="inlineStr">
        <is>
          <t>Contrapiso comum em argamassa Ensacada virada em obra, espessura 15cm</t>
        </is>
      </c>
      <c r="D3046" s="10" t="inlineStr">
        <is>
          <t>Cimento Portland Composto CP II-32</t>
        </is>
      </c>
      <c r="E3046" s="11">
        <f t="array" ref="E3046">_xlfn.XLOOKUP(D3046,Insumos!B:B,Insumos!C:$C)</f>
        <v/>
      </c>
      <c r="F3046" s="14">
        <f>(0.5*1.3)/0.2</f>
        <v/>
      </c>
      <c r="G3046" s="92">
        <f t="array" ref="G3046">IF(B3046="insumo",_xlfn.XLOOKUP($D3046,Insumos!$B$1:$B$996,Insumos!$D$1:$D$996),"")</f>
        <v/>
      </c>
      <c r="H3046" s="92" t="n">
        <v>2.47</v>
      </c>
      <c r="I3046" s="2162" t="n">
        <v>0</v>
      </c>
      <c r="J3046" s="2162" t="n">
        <v>0</v>
      </c>
      <c r="K3046" s="2162" t="n"/>
    </row>
    <row r="3047" outlineLevel="1" ht="15.75" customHeight="1">
      <c r="A3047" s="1090" t="n">
        <v>1</v>
      </c>
      <c r="B3047" s="1090" t="inlineStr">
        <is>
          <t>Subetapa</t>
        </is>
      </c>
      <c r="C3047" s="1090" t="inlineStr">
        <is>
          <t>Contrapiso comum em argamassa Ensacada virada em obra, espessura 15cm</t>
        </is>
      </c>
      <c r="D3047" s="1090" t="inlineStr">
        <is>
          <t>ACUSTICCA</t>
        </is>
      </c>
      <c r="E3047" s="1091" t="n"/>
      <c r="F3047" s="2160" t="n"/>
      <c r="G3047" s="1091" t="n"/>
      <c r="H3047" s="1091" t="n">
        <v>0</v>
      </c>
      <c r="I3047" s="2160" t="n">
        <v>0</v>
      </c>
      <c r="J3047" s="2160" t="n">
        <v>0</v>
      </c>
      <c r="K3047" s="2160" t="n"/>
    </row>
    <row r="3048" outlineLevel="2" ht="15.75" customHeight="1">
      <c r="A3048" s="1067" t="n">
        <v>1</v>
      </c>
      <c r="B3048" s="1067" t="inlineStr">
        <is>
          <t>Serviço</t>
        </is>
      </c>
      <c r="C3048" s="1067" t="inlineStr">
        <is>
          <t>Acústica para Contrapiso com malha de aço</t>
        </is>
      </c>
      <c r="D3048" s="1067" t="inlineStr">
        <is>
          <t>Acústica para Contrapiso com malha de aço</t>
        </is>
      </c>
      <c r="E3048" s="1068" t="inlineStr">
        <is>
          <t>M2</t>
        </is>
      </c>
      <c r="F3048" s="1067" t="n"/>
      <c r="G3048" s="1069">
        <f t="array" ref="G3048">IF(B3048="insumo",_xlfn.XLOOKUP($D3048,Insumos!$B$1:$B$996,Insumos!$D$1:$D$996),"")</f>
        <v/>
      </c>
      <c r="H3048" s="1069" t="n">
        <v>26.58521</v>
      </c>
      <c r="I3048" s="2161" t="n">
        <v>0</v>
      </c>
      <c r="J3048" s="2161" t="n">
        <v>0</v>
      </c>
      <c r="K3048" s="2161" t="n"/>
    </row>
    <row r="3049" outlineLevel="3" ht="15.75" customHeight="1">
      <c r="A3049" s="10" t="n">
        <v>1</v>
      </c>
      <c r="B3049" s="10" t="inlineStr">
        <is>
          <t>Insumo</t>
        </is>
      </c>
      <c r="C3049" s="10" t="inlineStr">
        <is>
          <t>Acústica para Contrapiso com malha de aço</t>
        </is>
      </c>
      <c r="D3049" s="10" t="inlineStr">
        <is>
          <t>Manta De Polietileno Expandido (Pebd), E = 2 Mm</t>
        </is>
      </c>
      <c r="E3049" s="11">
        <f t="array" ref="E3049">_xlfn.XLOOKUP(D3049,Insumos!B:B,Insumos!C:$C)</f>
        <v/>
      </c>
      <c r="F3049" s="14" t="n">
        <v>1.435</v>
      </c>
      <c r="G3049" s="92">
        <f t="array" ref="G3049">IF(B3049="insumo",_xlfn.XLOOKUP($D3049,Insumos!$B$1:$B$996,Insumos!$D$1:$D$996),"")</f>
        <v/>
      </c>
      <c r="H3049" s="92" t="n">
        <v>10.2746</v>
      </c>
      <c r="I3049" s="2162" t="n">
        <v>0</v>
      </c>
      <c r="J3049" s="2162" t="n">
        <v>0</v>
      </c>
      <c r="K3049" s="2162" t="n"/>
    </row>
    <row r="3050" outlineLevel="3" ht="15.75" customHeight="1">
      <c r="A3050" s="10" t="n">
        <v>3</v>
      </c>
      <c r="B3050" s="10" t="inlineStr">
        <is>
          <t>Insumo</t>
        </is>
      </c>
      <c r="C3050" s="10" t="inlineStr">
        <is>
          <t>Acústica para Contrapiso com malha de aço</t>
        </is>
      </c>
      <c r="D3050" s="10" t="inlineStr">
        <is>
          <t>Tela de arame galvanizada, hexagonal, fio 0,56 mm (24 bwg), malha 1/2", h = 1 m</t>
        </is>
      </c>
      <c r="E3050" s="11">
        <f t="array" ref="E3050">_xlfn.XLOOKUP(D3050,Insumos!B:B,Insumos!C:$C)</f>
        <v/>
      </c>
      <c r="F3050" s="14" t="n">
        <v>1.143</v>
      </c>
      <c r="G3050" s="92">
        <f t="array" ref="G3050">IF(B3050="insumo",_xlfn.XLOOKUP($D3050,Insumos!$B$1:$B$996,Insumos!$D$1:$D$996),"")</f>
        <v/>
      </c>
      <c r="H3050" s="92" t="n">
        <v>16.31061</v>
      </c>
      <c r="I3050" s="2162" t="n">
        <v>0</v>
      </c>
      <c r="J3050" s="2162" t="n">
        <v>0</v>
      </c>
      <c r="K3050" s="2162" t="n"/>
    </row>
    <row r="3051" outlineLevel="2" ht="15.75" customHeight="1">
      <c r="A3051" s="1067" t="n">
        <v>1</v>
      </c>
      <c r="B3051" s="1067" t="inlineStr">
        <is>
          <t>Serviço</t>
        </is>
      </c>
      <c r="C3051" s="1067" t="inlineStr">
        <is>
          <t>Acústica para Contrapiso com malha de aço e manta polipropileno</t>
        </is>
      </c>
      <c r="D3051" s="1067" t="inlineStr">
        <is>
          <t>Acústica para Contrapiso com malha de aço e manta polipropileno</t>
        </is>
      </c>
      <c r="E3051" s="1068" t="inlineStr">
        <is>
          <t>M2</t>
        </is>
      </c>
      <c r="F3051" s="1067" t="n"/>
      <c r="G3051" s="1069">
        <f t="array" ref="G3051">IF(B3051="insumo",_xlfn.XLOOKUP($D3051,Insumos!$B$1:$B$996,Insumos!$D$1:$D$996),"")</f>
        <v/>
      </c>
      <c r="H3051" s="1069" t="n">
        <v>49.9217211111111</v>
      </c>
      <c r="I3051" s="2161" t="n">
        <v>5725.7</v>
      </c>
      <c r="J3051" s="2161" t="n">
        <v>285836.798565889</v>
      </c>
      <c r="K3051" s="2161" t="n"/>
    </row>
    <row r="3052" outlineLevel="3" ht="15.75" customHeight="1">
      <c r="A3052" s="10" t="n">
        <v>2</v>
      </c>
      <c r="B3052" s="10" t="inlineStr">
        <is>
          <t>Insumo</t>
        </is>
      </c>
      <c r="C3052" s="10" t="inlineStr">
        <is>
          <t>Acústica para Contrapiso com malha de aço e manta polipropileno</t>
        </is>
      </c>
      <c r="D3052" s="10" t="inlineStr">
        <is>
          <t>Manta De Polipropileno, E = 10 Mm</t>
        </is>
      </c>
      <c r="E3052" s="11">
        <f t="array" ref="E3052">_xlfn.XLOOKUP(D3052,Insumos!B:B,Insumos!C:$C)</f>
        <v/>
      </c>
      <c r="F3052" s="14" t="n">
        <v>1.1</v>
      </c>
      <c r="G3052" s="92">
        <f t="array" ref="G3052">IF(B3052="insumo",_xlfn.XLOOKUP($D3052,Insumos!$B$1:$B$996,Insumos!$D$1:$D$996),"")</f>
        <v/>
      </c>
      <c r="H3052" s="92" t="n">
        <v>33.6111111111111</v>
      </c>
      <c r="I3052" s="2162" t="n">
        <v>5725.7</v>
      </c>
      <c r="J3052" s="2162" t="n">
        <v>192447.138888889</v>
      </c>
      <c r="K3052" s="2162" t="n"/>
    </row>
    <row r="3053" outlineLevel="3" ht="15.75" customHeight="1">
      <c r="A3053" s="10" t="n">
        <v>3</v>
      </c>
      <c r="B3053" s="10" t="inlineStr">
        <is>
          <t>Insumo</t>
        </is>
      </c>
      <c r="C3053" s="10" t="inlineStr">
        <is>
          <t>Acústica para Contrapiso com malha de aço e manta polipropileno</t>
        </is>
      </c>
      <c r="D3053" s="10" t="inlineStr">
        <is>
          <t>Tela de arame galvanizada, hexagonal, fio 0,56 mm (24 bwg), malha 1/2", h = 1 m</t>
        </is>
      </c>
      <c r="E3053" s="11">
        <f t="array" ref="E3053">_xlfn.XLOOKUP(D3053,Insumos!B:B,Insumos!C:$C)</f>
        <v/>
      </c>
      <c r="F3053" s="14" t="n">
        <v>1.143</v>
      </c>
      <c r="G3053" s="92">
        <f t="array" ref="G3053">IF(B3053="insumo",_xlfn.XLOOKUP($D3053,Insumos!$B$1:$B$996,Insumos!$D$1:$D$996),"")</f>
        <v/>
      </c>
      <c r="H3053" s="92" t="n">
        <v>16.31061</v>
      </c>
      <c r="I3053" s="2162" t="n">
        <v>5725.7</v>
      </c>
      <c r="J3053" s="2162" t="n">
        <v>93389.659677</v>
      </c>
      <c r="K3053" s="2162" t="n"/>
    </row>
    <row r="3054" outlineLevel="2" ht="15.75" customHeight="1">
      <c r="A3054" s="1067" t="n">
        <v>1</v>
      </c>
      <c r="B3054" s="1067" t="inlineStr">
        <is>
          <t>Serviço</t>
        </is>
      </c>
      <c r="C3054" s="1067" t="inlineStr">
        <is>
          <t>Acústica para Contrapiso anti-impacto</t>
        </is>
      </c>
      <c r="D3054" s="1067" t="inlineStr">
        <is>
          <t>Acústica para Contrapiso anti-impacto</t>
        </is>
      </c>
      <c r="E3054" s="1068" t="inlineStr">
        <is>
          <t>M2</t>
        </is>
      </c>
      <c r="F3054" s="1067" t="n"/>
      <c r="G3054" s="1069">
        <f t="array" ref="G3054">IF(B3054="insumo",_xlfn.XLOOKUP($D3054,Insumos!$B$1:$B$996,Insumos!$D$1:$D$996),"")</f>
        <v/>
      </c>
      <c r="H3054" s="1069" t="n">
        <v>38.1183833333333</v>
      </c>
      <c r="I3054" s="2161" t="n">
        <v>0</v>
      </c>
      <c r="J3054" s="2161" t="n">
        <v>0</v>
      </c>
      <c r="K3054" s="2161" t="n"/>
    </row>
    <row r="3055" outlineLevel="3" ht="15.75" customHeight="1">
      <c r="A3055" s="10" t="n">
        <v>1</v>
      </c>
      <c r="B3055" s="10" t="inlineStr">
        <is>
          <t>Insumo</t>
        </is>
      </c>
      <c r="C3055" s="10" t="inlineStr">
        <is>
          <t>Acústica para Contrapiso anti-impacto</t>
        </is>
      </c>
      <c r="D3055" s="10" t="inlineStr">
        <is>
          <t>Manta Isolamento Acústico Laje Piso Passo 8mm</t>
        </is>
      </c>
      <c r="E3055" s="11">
        <f t="array" ref="E3055">_xlfn.XLOOKUP(D3055,Insumos!B:B,Insumos!C:$C)</f>
        <v/>
      </c>
      <c r="F3055" s="14" t="n">
        <v>1.435</v>
      </c>
      <c r="G3055" s="92">
        <f t="array" ref="G3055">IF(B3055="insumo",_xlfn.XLOOKUP($D3055,Insumos!$B$1:$B$996,Insumos!$D$1:$D$996),"")</f>
        <v/>
      </c>
      <c r="H3055" s="92" t="n">
        <v>38.1183833333333</v>
      </c>
      <c r="I3055" s="2162" t="n">
        <v>0</v>
      </c>
      <c r="J3055" s="2162" t="n">
        <v>0</v>
      </c>
      <c r="K3055" s="2162" t="n"/>
    </row>
    <row r="3056" outlineLevel="2" ht="12.75" customHeight="1">
      <c r="A3056" s="1071" t="n">
        <v>1</v>
      </c>
      <c r="B3056" s="1071" t="inlineStr">
        <is>
          <t>Serviço</t>
        </is>
      </c>
      <c r="C3056" s="1071" t="inlineStr">
        <is>
          <t>Manta acústica “SoundSoft Ondulada” da Aubicon esp. 17/8mm”</t>
        </is>
      </c>
      <c r="D3056" s="1071" t="inlineStr">
        <is>
          <t>Manta acústica “SoundSoft Ondulada” da Aubicon esp. 17/8mm”</t>
        </is>
      </c>
      <c r="E3056" s="1072" t="inlineStr">
        <is>
          <t>M2</t>
        </is>
      </c>
      <c r="F3056" s="1071" t="n"/>
      <c r="G3056" s="1073">
        <f t="array" ref="G3056">IF(B3056="insumo",_xlfn.XLOOKUP($D3056,Insumos!$B$1:$B$996,Insumos!$D$1:$D$996),"")</f>
        <v/>
      </c>
      <c r="H3056" s="1073" t="n">
        <v>143</v>
      </c>
      <c r="I3056" s="2163" t="n">
        <v>0</v>
      </c>
      <c r="J3056" s="2163" t="n">
        <v>0</v>
      </c>
      <c r="K3056" s="2163" t="n"/>
    </row>
    <row r="3057" outlineLevel="3" ht="12.75" customHeight="1">
      <c r="A3057" s="82" t="n">
        <v>1</v>
      </c>
      <c r="B3057" s="82" t="inlineStr">
        <is>
          <t>Insumo</t>
        </is>
      </c>
      <c r="C3057" s="82" t="inlineStr">
        <is>
          <t>Manta acústica “SoundSoft Ondulada” da Aubicon esp. 17/8mm”</t>
        </is>
      </c>
      <c r="D3057" s="82" t="inlineStr">
        <is>
          <t>Manta acústica “SoundSoft Ondulada” da Aubicon esp. 17/8mm”</t>
        </is>
      </c>
      <c r="E3057" s="11">
        <f t="array" ref="E3057">_xlfn.XLOOKUP(D3057,Insumos!B:B,Insumos!C:$C)</f>
        <v/>
      </c>
      <c r="F3057" s="2164" t="n">
        <v>1.1</v>
      </c>
      <c r="G3057" s="92">
        <f t="array" ref="G3057">IF(B3057="insumo",_xlfn.XLOOKUP($D3057,Insumos!$B$1:$B$996,Insumos!$D$1:$D$996),"")</f>
        <v/>
      </c>
      <c r="H3057" s="92" t="n">
        <v>143</v>
      </c>
      <c r="I3057" s="2165" t="n">
        <v>0</v>
      </c>
      <c r="J3057" s="2165" t="n">
        <v>0</v>
      </c>
      <c r="K3057" s="2165" t="n"/>
    </row>
    <row r="3058" outlineLevel="2" ht="12.75" customHeight="1">
      <c r="A3058" s="1071" t="n">
        <v>1</v>
      </c>
      <c r="B3058" s="1071" t="inlineStr">
        <is>
          <t>Serviço</t>
        </is>
      </c>
      <c r="C3058" s="1071" t="inlineStr">
        <is>
          <t>manta acústica Ebios de fibras de polipropileno esp. 10mm</t>
        </is>
      </c>
      <c r="D3058" s="1071" t="inlineStr">
        <is>
          <t>manta acústica Ebios de fibras de polipropileno esp. 10mm</t>
        </is>
      </c>
      <c r="E3058" s="1072" t="inlineStr">
        <is>
          <t>M2</t>
        </is>
      </c>
      <c r="F3058" s="1071" t="n"/>
      <c r="G3058" s="1073">
        <f t="array" ref="G3058">IF(B3058="insumo",_xlfn.XLOOKUP($D3058,Insumos!$B$1:$B$996,Insumos!$D$1:$D$996),"")</f>
        <v/>
      </c>
      <c r="H3058" s="1073" t="n">
        <v>33.6111111111111</v>
      </c>
      <c r="I3058" s="2163" t="n">
        <v>0</v>
      </c>
      <c r="J3058" s="2163" t="n">
        <v>0</v>
      </c>
      <c r="K3058" s="2163" t="n"/>
    </row>
    <row r="3059" outlineLevel="3" ht="12.75" customHeight="1">
      <c r="A3059" s="82" t="n">
        <v>2</v>
      </c>
      <c r="B3059" s="82" t="inlineStr">
        <is>
          <t>Insumo</t>
        </is>
      </c>
      <c r="C3059" s="82" t="inlineStr">
        <is>
          <t>manta acústica Ebios de fibras de polipropileno esp. 10mm</t>
        </is>
      </c>
      <c r="D3059" s="82" t="inlineStr">
        <is>
          <t>Manta De Polipropileno, E = 10 Mm</t>
        </is>
      </c>
      <c r="E3059" s="11">
        <f t="array" ref="E3059">_xlfn.XLOOKUP(D3059,Insumos!B:B,Insumos!C:$C)</f>
        <v/>
      </c>
      <c r="F3059" s="2164" t="n">
        <v>1.1</v>
      </c>
      <c r="G3059" s="92">
        <f t="array" ref="G3059">IF(B3059="insumo",_xlfn.XLOOKUP($D3059,Insumos!$B$1:$B$996,Insumos!$D$1:$D$996),"")</f>
        <v/>
      </c>
      <c r="H3059" s="92" t="n">
        <v>33.6111111111111</v>
      </c>
      <c r="I3059" s="2165" t="n">
        <v>0</v>
      </c>
      <c r="J3059" s="2165" t="n">
        <v>0</v>
      </c>
      <c r="K3059" s="2165" t="n"/>
    </row>
    <row r="3060" outlineLevel="2" ht="12.75" customHeight="1">
      <c r="A3060" s="1071" t="n">
        <v>1</v>
      </c>
      <c r="B3060" s="1071" t="inlineStr">
        <is>
          <t>Serviço</t>
        </is>
      </c>
      <c r="C3060" s="1071" t="inlineStr">
        <is>
          <t>Manta acústica “SoundSoft laje zero” da Aubicon com polimero acrilico aderido da Baucryl</t>
        </is>
      </c>
      <c r="D3060" s="1071" t="inlineStr">
        <is>
          <t>Manta acústica “SoundSoft laje zero” da Aubicon com polimero acrilico aderido da Baucryl</t>
        </is>
      </c>
      <c r="E3060" s="1072" t="inlineStr">
        <is>
          <t>M2</t>
        </is>
      </c>
      <c r="F3060" s="1071" t="n"/>
      <c r="G3060" s="1073">
        <f t="array" ref="G3060">IF(B3060="insumo",_xlfn.XLOOKUP($D3060,Insumos!$B$1:$B$996,Insumos!$D$1:$D$996),"")</f>
        <v/>
      </c>
      <c r="H3060" s="1073" t="n">
        <v>242</v>
      </c>
      <c r="I3060" s="2163" t="n">
        <v>0</v>
      </c>
      <c r="J3060" s="2163" t="n">
        <v>0</v>
      </c>
      <c r="K3060" s="2163" t="n"/>
    </row>
    <row r="3061" outlineLevel="3" ht="12.75" customHeight="1">
      <c r="A3061" s="82" t="n">
        <v>1</v>
      </c>
      <c r="B3061" s="82" t="inlineStr">
        <is>
          <t>Insumo</t>
        </is>
      </c>
      <c r="C3061" s="82" t="inlineStr">
        <is>
          <t>Manta acústica “SoundSoft laje zero” da Aubicon com polimero acrilico aderido da Baucryl</t>
        </is>
      </c>
      <c r="D3061" s="82" t="inlineStr">
        <is>
          <t>Manta acústica “SoundSoft laje zero” da Aubicon com polimero acrilico aderido da Baucryl</t>
        </is>
      </c>
      <c r="E3061" s="11">
        <f t="array" ref="E3061">_xlfn.XLOOKUP(D3061,Insumos!B:B,Insumos!C:$C)</f>
        <v/>
      </c>
      <c r="F3061" s="2164" t="n">
        <v>1.1</v>
      </c>
      <c r="G3061" s="92">
        <f t="array" ref="G3061">IF(B3061="insumo",_xlfn.XLOOKUP($D3061,Insumos!$B$1:$B$996,Insumos!$D$1:$D$996),"")</f>
        <v/>
      </c>
      <c r="H3061" s="92" t="n">
        <v>242</v>
      </c>
      <c r="I3061" s="2165" t="n">
        <v>0</v>
      </c>
      <c r="J3061" s="2165" t="n">
        <v>0</v>
      </c>
      <c r="K3061" s="2165" t="n"/>
    </row>
    <row r="3062" outlineLevel="2" ht="12.75" customHeight="1">
      <c r="A3062" s="1071" t="n">
        <v>1</v>
      </c>
      <c r="B3062" s="1071" t="inlineStr">
        <is>
          <t>Serviço</t>
        </is>
      </c>
      <c r="C3062" s="1071" t="inlineStr">
        <is>
          <t>Tratamento acustico da sylomer da getzner esp. 50mm</t>
        </is>
      </c>
      <c r="D3062" s="1071" t="inlineStr">
        <is>
          <t>Tratamento acustico da sylomer da getzner esp. 50mm</t>
        </is>
      </c>
      <c r="E3062" s="1072" t="inlineStr">
        <is>
          <t>M2</t>
        </is>
      </c>
      <c r="F3062" s="1071" t="n"/>
      <c r="G3062" s="1073">
        <f t="array" ref="G3062">IF(B3062="insumo",_xlfn.XLOOKUP($D3062,Insumos!$B$1:$B$996,Insumos!$D$1:$D$996),"")</f>
        <v/>
      </c>
      <c r="H3062" s="1073" t="n">
        <v>1320</v>
      </c>
      <c r="I3062" s="2163" t="n">
        <v>0</v>
      </c>
      <c r="J3062" s="2163" t="n">
        <v>0</v>
      </c>
      <c r="K3062" s="2163" t="n"/>
    </row>
    <row r="3063" outlineLevel="3" ht="12.75" customHeight="1">
      <c r="A3063" s="82" t="n">
        <v>1</v>
      </c>
      <c r="B3063" s="82" t="inlineStr">
        <is>
          <t>Insumo</t>
        </is>
      </c>
      <c r="C3063" s="82" t="inlineStr">
        <is>
          <t>Tratamento acustico da sylomer da getzner esp. 50mm</t>
        </is>
      </c>
      <c r="D3063" s="82" t="inlineStr">
        <is>
          <t>Tratamento acustico da sylomer da getzner esp. 50mm</t>
        </is>
      </c>
      <c r="E3063" s="11">
        <f t="array" ref="E3063">_xlfn.XLOOKUP(D3063,Insumos!B:B,Insumos!C:$C)</f>
        <v/>
      </c>
      <c r="F3063" s="2164" t="n">
        <v>1.1</v>
      </c>
      <c r="G3063" s="92">
        <f t="array" ref="G3063">IF(B3063="insumo",_xlfn.XLOOKUP($D3063,Insumos!$B$1:$B$996,Insumos!$D$1:$D$996),"")</f>
        <v/>
      </c>
      <c r="H3063" s="92" t="n">
        <v>1320</v>
      </c>
      <c r="I3063" s="2165" t="n">
        <v>0</v>
      </c>
      <c r="J3063" s="2165" t="n">
        <v>0</v>
      </c>
      <c r="K3063" s="2165" t="n"/>
    </row>
    <row r="3064" outlineLevel="1" ht="15.75" customHeight="1">
      <c r="A3064" s="1090" t="n">
        <v>1</v>
      </c>
      <c r="B3064" s="1090" t="inlineStr">
        <is>
          <t>Subetapa</t>
        </is>
      </c>
      <c r="C3064" s="1090" t="inlineStr">
        <is>
          <t>Tratamento acustico da sylomer da getzner esp. 50mm</t>
        </is>
      </c>
      <c r="D3064" s="1090" t="inlineStr">
        <is>
          <t>REGULARIZAÇÃO</t>
        </is>
      </c>
      <c r="E3064" s="1091" t="n"/>
      <c r="F3064" s="2160" t="n"/>
      <c r="G3064" s="1091" t="n"/>
      <c r="H3064" s="1091" t="n">
        <v>0</v>
      </c>
      <c r="I3064" s="2160" t="n">
        <v>0</v>
      </c>
      <c r="J3064" s="2160" t="n">
        <v>0</v>
      </c>
      <c r="K3064" s="2160" t="n"/>
    </row>
    <row r="3065" outlineLevel="2" ht="15.75" customHeight="1">
      <c r="A3065" s="1067" t="n">
        <v>1</v>
      </c>
      <c r="B3065" s="1067" t="inlineStr">
        <is>
          <t>Serviço</t>
        </is>
      </c>
      <c r="C3065" s="1067" t="inlineStr">
        <is>
          <t>Regularização de Piso 0,50cm - Autonivelado</t>
        </is>
      </c>
      <c r="D3065" s="1067" t="inlineStr">
        <is>
          <t>Regularização de Piso 0,50cm - Autonivelado</t>
        </is>
      </c>
      <c r="E3065" s="1068" t="inlineStr">
        <is>
          <t>M2</t>
        </is>
      </c>
      <c r="F3065" s="1067" t="n"/>
      <c r="G3065" s="1069">
        <f t="array" ref="G3065">IF(B3065="insumo",_xlfn.XLOOKUP($D3065,Insumos!$B$1:$B$996,Insumos!$D$1:$D$996),"")</f>
        <v/>
      </c>
      <c r="H3065" s="1069" t="n">
        <v>12.44269</v>
      </c>
      <c r="I3065" s="2161" t="n">
        <v>0</v>
      </c>
      <c r="J3065" s="2161" t="n">
        <v>0</v>
      </c>
      <c r="K3065" s="2161" t="n"/>
    </row>
    <row r="3066" outlineLevel="3" ht="15.75" customHeight="1">
      <c r="A3066" s="10" t="n">
        <v>32</v>
      </c>
      <c r="B3066" s="10" t="inlineStr">
        <is>
          <t>Insumo</t>
        </is>
      </c>
      <c r="C3066" s="10" t="inlineStr">
        <is>
          <t>Regularização de Piso 0,50cm - Autonivelado</t>
        </is>
      </c>
      <c r="D3066" s="10" t="inlineStr">
        <is>
          <t>Argamassa usninada para contrapiso</t>
        </is>
      </c>
      <c r="E3066" s="11">
        <f t="array" ref="E3066">_xlfn.XLOOKUP(D3066,Insumos!B:B,Insumos!C:$C)</f>
        <v/>
      </c>
      <c r="F3066" s="14" t="n">
        <v>0.005500000000000001</v>
      </c>
      <c r="G3066" s="92">
        <f t="array" ref="G3066">IF(B3066="insumo",_xlfn.XLOOKUP($D3066,Insumos!$B$1:$B$996,Insumos!$D$1:$D$996),"")</f>
        <v/>
      </c>
      <c r="H3066" s="92" t="n">
        <v>3.025</v>
      </c>
      <c r="I3066" s="2162" t="n">
        <v>0</v>
      </c>
      <c r="J3066" s="2162" t="n">
        <v>0</v>
      </c>
      <c r="K3066" s="2162" t="n"/>
    </row>
    <row r="3067" outlineLevel="3" ht="15.75" customHeight="1">
      <c r="A3067" s="10" t="n">
        <v>41</v>
      </c>
      <c r="B3067" s="10" t="inlineStr">
        <is>
          <t>Insumo</t>
        </is>
      </c>
      <c r="C3067" s="10" t="inlineStr">
        <is>
          <t>Regularização de Piso 0,50cm - Autonivelado</t>
        </is>
      </c>
      <c r="D3067" s="10" t="inlineStr">
        <is>
          <t>Aditivo Adesivo Liquido Para Argamassas De Revestimentos Cimenticios</t>
        </is>
      </c>
      <c r="E3067" s="11">
        <f t="array" ref="E3067">_xlfn.XLOOKUP(D3067,Insumos!B:B,Insumos!C:$C)</f>
        <v/>
      </c>
      <c r="F3067" s="14" t="n">
        <v>0.003500000000000001</v>
      </c>
      <c r="G3067" s="92">
        <f t="array" ref="G3067">IF(B3067="insumo",_xlfn.XLOOKUP($D3067,Insumos!$B$1:$B$996,Insumos!$D$1:$D$996),"")</f>
        <v/>
      </c>
      <c r="H3067" s="92" t="n">
        <v>0.06769</v>
      </c>
      <c r="I3067" s="2162" t="n">
        <v>0</v>
      </c>
      <c r="J3067" s="2162" t="n">
        <v>0</v>
      </c>
      <c r="K3067" s="2162" t="n"/>
    </row>
    <row r="3068" outlineLevel="3" ht="15.75" customHeight="1">
      <c r="A3068" s="10" t="n">
        <v>8</v>
      </c>
      <c r="B3068" s="10" t="inlineStr">
        <is>
          <t>Insumo</t>
        </is>
      </c>
      <c r="C3068" s="10" t="inlineStr">
        <is>
          <t>Regularização de Piso 0,50cm - Autonivelado</t>
        </is>
      </c>
      <c r="D3068" s="10" t="inlineStr">
        <is>
          <t xml:space="preserve">Cimento Autonivelante para Contrapiso </t>
        </is>
      </c>
      <c r="E3068" s="11">
        <f t="array" ref="E3068">_xlfn.XLOOKUP(D3068,Insumos!B:B,Insumos!C:$C)</f>
        <v/>
      </c>
      <c r="F3068" s="14" t="n">
        <v>2.2</v>
      </c>
      <c r="G3068" s="92">
        <f t="array" ref="G3068">IF(B3068="insumo",_xlfn.XLOOKUP($D3068,Insumos!$B$1:$B$996,Insumos!$D$1:$D$996),"")</f>
        <v/>
      </c>
      <c r="H3068" s="92" t="n">
        <v>9.35</v>
      </c>
      <c r="I3068" s="2162" t="n">
        <v>0</v>
      </c>
      <c r="J3068" s="2162" t="n">
        <v>0</v>
      </c>
      <c r="K3068" s="2162" t="n"/>
    </row>
    <row r="3069" outlineLevel="2" ht="15.75" customHeight="1">
      <c r="A3069" s="1067" t="n">
        <v>1</v>
      </c>
      <c r="B3069" s="1067" t="inlineStr">
        <is>
          <t>Serviço</t>
        </is>
      </c>
      <c r="C3069" s="1067" t="inlineStr">
        <is>
          <t xml:space="preserve">Regularização de Piso 0,50 cm </t>
        </is>
      </c>
      <c r="D3069" s="1067" t="inlineStr">
        <is>
          <t xml:space="preserve">Regularização de Piso 0,50 cm </t>
        </is>
      </c>
      <c r="E3069" s="1068" t="inlineStr">
        <is>
          <t>M2</t>
        </is>
      </c>
      <c r="F3069" s="1067" t="n"/>
      <c r="G3069" s="1069">
        <f t="array" ref="G3069">IF(B3069="insumo",_xlfn.XLOOKUP($D3069,Insumos!$B$1:$B$996,Insumos!$D$1:$D$996),"")</f>
        <v/>
      </c>
      <c r="H3069" s="1069" t="n">
        <v>3.15602333333333</v>
      </c>
      <c r="I3069" s="2161" t="n">
        <v>0</v>
      </c>
      <c r="J3069" s="2161" t="n">
        <v>0</v>
      </c>
      <c r="K3069" s="2161" t="n"/>
    </row>
    <row r="3070" outlineLevel="3" ht="15.75" customHeight="1">
      <c r="A3070" s="10" t="n">
        <v>32</v>
      </c>
      <c r="B3070" s="10" t="inlineStr">
        <is>
          <t>Insumo</t>
        </is>
      </c>
      <c r="C3070" s="10" t="inlineStr">
        <is>
          <t xml:space="preserve">Regularização de Piso 0,50 cm </t>
        </is>
      </c>
      <c r="D3070" s="10" t="inlineStr">
        <is>
          <t>Argamassa usninada para contrapiso</t>
        </is>
      </c>
      <c r="E3070" s="11">
        <f t="array" ref="E3070">_xlfn.XLOOKUP(D3070,Insumos!B:B,Insumos!C:$C)</f>
        <v/>
      </c>
      <c r="F3070" s="14" t="n">
        <v>0.005500000000000001</v>
      </c>
      <c r="G3070" s="92">
        <f t="array" ref="G3070">IF(B3070="insumo",_xlfn.XLOOKUP($D3070,Insumos!$B$1:$B$996,Insumos!$D$1:$D$996),"")</f>
        <v/>
      </c>
      <c r="H3070" s="92" t="n">
        <v>3.025</v>
      </c>
      <c r="I3070" s="2162" t="n">
        <v>0</v>
      </c>
      <c r="J3070" s="2162" t="n">
        <v>0</v>
      </c>
      <c r="K3070" s="2162" t="n"/>
    </row>
    <row r="3071" outlineLevel="3" ht="15.75" customHeight="1">
      <c r="A3071" s="10" t="n">
        <v>41</v>
      </c>
      <c r="B3071" s="10" t="inlineStr">
        <is>
          <t>Insumo</t>
        </is>
      </c>
      <c r="C3071" s="10" t="inlineStr">
        <is>
          <t xml:space="preserve">Regularização de Piso 0,50 cm </t>
        </is>
      </c>
      <c r="D3071" s="10" t="inlineStr">
        <is>
          <t>Aditivo Adesivo Liquido Para Argamassas De Revestimentos Cimenticios</t>
        </is>
      </c>
      <c r="E3071" s="11">
        <f t="array" ref="E3071">_xlfn.XLOOKUP(D3071,Insumos!B:B,Insumos!C:$C)</f>
        <v/>
      </c>
      <c r="F3071" s="14" t="n">
        <v>0.003500000000000001</v>
      </c>
      <c r="G3071" s="92">
        <f t="array" ref="G3071">IF(B3071="insumo",_xlfn.XLOOKUP($D3071,Insumos!$B$1:$B$996,Insumos!$D$1:$D$996),"")</f>
        <v/>
      </c>
      <c r="H3071" s="92" t="n">
        <v>0.06769</v>
      </c>
      <c r="I3071" s="2162" t="n">
        <v>0</v>
      </c>
      <c r="J3071" s="2162" t="n">
        <v>0</v>
      </c>
      <c r="K3071" s="2162" t="n"/>
    </row>
    <row r="3072" outlineLevel="3" ht="15.75" customHeight="1">
      <c r="A3072" s="10" t="n">
        <v>62</v>
      </c>
      <c r="B3072" s="10" t="inlineStr">
        <is>
          <t>Insumo</t>
        </is>
      </c>
      <c r="C3072" s="10" t="inlineStr">
        <is>
          <t xml:space="preserve">Regularização de Piso 0,50 cm </t>
        </is>
      </c>
      <c r="D3072" s="10" t="inlineStr">
        <is>
          <t>Cimento Portland Composto CP II-32</t>
        </is>
      </c>
      <c r="E3072" s="11">
        <f t="array" ref="E3072">_xlfn.XLOOKUP(D3072,Insumos!B:B,Insumos!C:$C)</f>
        <v/>
      </c>
      <c r="F3072" s="14" t="n">
        <v>0.08333333333333334</v>
      </c>
      <c r="G3072" s="92">
        <f t="array" ref="G3072">IF(B3072="insumo",_xlfn.XLOOKUP($D3072,Insumos!$B$1:$B$996,Insumos!$D$1:$D$996),"")</f>
        <v/>
      </c>
      <c r="H3072" s="92" t="n">
        <v>0.0633333333333333</v>
      </c>
      <c r="I3072" s="2162" t="n">
        <v>0</v>
      </c>
      <c r="J3072" s="2162" t="n">
        <v>0</v>
      </c>
      <c r="K3072" s="2162" t="n"/>
    </row>
    <row r="3073" outlineLevel="2" ht="15.75" customHeight="1">
      <c r="A3073" s="1067" t="n">
        <v>1</v>
      </c>
      <c r="B3073" s="1067" t="inlineStr">
        <is>
          <t>Serviço</t>
        </is>
      </c>
      <c r="C3073" s="1067" t="inlineStr">
        <is>
          <t xml:space="preserve">Regularização de Piso 1,00 cm </t>
        </is>
      </c>
      <c r="D3073" s="1067" t="inlineStr">
        <is>
          <t xml:space="preserve">Regularização de Piso 1,00 cm </t>
        </is>
      </c>
      <c r="E3073" s="1068" t="inlineStr">
        <is>
          <t>M2</t>
        </is>
      </c>
      <c r="F3073" s="1067" t="n"/>
      <c r="G3073" s="1069">
        <f t="array" ref="G3073">IF(B3073="insumo",_xlfn.XLOOKUP($D3073,Insumos!$B$1:$B$996,Insumos!$D$1:$D$996),"")</f>
        <v/>
      </c>
      <c r="H3073" s="1069" t="n">
        <v>6.31204666666667</v>
      </c>
      <c r="I3073" s="2161" t="n">
        <v>0</v>
      </c>
      <c r="J3073" s="2161" t="n">
        <v>0</v>
      </c>
      <c r="K3073" s="2161" t="n"/>
    </row>
    <row r="3074" outlineLevel="3" ht="15.75" customHeight="1">
      <c r="A3074" s="10" t="n">
        <v>32</v>
      </c>
      <c r="B3074" s="10" t="inlineStr">
        <is>
          <t>Insumo</t>
        </is>
      </c>
      <c r="C3074" s="10" t="inlineStr">
        <is>
          <t xml:space="preserve">Regularização de Piso 1,00 cm </t>
        </is>
      </c>
      <c r="D3074" s="10" t="inlineStr">
        <is>
          <t>Argamassa usninada para contrapiso</t>
        </is>
      </c>
      <c r="E3074" s="11">
        <f t="array" ref="E3074">_xlfn.XLOOKUP(D3074,Insumos!B:B,Insumos!C:$C)</f>
        <v/>
      </c>
      <c r="F3074" s="14" t="n">
        <v>0.011</v>
      </c>
      <c r="G3074" s="92">
        <f t="array" ref="G3074">IF(B3074="insumo",_xlfn.XLOOKUP($D3074,Insumos!$B$1:$B$996,Insumos!$D$1:$D$996),"")</f>
        <v/>
      </c>
      <c r="H3074" s="92" t="n">
        <v>6.05</v>
      </c>
      <c r="I3074" s="2162" t="n">
        <v>0</v>
      </c>
      <c r="J3074" s="2162" t="n">
        <v>0</v>
      </c>
      <c r="K3074" s="2162" t="n"/>
    </row>
    <row r="3075" outlineLevel="3" ht="15.75" customHeight="1">
      <c r="A3075" s="10" t="n">
        <v>41</v>
      </c>
      <c r="B3075" s="10" t="inlineStr">
        <is>
          <t>Insumo</t>
        </is>
      </c>
      <c r="C3075" s="10" t="inlineStr">
        <is>
          <t xml:space="preserve">Regularização de Piso 1,00 cm </t>
        </is>
      </c>
      <c r="D3075" s="10" t="inlineStr">
        <is>
          <t>Aditivo Adesivo Liquido Para Argamassas De Revestimentos Cimenticios</t>
        </is>
      </c>
      <c r="E3075" s="11">
        <f t="array" ref="E3075">_xlfn.XLOOKUP(D3075,Insumos!B:B,Insumos!C:$C)</f>
        <v/>
      </c>
      <c r="F3075" s="14" t="n">
        <v>0.007000000000000001</v>
      </c>
      <c r="G3075" s="92">
        <f t="array" ref="G3075">IF(B3075="insumo",_xlfn.XLOOKUP($D3075,Insumos!$B$1:$B$996,Insumos!$D$1:$D$996),"")</f>
        <v/>
      </c>
      <c r="H3075" s="92" t="n">
        <v>0.13538</v>
      </c>
      <c r="I3075" s="2162" t="n">
        <v>0</v>
      </c>
      <c r="J3075" s="2162" t="n">
        <v>0</v>
      </c>
      <c r="K3075" s="2162" t="n"/>
    </row>
    <row r="3076" outlineLevel="3" ht="15.75" customHeight="1">
      <c r="A3076" s="10" t="n">
        <v>62</v>
      </c>
      <c r="B3076" s="10" t="inlineStr">
        <is>
          <t>Insumo</t>
        </is>
      </c>
      <c r="C3076" s="10" t="inlineStr">
        <is>
          <t xml:space="preserve">Regularização de Piso 1,00 cm </t>
        </is>
      </c>
      <c r="D3076" s="10" t="inlineStr">
        <is>
          <t>Cimento Portland Composto CP II-32</t>
        </is>
      </c>
      <c r="E3076" s="11">
        <f t="array" ref="E3076">_xlfn.XLOOKUP(D3076,Insumos!B:B,Insumos!C:$C)</f>
        <v/>
      </c>
      <c r="F3076" s="14" t="n">
        <v>0.1666666666666667</v>
      </c>
      <c r="G3076" s="92">
        <f t="array" ref="G3076">IF(B3076="insumo",_xlfn.XLOOKUP($D3076,Insumos!$B$1:$B$996,Insumos!$D$1:$D$996),"")</f>
        <v/>
      </c>
      <c r="H3076" s="92" t="n">
        <v>0.126666666666667</v>
      </c>
      <c r="I3076" s="2162" t="n">
        <v>0</v>
      </c>
      <c r="J3076" s="2162" t="n">
        <v>0</v>
      </c>
      <c r="K3076" s="2162" t="n"/>
    </row>
    <row r="3077" outlineLevel="2" ht="15.75" customHeight="1">
      <c r="A3077" s="1067" t="n">
        <v>1</v>
      </c>
      <c r="B3077" s="1067" t="inlineStr">
        <is>
          <t>Serviço</t>
        </is>
      </c>
      <c r="C3077" s="1067" t="inlineStr">
        <is>
          <t xml:space="preserve">Regularização de Piso 1,50 cm </t>
        </is>
      </c>
      <c r="D3077" s="1067" t="inlineStr">
        <is>
          <t xml:space="preserve">Regularização de Piso 1,50 cm </t>
        </is>
      </c>
      <c r="E3077" s="1068" t="inlineStr">
        <is>
          <t>M2</t>
        </is>
      </c>
      <c r="F3077" s="1067" t="n"/>
      <c r="G3077" s="1069">
        <f t="array" ref="G3077">IF(B3077="insumo",_xlfn.XLOOKUP($D3077,Insumos!$B$1:$B$996,Insumos!$D$1:$D$996),"")</f>
        <v/>
      </c>
      <c r="H3077" s="1069" t="n">
        <v>9.468070000000001</v>
      </c>
      <c r="I3077" s="2161" t="n">
        <v>0</v>
      </c>
      <c r="J3077" s="2161" t="n">
        <v>0</v>
      </c>
      <c r="K3077" s="2161" t="n"/>
    </row>
    <row r="3078" outlineLevel="3" ht="15.75" customHeight="1">
      <c r="A3078" s="10" t="n">
        <v>32</v>
      </c>
      <c r="B3078" s="10" t="inlineStr">
        <is>
          <t>Insumo</t>
        </is>
      </c>
      <c r="C3078" s="10" t="inlineStr">
        <is>
          <t xml:space="preserve">Regularização de Piso 1,50 cm </t>
        </is>
      </c>
      <c r="D3078" s="10" t="inlineStr">
        <is>
          <t>Argamassa usninada para contrapiso</t>
        </is>
      </c>
      <c r="E3078" s="11">
        <f t="array" ref="E3078">_xlfn.XLOOKUP(D3078,Insumos!B:B,Insumos!C:$C)</f>
        <v/>
      </c>
      <c r="F3078" s="14" t="n">
        <v>0.0165</v>
      </c>
      <c r="G3078" s="92">
        <f t="array" ref="G3078">IF(B3078="insumo",_xlfn.XLOOKUP($D3078,Insumos!$B$1:$B$996,Insumos!$D$1:$D$996),"")</f>
        <v/>
      </c>
      <c r="H3078" s="92" t="n">
        <v>9.074999999999999</v>
      </c>
      <c r="I3078" s="2162" t="n">
        <v>0</v>
      </c>
      <c r="J3078" s="2162" t="n">
        <v>0</v>
      </c>
      <c r="K3078" s="2162" t="n"/>
    </row>
    <row r="3079" outlineLevel="3" ht="15.75" customHeight="1">
      <c r="A3079" s="10" t="n">
        <v>41</v>
      </c>
      <c r="B3079" s="10" t="inlineStr">
        <is>
          <t>Insumo</t>
        </is>
      </c>
      <c r="C3079" s="10" t="inlineStr">
        <is>
          <t xml:space="preserve">Regularização de Piso 1,50 cm </t>
        </is>
      </c>
      <c r="D3079" s="10" t="inlineStr">
        <is>
          <t>Aditivo Adesivo Liquido Para Argamassas De Revestimentos Cimenticios</t>
        </is>
      </c>
      <c r="E3079" s="11">
        <f t="array" ref="E3079">_xlfn.XLOOKUP(D3079,Insumos!B:B,Insumos!C:$C)</f>
        <v/>
      </c>
      <c r="F3079" s="14" t="n">
        <v>0.0105</v>
      </c>
      <c r="G3079" s="92">
        <f t="array" ref="G3079">IF(B3079="insumo",_xlfn.XLOOKUP($D3079,Insumos!$B$1:$B$996,Insumos!$D$1:$D$996),"")</f>
        <v/>
      </c>
      <c r="H3079" s="92" t="n">
        <v>0.20307</v>
      </c>
      <c r="I3079" s="2162" t="n">
        <v>0</v>
      </c>
      <c r="J3079" s="2162" t="n">
        <v>0</v>
      </c>
      <c r="K3079" s="2162" t="n"/>
    </row>
    <row r="3080" outlineLevel="3" ht="15.75" customHeight="1">
      <c r="A3080" s="10" t="n">
        <v>62</v>
      </c>
      <c r="B3080" s="10" t="inlineStr">
        <is>
          <t>Insumo</t>
        </is>
      </c>
      <c r="C3080" s="10" t="inlineStr">
        <is>
          <t xml:space="preserve">Regularização de Piso 1,50 cm </t>
        </is>
      </c>
      <c r="D3080" s="10" t="inlineStr">
        <is>
          <t>Cimento Portland Composto CP II-32</t>
        </is>
      </c>
      <c r="E3080" s="11">
        <f t="array" ref="E3080">_xlfn.XLOOKUP(D3080,Insumos!B:B,Insumos!C:$C)</f>
        <v/>
      </c>
      <c r="F3080" s="14" t="n">
        <v>0.25</v>
      </c>
      <c r="G3080" s="92">
        <f t="array" ref="G3080">IF(B3080="insumo",_xlfn.XLOOKUP($D3080,Insumos!$B$1:$B$996,Insumos!$D$1:$D$996),"")</f>
        <v/>
      </c>
      <c r="H3080" s="92" t="n">
        <v>0.19</v>
      </c>
      <c r="I3080" s="2162" t="n">
        <v>0</v>
      </c>
      <c r="J3080" s="2162" t="n">
        <v>0</v>
      </c>
      <c r="K3080" s="2162" t="n"/>
    </row>
    <row r="3081" outlineLevel="2" ht="15.75" customHeight="1">
      <c r="A3081" s="1067" t="n">
        <v>1</v>
      </c>
      <c r="B3081" s="1067" t="inlineStr">
        <is>
          <t>Serviço</t>
        </is>
      </c>
      <c r="C3081" s="1067" t="inlineStr">
        <is>
          <t xml:space="preserve">Regularização de Piso 2,00 cm </t>
        </is>
      </c>
      <c r="D3081" s="1067" t="inlineStr">
        <is>
          <t xml:space="preserve">Regularização de Piso 2,00 cm </t>
        </is>
      </c>
      <c r="E3081" s="1068" t="inlineStr">
        <is>
          <t>M2</t>
        </is>
      </c>
      <c r="F3081" s="1067" t="n"/>
      <c r="G3081" s="1069">
        <f t="array" ref="G3081">IF(B3081="insumo",_xlfn.XLOOKUP($D3081,Insumos!$B$1:$B$996,Insumos!$D$1:$D$996),"")</f>
        <v/>
      </c>
      <c r="H3081" s="1069" t="n">
        <v>12.6240933333333</v>
      </c>
      <c r="I3081" s="2161" t="n">
        <v>0</v>
      </c>
      <c r="J3081" s="2161" t="n">
        <v>0</v>
      </c>
      <c r="K3081" s="2161" t="n"/>
    </row>
    <row r="3082" outlineLevel="3" ht="15.75" customHeight="1">
      <c r="A3082" s="10" t="n">
        <v>32</v>
      </c>
      <c r="B3082" s="10" t="inlineStr">
        <is>
          <t>Insumo</t>
        </is>
      </c>
      <c r="C3082" s="10" t="inlineStr">
        <is>
          <t xml:space="preserve">Regularização de Piso 2,00 cm </t>
        </is>
      </c>
      <c r="D3082" s="10" t="inlineStr">
        <is>
          <t>Argamassa usninada para contrapiso</t>
        </is>
      </c>
      <c r="E3082" s="11">
        <f t="array" ref="E3082">_xlfn.XLOOKUP(D3082,Insumos!B:B,Insumos!C:$C)</f>
        <v/>
      </c>
      <c r="F3082" s="14" t="n">
        <v>0.022</v>
      </c>
      <c r="G3082" s="92">
        <f t="array" ref="G3082">IF(B3082="insumo",_xlfn.XLOOKUP($D3082,Insumos!$B$1:$B$996,Insumos!$D$1:$D$996),"")</f>
        <v/>
      </c>
      <c r="H3082" s="92" t="n">
        <v>12.1</v>
      </c>
      <c r="I3082" s="2162" t="n">
        <v>0</v>
      </c>
      <c r="J3082" s="2162" t="n">
        <v>0</v>
      </c>
      <c r="K3082" s="2162" t="n"/>
    </row>
    <row r="3083" outlineLevel="3" ht="15.75" customHeight="1">
      <c r="A3083" s="10" t="n">
        <v>41</v>
      </c>
      <c r="B3083" s="10" t="inlineStr">
        <is>
          <t>Insumo</t>
        </is>
      </c>
      <c r="C3083" s="10" t="inlineStr">
        <is>
          <t xml:space="preserve">Regularização de Piso 2,00 cm </t>
        </is>
      </c>
      <c r="D3083" s="10" t="inlineStr">
        <is>
          <t>Aditivo Adesivo Liquido Para Argamassas De Revestimentos Cimenticios</t>
        </is>
      </c>
      <c r="E3083" s="11">
        <f t="array" ref="E3083">_xlfn.XLOOKUP(D3083,Insumos!B:B,Insumos!C:$C)</f>
        <v/>
      </c>
      <c r="F3083" s="14" t="n">
        <v>0.014</v>
      </c>
      <c r="G3083" s="92">
        <f t="array" ref="G3083">IF(B3083="insumo",_xlfn.XLOOKUP($D3083,Insumos!$B$1:$B$996,Insumos!$D$1:$D$996),"")</f>
        <v/>
      </c>
      <c r="H3083" s="92" t="n">
        <v>0.27076</v>
      </c>
      <c r="I3083" s="2162" t="n">
        <v>0</v>
      </c>
      <c r="J3083" s="2162" t="n">
        <v>0</v>
      </c>
      <c r="K3083" s="2162" t="n"/>
    </row>
    <row r="3084" outlineLevel="3" ht="15.75" customHeight="1">
      <c r="A3084" s="10" t="n">
        <v>62</v>
      </c>
      <c r="B3084" s="10" t="inlineStr">
        <is>
          <t>Insumo</t>
        </is>
      </c>
      <c r="C3084" s="10" t="inlineStr">
        <is>
          <t xml:space="preserve">Regularização de Piso 2,00 cm </t>
        </is>
      </c>
      <c r="D3084" s="10" t="inlineStr">
        <is>
          <t>Cimento Portland Composto CP II-32</t>
        </is>
      </c>
      <c r="E3084" s="11">
        <f t="array" ref="E3084">_xlfn.XLOOKUP(D3084,Insumos!B:B,Insumos!C:$C)</f>
        <v/>
      </c>
      <c r="F3084" s="14" t="n">
        <v>0.3333333333333334</v>
      </c>
      <c r="G3084" s="92">
        <f t="array" ref="G3084">IF(B3084="insumo",_xlfn.XLOOKUP($D3084,Insumos!$B$1:$B$996,Insumos!$D$1:$D$996),"")</f>
        <v/>
      </c>
      <c r="H3084" s="92" t="n">
        <v>0.253333333333333</v>
      </c>
      <c r="I3084" s="2162" t="n">
        <v>0</v>
      </c>
      <c r="J3084" s="2162" t="n">
        <v>0</v>
      </c>
      <c r="K3084" s="2162" t="n"/>
    </row>
    <row r="3085" outlineLevel="2" ht="15.75" customHeight="1">
      <c r="A3085" s="1067" t="n">
        <v>1</v>
      </c>
      <c r="B3085" s="1067" t="inlineStr">
        <is>
          <t>Serviço</t>
        </is>
      </c>
      <c r="C3085" s="1067" t="inlineStr">
        <is>
          <t xml:space="preserve">Regularização de Piso 3,00 cm </t>
        </is>
      </c>
      <c r="D3085" s="1067" t="inlineStr">
        <is>
          <t xml:space="preserve">Regularização de Piso 3,00 cm </t>
        </is>
      </c>
      <c r="E3085" s="1068" t="inlineStr">
        <is>
          <t>M2</t>
        </is>
      </c>
      <c r="F3085" s="1067" t="n"/>
      <c r="G3085" s="1069">
        <f t="array" ref="G3085">IF(B3085="insumo",_xlfn.XLOOKUP($D3085,Insumos!$B$1:$B$996,Insumos!$D$1:$D$996),"")</f>
        <v/>
      </c>
      <c r="H3085" s="1069" t="n">
        <v>18.93614</v>
      </c>
      <c r="I3085" s="2161" t="n">
        <v>0</v>
      </c>
      <c r="J3085" s="2161" t="n">
        <v>0</v>
      </c>
      <c r="K3085" s="2161" t="n"/>
    </row>
    <row r="3086" outlineLevel="3" ht="15.75" customHeight="1">
      <c r="A3086" s="10" t="n">
        <v>32</v>
      </c>
      <c r="B3086" s="10" t="inlineStr">
        <is>
          <t>Insumo</t>
        </is>
      </c>
      <c r="C3086" s="10" t="inlineStr">
        <is>
          <t xml:space="preserve">Regularização de Piso 3,00 cm </t>
        </is>
      </c>
      <c r="D3086" s="10" t="inlineStr">
        <is>
          <t>Argamassa usninada para contrapiso</t>
        </is>
      </c>
      <c r="E3086" s="11">
        <f t="array" ref="E3086">_xlfn.XLOOKUP(D3086,Insumos!B:B,Insumos!C:$C)</f>
        <v/>
      </c>
      <c r="F3086" s="14" t="n">
        <v>0.033</v>
      </c>
      <c r="G3086" s="92">
        <f t="array" ref="G3086">IF(B3086="insumo",_xlfn.XLOOKUP($D3086,Insumos!$B$1:$B$996,Insumos!$D$1:$D$996),"")</f>
        <v/>
      </c>
      <c r="H3086" s="92" t="n">
        <v>18.15</v>
      </c>
      <c r="I3086" s="2162" t="n">
        <v>0</v>
      </c>
      <c r="J3086" s="2162" t="n">
        <v>0</v>
      </c>
      <c r="K3086" s="2162" t="n"/>
    </row>
    <row r="3087" outlineLevel="3" ht="15.75" customHeight="1">
      <c r="A3087" s="10" t="n">
        <v>41</v>
      </c>
      <c r="B3087" s="10" t="inlineStr">
        <is>
          <t>Insumo</t>
        </is>
      </c>
      <c r="C3087" s="10" t="inlineStr">
        <is>
          <t xml:space="preserve">Regularização de Piso 3,00 cm </t>
        </is>
      </c>
      <c r="D3087" s="10" t="inlineStr">
        <is>
          <t>Aditivo Adesivo Liquido Para Argamassas De Revestimentos Cimenticios</t>
        </is>
      </c>
      <c r="E3087" s="11">
        <f t="array" ref="E3087">_xlfn.XLOOKUP(D3087,Insumos!B:B,Insumos!C:$C)</f>
        <v/>
      </c>
      <c r="F3087" s="14">
        <f>0.007*3</f>
        <v/>
      </c>
      <c r="G3087" s="92">
        <f t="array" ref="G3087">IF(B3087="insumo",_xlfn.XLOOKUP($D3087,Insumos!$B$1:$B$996,Insumos!$D$1:$D$996),"")</f>
        <v/>
      </c>
      <c r="H3087" s="92" t="n">
        <v>0.40614</v>
      </c>
      <c r="I3087" s="2162" t="n">
        <v>0</v>
      </c>
      <c r="J3087" s="2162" t="n">
        <v>0</v>
      </c>
      <c r="K3087" s="2162" t="n"/>
    </row>
    <row r="3088" outlineLevel="3" ht="15.75" customHeight="1">
      <c r="A3088" s="10" t="n">
        <v>62</v>
      </c>
      <c r="B3088" s="10" t="inlineStr">
        <is>
          <t>Insumo</t>
        </is>
      </c>
      <c r="C3088" s="10" t="inlineStr">
        <is>
          <t xml:space="preserve">Regularização de Piso 3,00 cm </t>
        </is>
      </c>
      <c r="D3088" s="10" t="inlineStr">
        <is>
          <t>Cimento Portland Composto CP II-32</t>
        </is>
      </c>
      <c r="E3088" s="11">
        <f t="array" ref="E3088">_xlfn.XLOOKUP(D3088,Insumos!B:B,Insumos!C:$C)</f>
        <v/>
      </c>
      <c r="F3088" s="14">
        <f>0.166666666666667*3</f>
        <v/>
      </c>
      <c r="G3088" s="92">
        <f t="array" ref="G3088">IF(B3088="insumo",_xlfn.XLOOKUP($D3088,Insumos!$B$1:$B$996,Insumos!$D$1:$D$996),"")</f>
        <v/>
      </c>
      <c r="H3088" s="92" t="n">
        <v>0.380000000000001</v>
      </c>
      <c r="I3088" s="2162" t="n">
        <v>0</v>
      </c>
      <c r="J3088" s="2162" t="n">
        <v>0</v>
      </c>
      <c r="K3088" s="2162" t="n"/>
    </row>
    <row r="3089" outlineLevel="2" ht="15.75" customHeight="1">
      <c r="A3089" s="1067" t="n">
        <v>1</v>
      </c>
      <c r="B3089" s="1067" t="inlineStr">
        <is>
          <t>Serviço</t>
        </is>
      </c>
      <c r="C3089" s="1067" t="inlineStr">
        <is>
          <t xml:space="preserve">Regularização de Piso 4,00 cm </t>
        </is>
      </c>
      <c r="D3089" s="1067" t="inlineStr">
        <is>
          <t xml:space="preserve">Regularização de Piso 4,00 cm </t>
        </is>
      </c>
      <c r="E3089" s="1068" t="inlineStr">
        <is>
          <t>M2</t>
        </is>
      </c>
      <c r="F3089" s="1067" t="n"/>
      <c r="G3089" s="1069">
        <f t="array" ref="G3089">IF(B3089="insumo",_xlfn.XLOOKUP($D3089,Insumos!$B$1:$B$996,Insumos!$D$1:$D$996),"")</f>
        <v/>
      </c>
      <c r="H3089" s="1069" t="n">
        <v>24.1481866666667</v>
      </c>
      <c r="I3089" s="2161" t="n">
        <v>0</v>
      </c>
      <c r="J3089" s="2161" t="n">
        <v>0</v>
      </c>
      <c r="K3089" s="2161" t="n"/>
    </row>
    <row r="3090" outlineLevel="3" ht="15.75" customHeight="1">
      <c r="A3090" s="10" t="n">
        <v>32</v>
      </c>
      <c r="B3090" s="10" t="inlineStr">
        <is>
          <t>Insumo</t>
        </is>
      </c>
      <c r="C3090" s="10" t="inlineStr">
        <is>
          <t xml:space="preserve">Regularização de Piso 4,00 cm </t>
        </is>
      </c>
      <c r="D3090" s="10" t="inlineStr">
        <is>
          <t>Argamassa usninada para contrapiso</t>
        </is>
      </c>
      <c r="E3090" s="11">
        <f t="array" ref="E3090">_xlfn.XLOOKUP(D3090,Insumos!B:B,Insumos!C:$C)</f>
        <v/>
      </c>
      <c r="F3090" s="14">
        <f>0.04*1.05</f>
        <v/>
      </c>
      <c r="G3090" s="92">
        <f t="array" ref="G3090">IF(B3090="insumo",_xlfn.XLOOKUP($D3090,Insumos!$B$1:$B$996,Insumos!$D$1:$D$996),"")</f>
        <v/>
      </c>
      <c r="H3090" s="92" t="n">
        <v>23.1</v>
      </c>
      <c r="I3090" s="2162" t="n">
        <v>0</v>
      </c>
      <c r="J3090" s="2162" t="n">
        <v>0</v>
      </c>
      <c r="K3090" s="2162" t="n"/>
    </row>
    <row r="3091" outlineLevel="3" ht="15.75" customHeight="1">
      <c r="A3091" s="10" t="n">
        <v>41</v>
      </c>
      <c r="B3091" s="10" t="inlineStr">
        <is>
          <t>Insumo</t>
        </is>
      </c>
      <c r="C3091" s="10" t="inlineStr">
        <is>
          <t xml:space="preserve">Regularização de Piso 4,00 cm </t>
        </is>
      </c>
      <c r="D3091" s="10" t="inlineStr">
        <is>
          <t>Aditivo Adesivo Liquido Para Argamassas De Revestimentos Cimenticios</t>
        </is>
      </c>
      <c r="E3091" s="11">
        <f t="array" ref="E3091">_xlfn.XLOOKUP(D3091,Insumos!B:B,Insumos!C:$C)</f>
        <v/>
      </c>
      <c r="F3091" s="14">
        <f>0.007*4</f>
        <v/>
      </c>
      <c r="G3091" s="92">
        <f t="array" ref="G3091">IF(B3091="insumo",_xlfn.XLOOKUP($D3091,Insumos!$B$1:$B$996,Insumos!$D$1:$D$996),"")</f>
        <v/>
      </c>
      <c r="H3091" s="92" t="n">
        <v>0.54152</v>
      </c>
      <c r="I3091" s="2162" t="n">
        <v>0</v>
      </c>
      <c r="J3091" s="2162" t="n">
        <v>0</v>
      </c>
      <c r="K3091" s="2162" t="n"/>
    </row>
    <row r="3092" outlineLevel="3" ht="15.75" customHeight="1">
      <c r="A3092" s="10" t="n">
        <v>62</v>
      </c>
      <c r="B3092" s="10" t="inlineStr">
        <is>
          <t>Insumo</t>
        </is>
      </c>
      <c r="C3092" s="10" t="inlineStr">
        <is>
          <t xml:space="preserve">Regularização de Piso 4,00 cm </t>
        </is>
      </c>
      <c r="D3092" s="10" t="inlineStr">
        <is>
          <t>Cimento Portland Composto CP II-32</t>
        </is>
      </c>
      <c r="E3092" s="11">
        <f t="array" ref="E3092">_xlfn.XLOOKUP(D3092,Insumos!B:B,Insumos!C:$C)</f>
        <v/>
      </c>
      <c r="F3092" s="14">
        <f>0.166666666666667*4</f>
        <v/>
      </c>
      <c r="G3092" s="92">
        <f t="array" ref="G3092">IF(B3092="insumo",_xlfn.XLOOKUP($D3092,Insumos!$B$1:$B$996,Insumos!$D$1:$D$996),"")</f>
        <v/>
      </c>
      <c r="H3092" s="92" t="n">
        <v>0.506666666666668</v>
      </c>
      <c r="I3092" s="2162" t="n">
        <v>0</v>
      </c>
      <c r="J3092" s="2162" t="n">
        <v>0</v>
      </c>
      <c r="K3092" s="2162" t="n"/>
    </row>
    <row r="3093" outlineLevel="2" ht="15.75" customHeight="1">
      <c r="A3093" s="1067" t="n">
        <v>1</v>
      </c>
      <c r="B3093" s="1067" t="inlineStr">
        <is>
          <t>Serviço</t>
        </is>
      </c>
      <c r="C3093" s="1067" t="inlineStr">
        <is>
          <t>Regularização de Piso 5,00cm - Autonivelado</t>
        </is>
      </c>
      <c r="D3093" s="1067" t="inlineStr">
        <is>
          <t>Regularização de Piso 5,00cm - Autonivelado</t>
        </is>
      </c>
      <c r="E3093" s="1068" t="inlineStr">
        <is>
          <t>M2</t>
        </is>
      </c>
      <c r="F3093" s="1067" t="n"/>
      <c r="G3093" s="1069">
        <f t="array" ref="G3093">IF(B3093="insumo",_xlfn.XLOOKUP($D3093,Insumos!$B$1:$B$996,Insumos!$D$1:$D$996),"")</f>
        <v/>
      </c>
      <c r="H3093" s="1069" t="n">
        <v>34.4685666666667</v>
      </c>
      <c r="I3093" s="2161" t="n">
        <v>0</v>
      </c>
      <c r="J3093" s="2161" t="n">
        <v>0</v>
      </c>
      <c r="K3093" s="2161" t="n"/>
    </row>
    <row r="3094" outlineLevel="3" ht="15.75" customHeight="1">
      <c r="A3094" s="10" t="n">
        <v>32</v>
      </c>
      <c r="B3094" s="10" t="inlineStr">
        <is>
          <t>Insumo</t>
        </is>
      </c>
      <c r="C3094" s="10" t="inlineStr">
        <is>
          <t>Regularização de Piso 5,00cm - Autonivelado</t>
        </is>
      </c>
      <c r="D3094" s="10" t="inlineStr">
        <is>
          <t>Argamassa usninada para contrapiso</t>
        </is>
      </c>
      <c r="E3094" s="11">
        <f t="array" ref="E3094">_xlfn.XLOOKUP(D3094,Insumos!B:B,Insumos!C:$C)</f>
        <v/>
      </c>
      <c r="F3094" s="14">
        <f>0.011*5</f>
        <v/>
      </c>
      <c r="G3094" s="92">
        <f t="array" ref="G3094">IF(B3094="insumo",_xlfn.XLOOKUP($D3094,Insumos!$B$1:$B$996,Insumos!$D$1:$D$996),"")</f>
        <v/>
      </c>
      <c r="H3094" s="92" t="n">
        <v>30.25</v>
      </c>
      <c r="I3094" s="2162" t="n">
        <v>0</v>
      </c>
      <c r="J3094" s="2162" t="n">
        <v>0</v>
      </c>
      <c r="K3094" s="2162" t="n"/>
    </row>
    <row r="3095" outlineLevel="3" ht="15.75" customHeight="1">
      <c r="A3095" s="10" t="n">
        <v>41</v>
      </c>
      <c r="B3095" s="10" t="inlineStr">
        <is>
          <t>Insumo</t>
        </is>
      </c>
      <c r="C3095" s="10" t="inlineStr">
        <is>
          <t>Regularização de Piso 5,00cm - Autonivelado</t>
        </is>
      </c>
      <c r="D3095" s="10" t="inlineStr">
        <is>
          <t>Aditivo Adesivo Liquido Para Argamassas De Revestimentos Cimenticios</t>
        </is>
      </c>
      <c r="E3095" s="11">
        <f t="array" ref="E3095">_xlfn.XLOOKUP(D3095,Insumos!B:B,Insumos!C:$C)</f>
        <v/>
      </c>
      <c r="F3095" s="14">
        <f>5*0.007</f>
        <v/>
      </c>
      <c r="G3095" s="92">
        <f t="array" ref="G3095">IF(B3095="insumo",_xlfn.XLOOKUP($D3095,Insumos!$B$1:$B$996,Insumos!$D$1:$D$996),"")</f>
        <v/>
      </c>
      <c r="H3095" s="92" t="n">
        <v>0.6768999999999999</v>
      </c>
      <c r="I3095" s="2162" t="n">
        <v>0</v>
      </c>
      <c r="J3095" s="2162" t="n">
        <v>0</v>
      </c>
      <c r="K3095" s="2162" t="n"/>
    </row>
    <row r="3096" outlineLevel="3" ht="15.75" customHeight="1">
      <c r="A3096" s="10" t="n">
        <v>8</v>
      </c>
      <c r="B3096" s="10" t="inlineStr">
        <is>
          <t>Insumo</t>
        </is>
      </c>
      <c r="C3096" s="10" t="inlineStr">
        <is>
          <t>Regularização de Piso 5,00cm - Autonivelado</t>
        </is>
      </c>
      <c r="D3096" s="10" t="inlineStr">
        <is>
          <t xml:space="preserve">Cimento Autonivelante para Contrapiso </t>
        </is>
      </c>
      <c r="E3096" s="11">
        <f t="array" ref="E3096">_xlfn.XLOOKUP(D3096,Insumos!B:B,Insumos!C:$C)</f>
        <v/>
      </c>
      <c r="F3096" s="14">
        <f>5*0.166666666666667</f>
        <v/>
      </c>
      <c r="G3096" s="92">
        <f t="array" ref="G3096">IF(B3096="insumo",_xlfn.XLOOKUP($D3096,Insumos!$B$1:$B$996,Insumos!$D$1:$D$996),"")</f>
        <v/>
      </c>
      <c r="H3096" s="92" t="n">
        <v>3.54166666666667</v>
      </c>
      <c r="I3096" s="2162" t="n">
        <v>0</v>
      </c>
      <c r="J3096" s="2162" t="n">
        <v>0</v>
      </c>
      <c r="K3096" s="2162" t="n"/>
    </row>
    <row r="3097" outlineLevel="2" ht="12.75" customHeight="1">
      <c r="A3097" s="1071" t="n">
        <v>1</v>
      </c>
      <c r="B3097" s="1071" t="inlineStr">
        <is>
          <t>Serviço</t>
        </is>
      </c>
      <c r="C3097" s="1071" t="inlineStr">
        <is>
          <t xml:space="preserve">Regularização com argamassa, aplicação farofa, de Piso 4,00 cm </t>
        </is>
      </c>
      <c r="D3097" s="1071" t="inlineStr">
        <is>
          <t xml:space="preserve">Regularização com argamassa, aplicação farofa, de Piso 4,00 cm </t>
        </is>
      </c>
      <c r="E3097" s="1072" t="inlineStr">
        <is>
          <t>M2</t>
        </is>
      </c>
      <c r="F3097" s="1071" t="n"/>
      <c r="G3097" s="1073">
        <f t="array" ref="G3097">IF(B3097="insumo",_xlfn.XLOOKUP($D3097,Insumos!$B$1:$B$996,Insumos!$D$1:$D$996),"")</f>
        <v/>
      </c>
      <c r="H3097" s="1073" t="n">
        <v>15.0006</v>
      </c>
      <c r="I3097" s="2163" t="n">
        <v>0</v>
      </c>
      <c r="J3097" s="2163" t="n">
        <v>0</v>
      </c>
      <c r="K3097" s="2163" t="n"/>
    </row>
    <row r="3098" outlineLevel="3" ht="12.75" customHeight="1">
      <c r="A3098" s="82" t="n">
        <v>1</v>
      </c>
      <c r="B3098" s="82" t="inlineStr">
        <is>
          <t>Insumo</t>
        </is>
      </c>
      <c r="C3098" s="82" t="inlineStr">
        <is>
          <t xml:space="preserve">Regularização com argamassa, aplicação farofa, de Piso 4,00 cm </t>
        </is>
      </c>
      <c r="D3098" s="82" t="inlineStr">
        <is>
          <t>ARGAMASSA TRAÇO 1:3 (EM VOLUME DE CIMENTO E AREIA GROSSA ÚMIDA) PARA CONTRAPISO TIPO FAROFA</t>
        </is>
      </c>
      <c r="E3098" s="11">
        <f t="array" ref="E3098">_xlfn.XLOOKUP(D3098,Insumos!B:B,Insumos!C:$C)</f>
        <v/>
      </c>
      <c r="F3098" s="2164" t="n">
        <v>0.345</v>
      </c>
      <c r="G3098" s="92">
        <f t="array" ref="G3098">IF(B3098="insumo",_xlfn.XLOOKUP($D3098,Insumos!$B$1:$B$996,Insumos!$D$1:$D$996),"")</f>
        <v/>
      </c>
      <c r="H3098" s="92" t="n">
        <v>15.0006</v>
      </c>
      <c r="I3098" s="2165" t="n">
        <v>0</v>
      </c>
      <c r="J3098" s="2165" t="n">
        <v>0</v>
      </c>
      <c r="K3098" s="2165" t="n"/>
    </row>
    <row r="3099" outlineLevel="2" ht="15.75" customHeight="1">
      <c r="A3099" s="1067" t="n">
        <v>1</v>
      </c>
      <c r="B3099" s="1067" t="inlineStr">
        <is>
          <t>Serviço</t>
        </is>
      </c>
      <c r="C3099" s="1067" t="inlineStr">
        <is>
          <t xml:space="preserve">Regularização de Piso 5,00 cm </t>
        </is>
      </c>
      <c r="D3099" s="1067" t="inlineStr">
        <is>
          <t xml:space="preserve">Regularização de Piso 5,00 cm </t>
        </is>
      </c>
      <c r="E3099" s="1068" t="inlineStr">
        <is>
          <t>M2</t>
        </is>
      </c>
      <c r="F3099" s="1067" t="n"/>
      <c r="G3099" s="1069">
        <f t="array" ref="G3099">IF(B3099="insumo",_xlfn.XLOOKUP($D3099,Insumos!$B$1:$B$996,Insumos!$D$1:$D$996),"")</f>
        <v/>
      </c>
      <c r="H3099" s="1069" t="n">
        <v>30.1852333333333</v>
      </c>
      <c r="I3099" s="2161" t="e">
        <v>#REF!</v>
      </c>
      <c r="J3099" s="2161" t="e">
        <v>#REF!</v>
      </c>
      <c r="K3099" s="2161" t="n"/>
    </row>
    <row r="3100" outlineLevel="3" ht="15.75" customHeight="1">
      <c r="A3100" s="10" t="n">
        <v>32</v>
      </c>
      <c r="B3100" s="10" t="inlineStr">
        <is>
          <t>Insumo</t>
        </is>
      </c>
      <c r="C3100" s="10" t="inlineStr">
        <is>
          <t xml:space="preserve">Regularização de Piso 5,00 cm </t>
        </is>
      </c>
      <c r="D3100" s="10" t="inlineStr">
        <is>
          <t>Argamassa usninada para contrapiso</t>
        </is>
      </c>
      <c r="E3100" s="11">
        <f t="array" ref="E3100">_xlfn.XLOOKUP(D3100,Insumos!B:B,Insumos!C:$C)</f>
        <v/>
      </c>
      <c r="F3100" s="14">
        <f>0.05*1.05</f>
        <v/>
      </c>
      <c r="G3100" s="92">
        <f t="array" ref="G3100">IF(B3100="insumo",_xlfn.XLOOKUP($D3100,Insumos!$B$1:$B$996,Insumos!$D$1:$D$996),"")</f>
        <v/>
      </c>
      <c r="H3100" s="92" t="n">
        <v>28.875</v>
      </c>
      <c r="I3100" s="2162" t="e">
        <v>#REF!</v>
      </c>
      <c r="J3100" s="2162" t="e">
        <v>#REF!</v>
      </c>
      <c r="K3100" s="2162" t="n"/>
    </row>
    <row r="3101" outlineLevel="3" ht="15.75" customHeight="1">
      <c r="A3101" s="10" t="n">
        <v>41</v>
      </c>
      <c r="B3101" s="10" t="inlineStr">
        <is>
          <t>Insumo</t>
        </is>
      </c>
      <c r="C3101" s="10" t="inlineStr">
        <is>
          <t xml:space="preserve">Regularização de Piso 5,00 cm </t>
        </is>
      </c>
      <c r="D3101" s="10" t="inlineStr">
        <is>
          <t>Aditivo Adesivo Liquido Para Argamassas De Revestimentos Cimenticios</t>
        </is>
      </c>
      <c r="E3101" s="11">
        <f t="array" ref="E3101">_xlfn.XLOOKUP(D3101,Insumos!B:B,Insumos!C:$C)</f>
        <v/>
      </c>
      <c r="F3101" s="14">
        <f>0.007*5</f>
        <v/>
      </c>
      <c r="G3101" s="92">
        <f t="array" ref="G3101">IF(B3101="insumo",_xlfn.XLOOKUP($D3101,Insumos!$B$1:$B$996,Insumos!$D$1:$D$996),"")</f>
        <v/>
      </c>
      <c r="H3101" s="92" t="n">
        <v>0.6768999999999999</v>
      </c>
      <c r="I3101" s="2162" t="e">
        <v>#REF!</v>
      </c>
      <c r="J3101" s="2162" t="e">
        <v>#REF!</v>
      </c>
      <c r="K3101" s="2162" t="n"/>
    </row>
    <row r="3102" outlineLevel="3" ht="15.75" customHeight="1">
      <c r="A3102" s="10" t="n">
        <v>62</v>
      </c>
      <c r="B3102" s="10" t="inlineStr">
        <is>
          <t>Insumo</t>
        </is>
      </c>
      <c r="C3102" s="10" t="inlineStr">
        <is>
          <t xml:space="preserve">Regularização de Piso 5,00 cm </t>
        </is>
      </c>
      <c r="D3102" s="10" t="inlineStr">
        <is>
          <t>Cimento Portland Composto CP II-32</t>
        </is>
      </c>
      <c r="E3102" s="11">
        <f t="array" ref="E3102">_xlfn.XLOOKUP(D3102,Insumos!B:B,Insumos!C:$C)</f>
        <v/>
      </c>
      <c r="F3102" s="14">
        <f>0.166666666666667*5</f>
        <v/>
      </c>
      <c r="G3102" s="92">
        <f t="array" ref="G3102">IF(B3102="insumo",_xlfn.XLOOKUP($D3102,Insumos!$B$1:$B$996,Insumos!$D$1:$D$996),"")</f>
        <v/>
      </c>
      <c r="H3102" s="92" t="n">
        <v>0.633333333333335</v>
      </c>
      <c r="I3102" s="2162" t="e">
        <v>#REF!</v>
      </c>
      <c r="J3102" s="2162" t="e">
        <v>#REF!</v>
      </c>
      <c r="K3102" s="2162" t="n"/>
    </row>
    <row r="3103" outlineLevel="2" ht="15.75" customHeight="1">
      <c r="A3103" s="1067" t="n">
        <v>1</v>
      </c>
      <c r="B3103" s="1067" t="inlineStr">
        <is>
          <t>Serviço</t>
        </is>
      </c>
      <c r="C3103" s="1067" t="inlineStr">
        <is>
          <t>Regularização de Piso 3,00 cm - argila expansiva</t>
        </is>
      </c>
      <c r="D3103" s="1067" t="inlineStr">
        <is>
          <t>Regularização de Piso 3,00 cm - argila expansiva</t>
        </is>
      </c>
      <c r="E3103" s="1068" t="inlineStr">
        <is>
          <t>M2</t>
        </is>
      </c>
      <c r="F3103" s="1067" t="n"/>
      <c r="G3103" s="1069">
        <f t="array" ref="G3103">IF(B3103="insumo",_xlfn.XLOOKUP($D3103,Insumos!$B$1:$B$996,Insumos!$D$1:$D$996),"")</f>
        <v/>
      </c>
      <c r="H3103" s="1069" t="n">
        <v>23.1242</v>
      </c>
      <c r="I3103" s="2161" t="n">
        <v>0</v>
      </c>
      <c r="J3103" s="2161" t="n">
        <v>0</v>
      </c>
      <c r="K3103" s="2161" t="n"/>
    </row>
    <row r="3104" outlineLevel="3" ht="15.75" customHeight="1">
      <c r="A3104" s="10" t="n">
        <v>32</v>
      </c>
      <c r="B3104" s="10" t="inlineStr">
        <is>
          <t>Insumo</t>
        </is>
      </c>
      <c r="C3104" s="10" t="inlineStr">
        <is>
          <t>Regularização de Piso 3,00 cm - argila expansiva</t>
        </is>
      </c>
      <c r="D3104" s="10" t="inlineStr">
        <is>
          <t>Argamassa usninada para contrapiso</t>
        </is>
      </c>
      <c r="E3104" s="11">
        <f t="array" ref="E3104">_xlfn.XLOOKUP(D3104,Insumos!B:B,Insumos!C:$C)</f>
        <v/>
      </c>
      <c r="F3104" s="14" t="n">
        <v>0.033</v>
      </c>
      <c r="G3104" s="92">
        <f t="array" ref="G3104">IF(B3104="insumo",_xlfn.XLOOKUP($D3104,Insumos!$B$1:$B$996,Insumos!$D$1:$D$996),"")</f>
        <v/>
      </c>
      <c r="H3104" s="92" t="n">
        <v>18.15</v>
      </c>
      <c r="I3104" s="2162" t="n">
        <v>0</v>
      </c>
      <c r="J3104" s="2162" t="n">
        <v>0</v>
      </c>
      <c r="K3104" s="2162" t="n"/>
    </row>
    <row r="3105" outlineLevel="3" ht="15.75" customHeight="1">
      <c r="A3105" s="10" t="n">
        <v>1</v>
      </c>
      <c r="B3105" s="10" t="inlineStr">
        <is>
          <t>Insumo</t>
        </is>
      </c>
      <c r="C3105" s="10" t="inlineStr">
        <is>
          <t>Regularização de Piso 3,00 cm - argila expansiva</t>
        </is>
      </c>
      <c r="D3105" s="10" t="inlineStr">
        <is>
          <t>Argila expandida</t>
        </is>
      </c>
      <c r="E3105" s="11">
        <f t="array" ref="E3105">_xlfn.XLOOKUP(D3105,Insumos!B:B,Insumos!C:$C)</f>
        <v/>
      </c>
      <c r="F3105" s="14" t="n">
        <v>1.56</v>
      </c>
      <c r="G3105" s="92">
        <f t="array" ref="G3105">IF(B3105="insumo",_xlfn.XLOOKUP($D3105,Insumos!$B$1:$B$996,Insumos!$D$1:$D$996),"")</f>
        <v/>
      </c>
      <c r="H3105" s="92" t="n">
        <v>4.5942</v>
      </c>
      <c r="I3105" s="2162" t="n">
        <v>0</v>
      </c>
      <c r="J3105" s="2162" t="n">
        <v>0</v>
      </c>
      <c r="K3105" s="2162" t="n"/>
    </row>
    <row r="3106" outlineLevel="3" ht="15.75" customHeight="1">
      <c r="A3106" s="10" t="n">
        <v>62</v>
      </c>
      <c r="B3106" s="10" t="inlineStr">
        <is>
          <t>Insumo</t>
        </is>
      </c>
      <c r="C3106" s="10" t="inlineStr">
        <is>
          <t>Regularização de Piso 3,00 cm - argila expansiva</t>
        </is>
      </c>
      <c r="D3106" s="10" t="inlineStr">
        <is>
          <t>Cimento Portland Composto CP II-32</t>
        </is>
      </c>
      <c r="E3106" s="11">
        <f t="array" ref="E3106">_xlfn.XLOOKUP(D3106,Insumos!B:B,Insumos!C:$C)</f>
        <v/>
      </c>
      <c r="F3106" s="14" t="n">
        <v>0.5</v>
      </c>
      <c r="G3106" s="92">
        <f t="array" ref="G3106">IF(B3106="insumo",_xlfn.XLOOKUP($D3106,Insumos!$B$1:$B$996,Insumos!$D$1:$D$996),"")</f>
        <v/>
      </c>
      <c r="H3106" s="92" t="n">
        <v>0.38</v>
      </c>
      <c r="I3106" s="2162" t="n">
        <v>0</v>
      </c>
      <c r="J3106" s="2162" t="n">
        <v>0</v>
      </c>
      <c r="K3106" s="2162" t="n"/>
    </row>
    <row r="3107" outlineLevel="1" ht="15.75" customHeight="1">
      <c r="A3107" s="1090" t="n">
        <v>1</v>
      </c>
      <c r="B3107" s="1090" t="inlineStr">
        <is>
          <t>Subetapa</t>
        </is>
      </c>
      <c r="C3107" s="1090" t="inlineStr">
        <is>
          <t>Regularização de Piso 3,00 cm - argila expansiva</t>
        </is>
      </c>
      <c r="D3107" s="1090" t="inlineStr">
        <is>
          <t>CIMENTADOS</t>
        </is>
      </c>
      <c r="E3107" s="1091" t="n"/>
      <c r="F3107" s="2160" t="n"/>
      <c r="G3107" s="1091" t="n"/>
      <c r="H3107" s="1091" t="n">
        <v>0</v>
      </c>
      <c r="I3107" s="2160" t="n">
        <v>0</v>
      </c>
      <c r="J3107" s="2160" t="n">
        <v>0</v>
      </c>
      <c r="K3107" s="2160" t="n"/>
    </row>
    <row r="3108" outlineLevel="2" ht="15.75" customHeight="1">
      <c r="A3108" s="1067" t="n">
        <v>1</v>
      </c>
      <c r="B3108" s="1067" t="inlineStr">
        <is>
          <t>Serviço</t>
        </is>
      </c>
      <c r="C3108" s="1067" t="inlineStr">
        <is>
          <t>Piso cimentado com argamassa de contrapiso usinada e acabamento vassourado</t>
        </is>
      </c>
      <c r="D3108" s="1067" t="inlineStr">
        <is>
          <t>Piso cimentado com argamassa de contrapiso usinada e acabamento vassourado</t>
        </is>
      </c>
      <c r="E3108" s="1068" t="inlineStr">
        <is>
          <t>M2</t>
        </is>
      </c>
      <c r="F3108" s="1067" t="n"/>
      <c r="G3108" s="1069">
        <f t="array" ref="G3108">IF(B3108="insumo",_xlfn.XLOOKUP($D3108,Insumos!$B$1:$B$996,Insumos!$D$1:$D$996),"")</f>
        <v/>
      </c>
      <c r="H3108" s="1069" t="n">
        <v>30.7740933333333</v>
      </c>
      <c r="I3108" s="2161" t="n">
        <v>0</v>
      </c>
      <c r="J3108" s="2161" t="n">
        <v>0</v>
      </c>
      <c r="K3108" s="2161" t="n"/>
    </row>
    <row r="3109" outlineLevel="3" ht="15.75" customHeight="1">
      <c r="A3109" s="10" t="n">
        <v>32</v>
      </c>
      <c r="B3109" s="10" t="inlineStr">
        <is>
          <t>Insumo</t>
        </is>
      </c>
      <c r="C3109" s="10" t="inlineStr">
        <is>
          <t>Piso cimentado com argamassa de contrapiso usinada e acabamento vassourado</t>
        </is>
      </c>
      <c r="D3109" s="10" t="inlineStr">
        <is>
          <t>Argamassa usninada para contrapiso</t>
        </is>
      </c>
      <c r="E3109" s="11">
        <f t="array" ref="E3109">_xlfn.XLOOKUP(D3109,Insumos!B:B,Insumos!C:$C)</f>
        <v/>
      </c>
      <c r="F3109" s="14">
        <f>0.05*1.1</f>
        <v/>
      </c>
      <c r="G3109" s="92">
        <f t="array" ref="G3109">IF(B3109="insumo",_xlfn.XLOOKUP($D3109,Insumos!$B$1:$B$996,Insumos!$D$1:$D$996),"")</f>
        <v/>
      </c>
      <c r="H3109" s="92" t="n">
        <v>30.25</v>
      </c>
      <c r="I3109" s="2162" t="n">
        <v>0</v>
      </c>
      <c r="J3109" s="2162" t="n">
        <v>0</v>
      </c>
      <c r="K3109" s="2162" t="n"/>
    </row>
    <row r="3110" outlineLevel="3" ht="15.75" customHeight="1">
      <c r="A3110" s="10" t="n">
        <v>41</v>
      </c>
      <c r="B3110" s="10" t="inlineStr">
        <is>
          <t>Insumo</t>
        </is>
      </c>
      <c r="C3110" s="10" t="inlineStr">
        <is>
          <t>Piso cimentado com argamassa de contrapiso usinada e acabamento vassourado</t>
        </is>
      </c>
      <c r="D3110" s="10" t="inlineStr">
        <is>
          <t>Aditivo Adesivo Liquido Para Argamassas De Revestimentos Cimenticios</t>
        </is>
      </c>
      <c r="E3110" s="11">
        <f t="array" ref="E3110">_xlfn.XLOOKUP(D3110,Insumos!B:B,Insumos!C:$C)</f>
        <v/>
      </c>
      <c r="F3110" s="14" t="n">
        <v>0.014</v>
      </c>
      <c r="G3110" s="92">
        <f t="array" ref="G3110">IF(B3110="insumo",_xlfn.XLOOKUP($D3110,Insumos!$B$1:$B$996,Insumos!$D$1:$D$996),"")</f>
        <v/>
      </c>
      <c r="H3110" s="92" t="n">
        <v>0.27076</v>
      </c>
      <c r="I3110" s="2162" t="n">
        <v>0</v>
      </c>
      <c r="J3110" s="2162" t="n">
        <v>0</v>
      </c>
      <c r="K3110" s="2162" t="n"/>
    </row>
    <row r="3111" outlineLevel="3" ht="15.75" customHeight="1">
      <c r="A3111" s="10" t="n">
        <v>62</v>
      </c>
      <c r="B3111" s="10" t="inlineStr">
        <is>
          <t>Insumo</t>
        </is>
      </c>
      <c r="C3111" s="10" t="inlineStr">
        <is>
          <t>Piso cimentado com argamassa de contrapiso usinada e acabamento vassourado</t>
        </is>
      </c>
      <c r="D3111" s="10" t="inlineStr">
        <is>
          <t>Cimento Portland Composto CP II-32</t>
        </is>
      </c>
      <c r="E3111" s="11">
        <f t="array" ref="E3111">_xlfn.XLOOKUP(D3111,Insumos!B:B,Insumos!C:$C)</f>
        <v/>
      </c>
      <c r="F3111" s="14" t="n">
        <v>0.3333333333333334</v>
      </c>
      <c r="G3111" s="92">
        <f t="array" ref="G3111">IF(B3111="insumo",_xlfn.XLOOKUP($D3111,Insumos!$B$1:$B$996,Insumos!$D$1:$D$996),"")</f>
        <v/>
      </c>
      <c r="H3111" s="92" t="n">
        <v>0.253333333333333</v>
      </c>
      <c r="I3111" s="2162" t="n">
        <v>0</v>
      </c>
      <c r="J3111" s="2162" t="n">
        <v>0</v>
      </c>
      <c r="K3111" s="2162" t="n"/>
    </row>
    <row r="3112" outlineLevel="2" ht="15.75" customHeight="1">
      <c r="A3112" s="1067" t="n">
        <v>1</v>
      </c>
      <c r="B3112" s="1067" t="inlineStr">
        <is>
          <t>Serviço</t>
        </is>
      </c>
      <c r="C3112" s="1067" t="inlineStr">
        <is>
          <t xml:space="preserve">Piso de concreto polido, espessura 2cm </t>
        </is>
      </c>
      <c r="D3112" s="1067" t="inlineStr">
        <is>
          <t xml:space="preserve">Piso de concreto polido, espessura 2cm </t>
        </is>
      </c>
      <c r="E3112" s="1068" t="inlineStr">
        <is>
          <t>M2</t>
        </is>
      </c>
      <c r="F3112" s="1067" t="n"/>
      <c r="G3112" s="1069">
        <f t="array" ref="G3112">IF(B3112="insumo",_xlfn.XLOOKUP($D3112,Insumos!$B$1:$B$996,Insumos!$D$1:$D$996),"")</f>
        <v/>
      </c>
      <c r="H3112" s="1069" t="n">
        <v>61.444939</v>
      </c>
      <c r="I3112" s="2161" t="e">
        <v>#REF!</v>
      </c>
      <c r="J3112" s="2161" t="e">
        <v>#REF!</v>
      </c>
      <c r="K3112" s="2161" t="n"/>
    </row>
    <row r="3113" outlineLevel="3" ht="15.75" customHeight="1">
      <c r="A3113" s="10" t="n">
        <v>6</v>
      </c>
      <c r="B3113" s="10" t="inlineStr">
        <is>
          <t>Insumo</t>
        </is>
      </c>
      <c r="C3113" s="10" t="inlineStr">
        <is>
          <t xml:space="preserve">Piso de concreto polido, espessura 2cm </t>
        </is>
      </c>
      <c r="D3113" s="10" t="inlineStr">
        <is>
          <t>Concreto Usinado bombeável 35MPa Convencional</t>
        </is>
      </c>
      <c r="E3113" s="11">
        <f t="array" ref="E3113">_xlfn.XLOOKUP(D3113,Insumos!B:B,Insumos!C:$C)</f>
        <v/>
      </c>
      <c r="F3113" s="14" t="n">
        <v>0.0243</v>
      </c>
      <c r="G3113" s="92">
        <f t="array" ref="G3113">IF(B3113="insumo",_xlfn.XLOOKUP($D3113,Insumos!$B$1:$B$996,Insumos!$D$1:$D$996),"")</f>
        <v/>
      </c>
      <c r="H3113" s="92" t="n">
        <v>14.694939</v>
      </c>
      <c r="I3113" s="2162" t="e">
        <v>#REF!</v>
      </c>
      <c r="J3113" s="2162" t="e">
        <v>#REF!</v>
      </c>
      <c r="K3113" s="2162" t="n"/>
    </row>
    <row r="3114" outlineLevel="3" ht="15.75" customHeight="1">
      <c r="A3114" s="10" t="n">
        <v>4</v>
      </c>
      <c r="B3114" s="10" t="inlineStr">
        <is>
          <t>Insumo</t>
        </is>
      </c>
      <c r="C3114" s="10" t="inlineStr">
        <is>
          <t xml:space="preserve">Piso de concreto polido, espessura 2cm </t>
        </is>
      </c>
      <c r="D3114" s="10" t="inlineStr">
        <is>
          <t>ENDURECEDOR MINERAL DE BASE CIMENTICIA PARA PISO DE CONCRETO</t>
        </is>
      </c>
      <c r="E3114" s="11">
        <f t="array" ref="E3114">_xlfn.XLOOKUP(D3114,Insumos!B:B,Insumos!C:$C)</f>
        <v/>
      </c>
      <c r="F3114" s="14" t="n">
        <v>5</v>
      </c>
      <c r="G3114" s="92">
        <f t="array" ref="G3114">IF(B3114="insumo",_xlfn.XLOOKUP($D3114,Insumos!$B$1:$B$996,Insumos!$D$1:$D$996),"")</f>
        <v/>
      </c>
      <c r="H3114" s="92" t="n">
        <v>46.75</v>
      </c>
      <c r="I3114" s="2162" t="e">
        <v>#REF!</v>
      </c>
      <c r="J3114" s="2162" t="e">
        <v>#REF!</v>
      </c>
      <c r="K3114" s="2162" t="n"/>
    </row>
    <row r="3115" outlineLevel="2" ht="15.75" customHeight="1">
      <c r="A3115" s="1067" t="n">
        <v>1</v>
      </c>
      <c r="B3115" s="1067" t="inlineStr">
        <is>
          <t>Serviço</t>
        </is>
      </c>
      <c r="C3115" s="1067" t="inlineStr">
        <is>
          <t xml:space="preserve">Piso de concreto polido, espessura 3cm </t>
        </is>
      </c>
      <c r="D3115" s="1067" t="inlineStr">
        <is>
          <t xml:space="preserve">Piso de concreto polido, espessura 3cm </t>
        </is>
      </c>
      <c r="E3115" s="1068" t="inlineStr">
        <is>
          <t>M2</t>
        </is>
      </c>
      <c r="F3115" s="1067" t="n"/>
      <c r="G3115" s="1069">
        <f t="array" ref="G3115">IF(B3115="insumo",_xlfn.XLOOKUP($D3115,Insumos!$B$1:$B$996,Insumos!$D$1:$D$996),"")</f>
        <v/>
      </c>
      <c r="H3115" s="1069" t="n">
        <v>59.4424085</v>
      </c>
      <c r="I3115" s="2161" t="n">
        <v>0</v>
      </c>
      <c r="J3115" s="2161" t="n">
        <v>0</v>
      </c>
      <c r="K3115" s="2161" t="n"/>
    </row>
    <row r="3116" outlineLevel="3" ht="15.75" customHeight="1">
      <c r="A3116" s="10" t="n">
        <v>6</v>
      </c>
      <c r="B3116" s="10" t="inlineStr">
        <is>
          <t>Insumo</t>
        </is>
      </c>
      <c r="C3116" s="10" t="inlineStr">
        <is>
          <t xml:space="preserve">Piso de concreto polido, espessura 3cm </t>
        </is>
      </c>
      <c r="D3116" s="10" t="inlineStr">
        <is>
          <t>Concreto Usinado bombeável 35MPa Convencional</t>
        </is>
      </c>
      <c r="E3116" s="11">
        <f t="array" ref="E3116">_xlfn.XLOOKUP(D3116,Insumos!B:B,Insumos!C:$C)</f>
        <v/>
      </c>
      <c r="F3116" s="14">
        <f>0.0243*3/2</f>
        <v/>
      </c>
      <c r="G3116" s="92">
        <f t="array" ref="G3116">IF(B3116="insumo",_xlfn.XLOOKUP($D3116,Insumos!$B$1:$B$996,Insumos!$D$1:$D$996),"")</f>
        <v/>
      </c>
      <c r="H3116" s="92" t="n">
        <v>22.0424085</v>
      </c>
      <c r="I3116" s="2162" t="n">
        <v>0</v>
      </c>
      <c r="J3116" s="2162" t="n">
        <v>0</v>
      </c>
      <c r="K3116" s="2162" t="n"/>
    </row>
    <row r="3117" outlineLevel="3" ht="15.75" customHeight="1">
      <c r="A3117" s="10" t="n">
        <v>4</v>
      </c>
      <c r="B3117" s="10" t="inlineStr">
        <is>
          <t>Insumo</t>
        </is>
      </c>
      <c r="C3117" s="10" t="inlineStr">
        <is>
          <t xml:space="preserve">Piso de concreto polido, espessura 3cm </t>
        </is>
      </c>
      <c r="D3117" s="10" t="inlineStr">
        <is>
          <t>ENDURECEDOR MINERAL DE BASE CIMENTICIA PARA PISO DE CONCRETO</t>
        </is>
      </c>
      <c r="E3117" s="11">
        <f t="array" ref="E3117">_xlfn.XLOOKUP(D3117,Insumos!B:B,Insumos!C:$C)</f>
        <v/>
      </c>
      <c r="F3117" s="14" t="n">
        <v>4</v>
      </c>
      <c r="G3117" s="92">
        <f t="array" ref="G3117">IF(B3117="insumo",_xlfn.XLOOKUP($D3117,Insumos!$B$1:$B$996,Insumos!$D$1:$D$996),"")</f>
        <v/>
      </c>
      <c r="H3117" s="92" t="n">
        <v>37.4</v>
      </c>
      <c r="I3117" s="2162" t="n">
        <v>0</v>
      </c>
      <c r="J3117" s="2162" t="n">
        <v>0</v>
      </c>
      <c r="K3117" s="2162" t="n"/>
    </row>
    <row r="3118" outlineLevel="2" ht="15.75" customHeight="1">
      <c r="A3118" s="1067" t="n">
        <v>1</v>
      </c>
      <c r="B3118" s="1067" t="inlineStr">
        <is>
          <t>Serviço</t>
        </is>
      </c>
      <c r="C3118" s="1067" t="inlineStr">
        <is>
          <t xml:space="preserve">Piso concreto Queimado </t>
        </is>
      </c>
      <c r="D3118" s="1067" t="inlineStr">
        <is>
          <t xml:space="preserve">Piso concreto Queimado </t>
        </is>
      </c>
      <c r="E3118" s="1068" t="inlineStr">
        <is>
          <t>M2</t>
        </is>
      </c>
      <c r="F3118" s="1067" t="n"/>
      <c r="G3118" s="1069">
        <f t="array" ref="G3118">IF(B3118="insumo",_xlfn.XLOOKUP($D3118,Insumos!$B$1:$B$996,Insumos!$D$1:$D$996),"")</f>
        <v/>
      </c>
      <c r="H3118" s="1069" t="n">
        <v>12.6240933333333</v>
      </c>
      <c r="I3118" s="2161" t="e">
        <v>#REF!</v>
      </c>
      <c r="J3118" s="2161" t="e">
        <v>#REF!</v>
      </c>
      <c r="K3118" s="2161" t="n"/>
    </row>
    <row r="3119" outlineLevel="3" ht="15.75" customHeight="1">
      <c r="A3119" s="10" t="n">
        <v>32</v>
      </c>
      <c r="B3119" s="10" t="inlineStr">
        <is>
          <t>Insumo</t>
        </is>
      </c>
      <c r="C3119" s="10" t="inlineStr">
        <is>
          <t xml:space="preserve">Piso concreto Queimado </t>
        </is>
      </c>
      <c r="D3119" s="10" t="inlineStr">
        <is>
          <t>Argamassa usninada para contrapiso</t>
        </is>
      </c>
      <c r="E3119" s="11">
        <f t="array" ref="E3119">_xlfn.XLOOKUP(D3119,Insumos!B:B,Insumos!C:$C)</f>
        <v/>
      </c>
      <c r="F3119" s="14" t="n">
        <v>0.022</v>
      </c>
      <c r="G3119" s="92">
        <f t="array" ref="G3119">IF(B3119="insumo",_xlfn.XLOOKUP($D3119,Insumos!$B$1:$B$996,Insumos!$D$1:$D$996),"")</f>
        <v/>
      </c>
      <c r="H3119" s="92" t="n">
        <v>12.1</v>
      </c>
      <c r="I3119" s="2162" t="e">
        <v>#REF!</v>
      </c>
      <c r="J3119" s="2162" t="e">
        <v>#REF!</v>
      </c>
      <c r="K3119" s="2162" t="n"/>
    </row>
    <row r="3120" outlineLevel="3" ht="15.75" customHeight="1">
      <c r="A3120" s="10" t="n">
        <v>41</v>
      </c>
      <c r="B3120" s="10" t="inlineStr">
        <is>
          <t>Insumo</t>
        </is>
      </c>
      <c r="C3120" s="10" t="inlineStr">
        <is>
          <t xml:space="preserve">Piso concreto Queimado </t>
        </is>
      </c>
      <c r="D3120" s="10" t="inlineStr">
        <is>
          <t>Aditivo Adesivo Liquido Para Argamassas De Revestimentos Cimenticios</t>
        </is>
      </c>
      <c r="E3120" s="11">
        <f t="array" ref="E3120">_xlfn.XLOOKUP(D3120,Insumos!B:B,Insumos!C:$C)</f>
        <v/>
      </c>
      <c r="F3120" s="14" t="n">
        <v>0.014</v>
      </c>
      <c r="G3120" s="92">
        <f t="array" ref="G3120">IF(B3120="insumo",_xlfn.XLOOKUP($D3120,Insumos!$B$1:$B$996,Insumos!$D$1:$D$996),"")</f>
        <v/>
      </c>
      <c r="H3120" s="92" t="n">
        <v>0.27076</v>
      </c>
      <c r="I3120" s="2162" t="e">
        <v>#REF!</v>
      </c>
      <c r="J3120" s="2162" t="e">
        <v>#REF!</v>
      </c>
      <c r="K3120" s="2162" t="n"/>
    </row>
    <row r="3121" outlineLevel="3" ht="15.75" customHeight="1">
      <c r="A3121" s="10" t="n">
        <v>62</v>
      </c>
      <c r="B3121" s="10" t="inlineStr">
        <is>
          <t>Insumo</t>
        </is>
      </c>
      <c r="C3121" s="10" t="inlineStr">
        <is>
          <t xml:space="preserve">Piso concreto Queimado </t>
        </is>
      </c>
      <c r="D3121" s="10" t="inlineStr">
        <is>
          <t>Cimento Portland Composto CP II-32</t>
        </is>
      </c>
      <c r="E3121" s="11">
        <f t="array" ref="E3121">_xlfn.XLOOKUP(D3121,Insumos!B:B,Insumos!C:$C)</f>
        <v/>
      </c>
      <c r="F3121" s="14" t="n">
        <v>0.3333333333333334</v>
      </c>
      <c r="G3121" s="92">
        <f t="array" ref="G3121">IF(B3121="insumo",_xlfn.XLOOKUP($D3121,Insumos!$B$1:$B$996,Insumos!$D$1:$D$996),"")</f>
        <v/>
      </c>
      <c r="H3121" s="92" t="n">
        <v>0.253333333333333</v>
      </c>
      <c r="I3121" s="2162" t="e">
        <v>#REF!</v>
      </c>
      <c r="J3121" s="2162" t="e">
        <v>#REF!</v>
      </c>
      <c r="K3121" s="2162" t="n"/>
    </row>
    <row r="3122" outlineLevel="2" ht="15.75" customHeight="1">
      <c r="A3122" s="1067" t="n">
        <v>1</v>
      </c>
      <c r="B3122" s="1067" t="inlineStr">
        <is>
          <t>Serviço</t>
        </is>
      </c>
      <c r="C3122" s="1067" t="inlineStr">
        <is>
          <t>Piso cimentado acabamento rústico 6cm</t>
        </is>
      </c>
      <c r="D3122" s="1067" t="inlineStr">
        <is>
          <t>Piso cimentado acabamento rústico 6cm</t>
        </is>
      </c>
      <c r="E3122" s="1068" t="inlineStr">
        <is>
          <t>M2</t>
        </is>
      </c>
      <c r="F3122" s="1067" t="n"/>
      <c r="G3122" s="1069">
        <f t="array" ref="G3122">IF(B3122="insumo",_xlfn.XLOOKUP($D3122,Insumos!$B$1:$B$996,Insumos!$D$1:$D$996),"")</f>
        <v/>
      </c>
      <c r="H3122" s="1069" t="n">
        <v>33</v>
      </c>
      <c r="I3122" s="2161" t="n">
        <v>0</v>
      </c>
      <c r="J3122" s="2161" t="n">
        <v>0</v>
      </c>
      <c r="K3122" s="2161" t="n"/>
    </row>
    <row r="3123" outlineLevel="3" ht="15.75" customHeight="1">
      <c r="A3123" s="10" t="n">
        <v>32</v>
      </c>
      <c r="B3123" s="10" t="inlineStr">
        <is>
          <t>Insumo</t>
        </is>
      </c>
      <c r="C3123" s="10" t="inlineStr">
        <is>
          <t>Piso cimentado acabamento rústico 6cm</t>
        </is>
      </c>
      <c r="D3123" s="10" t="inlineStr">
        <is>
          <t>Argamassa usninada para contrapiso</t>
        </is>
      </c>
      <c r="E3123" s="11">
        <f t="array" ref="E3123">_xlfn.XLOOKUP(D3123,Insumos!B:B,Insumos!C:$C)</f>
        <v/>
      </c>
      <c r="F3123" s="14" t="n">
        <v>0.06</v>
      </c>
      <c r="G3123" s="92">
        <f t="array" ref="G3123">IF(B3123="insumo",_xlfn.XLOOKUP($D3123,Insumos!$B$1:$B$996,Insumos!$D$1:$D$996),"")</f>
        <v/>
      </c>
      <c r="H3123" s="92" t="n">
        <v>33</v>
      </c>
      <c r="I3123" s="2162" t="n">
        <v>0</v>
      </c>
      <c r="J3123" s="2162" t="n">
        <v>0</v>
      </c>
      <c r="K3123" s="2162" t="n"/>
    </row>
    <row r="3124" outlineLevel="2" ht="15.75" customHeight="1">
      <c r="A3124" s="1067" t="n">
        <v>1</v>
      </c>
      <c r="B3124" s="1067" t="inlineStr">
        <is>
          <t>Serviço</t>
        </is>
      </c>
      <c r="C3124" s="1067" t="inlineStr">
        <is>
          <t>Piso de concreto, acabamento desempenado, espessura 6 cm</t>
        </is>
      </c>
      <c r="D3124" s="1067" t="inlineStr">
        <is>
          <t>Piso de concreto, acabamento desempenado, espessura 6 cm</t>
        </is>
      </c>
      <c r="E3124" s="1068" t="inlineStr">
        <is>
          <t>M2</t>
        </is>
      </c>
      <c r="F3124" s="1067" t="n"/>
      <c r="G3124" s="1069">
        <f t="array" ref="G3124">IF(B3124="insumo",_xlfn.XLOOKUP($D3124,Insumos!$B$1:$B$996,Insumos!$D$1:$D$996),"")</f>
        <v/>
      </c>
      <c r="H3124" s="1069" t="n">
        <v>182.796</v>
      </c>
      <c r="I3124" s="2161" t="n">
        <v>0</v>
      </c>
      <c r="J3124" s="2161" t="n">
        <v>0</v>
      </c>
      <c r="K3124" s="2161" t="n"/>
    </row>
    <row r="3125" outlineLevel="3" ht="15.75" customHeight="1">
      <c r="A3125" s="10" t="n">
        <v>19</v>
      </c>
      <c r="B3125" s="10" t="inlineStr">
        <is>
          <t>Insumo</t>
        </is>
      </c>
      <c r="C3125" s="10" t="inlineStr">
        <is>
          <t>Piso de concreto, acabamento desempenado, espessura 6 cm</t>
        </is>
      </c>
      <c r="D3125" s="10" t="inlineStr">
        <is>
          <t>SARRAFO *2,5 X 7,5* CM EM PINUS, MISTA OU EQUIVALENTE DA REGIAO - BRUTA</t>
        </is>
      </c>
      <c r="E3125" s="11">
        <f t="array" ref="E3125">_xlfn.XLOOKUP(D3125,Insumos!B:B,Insumos!C:$C)</f>
        <v/>
      </c>
      <c r="F3125" s="14" t="n">
        <v>0.01125</v>
      </c>
      <c r="G3125" s="92">
        <f t="array" ref="G3125">IF(B3125="insumo",_xlfn.XLOOKUP($D3125,Insumos!$B$1:$B$996,Insumos!$D$1:$D$996),"")</f>
        <v/>
      </c>
      <c r="H3125" s="92" t="n">
        <v>15.1875</v>
      </c>
      <c r="I3125" s="2162" t="n">
        <v>0</v>
      </c>
      <c r="J3125" s="2162" t="n">
        <v>0</v>
      </c>
      <c r="K3125" s="2162" t="n"/>
    </row>
    <row r="3126" outlineLevel="3" ht="15.75" customHeight="1">
      <c r="A3126" s="10" t="n">
        <v>9</v>
      </c>
      <c r="B3126" s="10" t="inlineStr">
        <is>
          <t>Insumo</t>
        </is>
      </c>
      <c r="C3126" s="10" t="inlineStr">
        <is>
          <t>Piso de concreto, acabamento desempenado, espessura 6 cm</t>
        </is>
      </c>
      <c r="D3126" s="10" t="inlineStr">
        <is>
          <t>Concreto Usinado bombeável 20MPa Convencional</t>
        </is>
      </c>
      <c r="E3126" s="11">
        <f t="array" ref="E3126">_xlfn.XLOOKUP(D3126,Insumos!B:B,Insumos!C:$C)</f>
        <v/>
      </c>
      <c r="F3126" s="14" t="n">
        <v>0.07290000000000001</v>
      </c>
      <c r="G3126" s="92">
        <f t="array" ref="G3126">IF(B3126="insumo",_xlfn.XLOOKUP($D3126,Insumos!$B$1:$B$996,Insumos!$D$1:$D$996),"")</f>
        <v/>
      </c>
      <c r="H3126" s="92" t="n">
        <v>35.721</v>
      </c>
      <c r="I3126" s="2162" t="n">
        <v>0</v>
      </c>
      <c r="J3126" s="2162" t="n">
        <v>0</v>
      </c>
      <c r="K3126" s="2162" t="n"/>
    </row>
    <row r="3127" outlineLevel="3" ht="15.75" customHeight="1">
      <c r="A3127" s="10" t="n">
        <v>1</v>
      </c>
      <c r="B3127" s="10" t="inlineStr">
        <is>
          <t>Insumo</t>
        </is>
      </c>
      <c r="C3127" s="10" t="inlineStr">
        <is>
          <t>Piso de concreto, acabamento desempenado, espessura 6 cm</t>
        </is>
      </c>
      <c r="D3127" s="10" t="inlineStr">
        <is>
          <t>SARRAFO 2,5X10 CM PINUS*</t>
        </is>
      </c>
      <c r="E3127" s="11">
        <f t="array" ref="E3127">_xlfn.XLOOKUP(D3127,Insumos!B:B,Insumos!C:$C)</f>
        <v/>
      </c>
      <c r="F3127" s="14" t="n">
        <v>0.01875</v>
      </c>
      <c r="G3127" s="92">
        <f t="array" ref="G3127">IF(B3127="insumo",_xlfn.XLOOKUP($D3127,Insumos!$B$1:$B$996,Insumos!$D$1:$D$996),"")</f>
        <v/>
      </c>
      <c r="H3127" s="92" t="n">
        <v>19.6875</v>
      </c>
      <c r="I3127" s="2162" t="n">
        <v>0</v>
      </c>
      <c r="J3127" s="2162" t="n">
        <v>0</v>
      </c>
      <c r="K3127" s="2162" t="n"/>
    </row>
    <row r="3128" outlineLevel="3" ht="15.75" customHeight="1">
      <c r="A3128" s="10" t="n">
        <v>4</v>
      </c>
      <c r="B3128" s="10" t="inlineStr">
        <is>
          <t>Insumo</t>
        </is>
      </c>
      <c r="C3128" s="10" t="inlineStr">
        <is>
          <t>Piso de concreto, acabamento desempenado, espessura 6 cm</t>
        </is>
      </c>
      <c r="D3128" s="10" t="inlineStr">
        <is>
          <t>ENDURECEDOR MINERAL DE BASE CIMENTICIA PARA PISO DE CONCRETO</t>
        </is>
      </c>
      <c r="E3128" s="11">
        <f t="array" ref="E3128">_xlfn.XLOOKUP(D3128,Insumos!B:B,Insumos!C:$C)</f>
        <v/>
      </c>
      <c r="F3128" s="14" t="n">
        <v>12</v>
      </c>
      <c r="G3128" s="92">
        <f t="array" ref="G3128">IF(B3128="insumo",_xlfn.XLOOKUP($D3128,Insumos!$B$1:$B$996,Insumos!$D$1:$D$996),"")</f>
        <v/>
      </c>
      <c r="H3128" s="92" t="n">
        <v>112.2</v>
      </c>
      <c r="I3128" s="2162" t="n">
        <v>0</v>
      </c>
      <c r="J3128" s="2162" t="n">
        <v>0</v>
      </c>
      <c r="K3128" s="2162" t="n"/>
    </row>
    <row r="3129" outlineLevel="2" ht="12.75" customHeight="1">
      <c r="A3129" s="1071" t="n">
        <v>1</v>
      </c>
      <c r="B3129" s="1071" t="inlineStr">
        <is>
          <t>Serviço</t>
        </is>
      </c>
      <c r="C3129" s="1071" t="inlineStr">
        <is>
          <t>Piso de concreto, acabamento estampado, espessura 6 cm</t>
        </is>
      </c>
      <c r="D3129" s="1071" t="inlineStr">
        <is>
          <t>Piso de concreto, acabamento estampado, espessura 6 cm</t>
        </is>
      </c>
      <c r="E3129" s="1072" t="inlineStr">
        <is>
          <t>M2</t>
        </is>
      </c>
      <c r="F3129" s="1071" t="n"/>
      <c r="G3129" s="1073">
        <f t="array" ref="G3129">IF(B3129="insumo",_xlfn.XLOOKUP($D3129,Insumos!$B$1:$B$996,Insumos!$D$1:$D$996),"")</f>
        <v/>
      </c>
      <c r="H3129" s="1073" t="n">
        <v>77.3668206666667</v>
      </c>
      <c r="I3129" s="2163" t="e">
        <v>#REF!</v>
      </c>
      <c r="J3129" s="2163" t="e">
        <v>#REF!</v>
      </c>
      <c r="K3129" s="2163" t="n"/>
    </row>
    <row r="3130" outlineLevel="3" ht="12.75" customHeight="1">
      <c r="A3130" s="82" t="n">
        <v>19</v>
      </c>
      <c r="B3130" s="82" t="inlineStr">
        <is>
          <t>Insumo</t>
        </is>
      </c>
      <c r="C3130" s="82" t="inlineStr">
        <is>
          <t>Piso de concreto, acabamento estampado, espessura 6 cm</t>
        </is>
      </c>
      <c r="D3130" s="82" t="inlineStr">
        <is>
          <t>SARRAFO *2,5 X 7,5* CM EM PINUS, MISTA OU EQUIVALENTE DA REGIAO - BRUTA</t>
        </is>
      </c>
      <c r="E3130" s="11">
        <f t="array" ref="E3130">_xlfn.XLOOKUP(D3130,Insumos!B:B,Insumos!C:$C)</f>
        <v/>
      </c>
      <c r="F3130" s="2164" t="n">
        <v>0.0045</v>
      </c>
      <c r="G3130" s="92">
        <f t="array" ref="G3130">IF(B3130="insumo",_xlfn.XLOOKUP($D3130,Insumos!$B$1:$B$996,Insumos!$D$1:$D$996),"")</f>
        <v/>
      </c>
      <c r="H3130" s="92" t="n">
        <v>6.075</v>
      </c>
      <c r="I3130" s="2165" t="e">
        <v>#REF!</v>
      </c>
      <c r="J3130" s="2165" t="e">
        <v>#REF!</v>
      </c>
      <c r="K3130" s="2165" t="n"/>
    </row>
    <row r="3131" outlineLevel="3" ht="12.75" customHeight="1">
      <c r="A3131" s="82" t="n">
        <v>9</v>
      </c>
      <c r="B3131" s="82" t="inlineStr">
        <is>
          <t>Insumo</t>
        </is>
      </c>
      <c r="C3131" s="82" t="inlineStr">
        <is>
          <t>Piso de concreto, acabamento estampado, espessura 6 cm</t>
        </is>
      </c>
      <c r="D3131" s="82" t="inlineStr">
        <is>
          <t>Concreto Usinado bombeável 20MPa Convencional</t>
        </is>
      </c>
      <c r="E3131" s="11">
        <f t="array" ref="E3131">_xlfn.XLOOKUP(D3131,Insumos!B:B,Insumos!C:$C)</f>
        <v/>
      </c>
      <c r="F3131" s="2164" t="n">
        <v>0.07389999999999999</v>
      </c>
      <c r="G3131" s="92">
        <f t="array" ref="G3131">IF(B3131="insumo",_xlfn.XLOOKUP($D3131,Insumos!$B$1:$B$996,Insumos!$D$1:$D$996),"")</f>
        <v/>
      </c>
      <c r="H3131" s="92" t="n">
        <v>36.211</v>
      </c>
      <c r="I3131" s="2165" t="e">
        <v>#REF!</v>
      </c>
      <c r="J3131" s="2165" t="e">
        <v>#REF!</v>
      </c>
      <c r="K3131" s="2165" t="n"/>
    </row>
    <row r="3132" outlineLevel="3" ht="12.75" customHeight="1">
      <c r="A3132" s="82" t="n">
        <v>1</v>
      </c>
      <c r="B3132" s="82" t="inlineStr">
        <is>
          <t>Insumo</t>
        </is>
      </c>
      <c r="C3132" s="82" t="inlineStr">
        <is>
          <t>Piso de concreto, acabamento estampado, espessura 6 cm</t>
        </is>
      </c>
      <c r="D3132" s="82" t="inlineStr">
        <is>
          <t>DESMOLDANTE PARA CONCRETO ESTAMPADO</t>
        </is>
      </c>
      <c r="E3132" s="11">
        <f t="array" ref="E3132">_xlfn.XLOOKUP(D3132,Insumos!B:B,Insumos!C:$C)</f>
        <v/>
      </c>
      <c r="F3132" s="2164" t="n">
        <v>0.0667</v>
      </c>
      <c r="G3132" s="92">
        <f t="array" ref="G3132">IF(B3132="insumo",_xlfn.XLOOKUP($D3132,Insumos!$B$1:$B$996,Insumos!$D$1:$D$996),"")</f>
        <v/>
      </c>
      <c r="H3132" s="92" t="n">
        <v>1.44516666666667</v>
      </c>
      <c r="I3132" s="2165" t="e">
        <v>#REF!</v>
      </c>
      <c r="J3132" s="2165" t="e">
        <v>#REF!</v>
      </c>
      <c r="K3132" s="2165" t="n"/>
    </row>
    <row r="3133" outlineLevel="3" ht="12.75" customHeight="1">
      <c r="A3133" s="82" t="n">
        <v>1</v>
      </c>
      <c r="B3133" s="82" t="inlineStr">
        <is>
          <t>Insumo</t>
        </is>
      </c>
      <c r="C3133" s="82" t="inlineStr">
        <is>
          <t>Piso de concreto, acabamento estampado, espessura 6 cm</t>
        </is>
      </c>
      <c r="D3133" s="82" t="inlineStr">
        <is>
          <t>MOLDE DE POLIURETANO, FLEXIVEL OU SEMI-FLEXIVEL, PARA ESTAMPAGEM DE PISO / PASSEIO DE CONCRETO</t>
        </is>
      </c>
      <c r="E3133" s="11">
        <f t="array" ref="E3133">_xlfn.XLOOKUP(D3133,Insumos!B:B,Insumos!C:$C)</f>
        <v/>
      </c>
      <c r="F3133" s="2164" t="n">
        <v>0.0025</v>
      </c>
      <c r="G3133" s="92">
        <f t="array" ref="G3133">IF(B3133="insumo",_xlfn.XLOOKUP($D3133,Insumos!$B$1:$B$996,Insumos!$D$1:$D$996),"")</f>
        <v/>
      </c>
      <c r="H3133" s="92" t="n">
        <v>1.625</v>
      </c>
      <c r="I3133" s="2165" t="e">
        <v>#REF!</v>
      </c>
      <c r="J3133" s="2165" t="e">
        <v>#REF!</v>
      </c>
      <c r="K3133" s="2165" t="n"/>
    </row>
    <row r="3134" outlineLevel="3" ht="12.75" customHeight="1">
      <c r="A3134" s="82" t="n">
        <v>40</v>
      </c>
      <c r="B3134" s="82" t="inlineStr">
        <is>
          <t>Insumo</t>
        </is>
      </c>
      <c r="C3134" s="82" t="inlineStr">
        <is>
          <t>Piso de concreto, acabamento estampado, espessura 6 cm</t>
        </is>
      </c>
      <c r="D3134" s="82" t="inlineStr">
        <is>
          <t>PREGO DE ACO POLIDO COM CABECA 17 X 21 (2 X 11)</t>
        </is>
      </c>
      <c r="E3134" s="11">
        <f t="array" ref="E3134">_xlfn.XLOOKUP(D3134,Insumos!B:B,Insumos!C:$C)</f>
        <v/>
      </c>
      <c r="F3134" s="2164" t="n">
        <v>0.024</v>
      </c>
      <c r="G3134" s="92">
        <f t="array" ref="G3134">IF(B3134="insumo",_xlfn.XLOOKUP($D3134,Insumos!$B$1:$B$996,Insumos!$D$1:$D$996),"")</f>
        <v/>
      </c>
      <c r="H3134" s="92" t="n">
        <v>0.43512</v>
      </c>
      <c r="I3134" s="2165" t="e">
        <v>#REF!</v>
      </c>
      <c r="J3134" s="2165" t="e">
        <v>#REF!</v>
      </c>
      <c r="K3134" s="2165" t="n"/>
    </row>
    <row r="3135" outlineLevel="3" ht="12.75" customHeight="1">
      <c r="A3135" s="82" t="n">
        <v>1</v>
      </c>
      <c r="B3135" s="82" t="inlineStr">
        <is>
          <t>Insumo</t>
        </is>
      </c>
      <c r="C3135" s="82" t="inlineStr">
        <is>
          <t>Piso de concreto, acabamento estampado, espessura 6 cm</t>
        </is>
      </c>
      <c r="D3135" s="82" t="inlineStr">
        <is>
          <t>PO ENDURECEDOR PARA CONCRETO ESTAMPADO - PIGMENTO ENDURECEDOR</t>
        </is>
      </c>
      <c r="E3135" s="11">
        <f t="array" ref="E3135">_xlfn.XLOOKUP(D3135,Insumos!B:B,Insumos!C:$C)</f>
        <v/>
      </c>
      <c r="F3135" s="2164" t="n">
        <v>1.7391</v>
      </c>
      <c r="G3135" s="92">
        <f t="array" ref="G3135">IF(B3135="insumo",_xlfn.XLOOKUP($D3135,Insumos!$B$1:$B$996,Insumos!$D$1:$D$996),"")</f>
        <v/>
      </c>
      <c r="H3135" s="92" t="n">
        <v>27.442998</v>
      </c>
      <c r="I3135" s="2165" t="e">
        <v>#REF!</v>
      </c>
      <c r="J3135" s="2165" t="e">
        <v>#REF!</v>
      </c>
      <c r="K3135" s="2165" t="n"/>
    </row>
    <row r="3136" outlineLevel="3" ht="12.75" customHeight="1">
      <c r="A3136" s="82" t="n">
        <v>1</v>
      </c>
      <c r="B3136" s="82" t="inlineStr">
        <is>
          <t>Insumo</t>
        </is>
      </c>
      <c r="C3136" s="82" t="inlineStr">
        <is>
          <t>Piso de concreto, acabamento estampado, espessura 6 cm</t>
        </is>
      </c>
      <c r="D3136" s="82" t="inlineStr">
        <is>
          <t>SELANTE ACRILICO PARA TRATAMENTO / ACABAMENTO SUPERFICIAL DE CONCRETO ESTAMPADO, APARENTE, PEDRAS E OUTROS</t>
        </is>
      </c>
      <c r="E3136" s="11">
        <f t="array" ref="E3136">_xlfn.XLOOKUP(D3136,Insumos!B:B,Insumos!C:$C)</f>
        <v/>
      </c>
      <c r="F3136" s="2164" t="n">
        <v>0.1636</v>
      </c>
      <c r="G3136" s="92">
        <f t="array" ref="G3136">IF(B3136="insumo",_xlfn.XLOOKUP($D3136,Insumos!$B$1:$B$996,Insumos!$D$1:$D$996),"")</f>
        <v/>
      </c>
      <c r="H3136" s="92" t="n">
        <v>4.132536</v>
      </c>
      <c r="I3136" s="2165" t="e">
        <v>#REF!</v>
      </c>
      <c r="J3136" s="2165" t="e">
        <v>#REF!</v>
      </c>
      <c r="K3136" s="2165" t="n"/>
    </row>
    <row r="3137" outlineLevel="2" ht="15.75" customHeight="1">
      <c r="A3137" s="1067" t="n">
        <v>1</v>
      </c>
      <c r="B3137" s="1067" t="inlineStr">
        <is>
          <t>Serviço</t>
        </is>
      </c>
      <c r="C3137" s="1067" t="inlineStr">
        <is>
          <t>Lapidação de piso com lixas diamantadas</t>
        </is>
      </c>
      <c r="D3137" s="1067" t="inlineStr">
        <is>
          <t>Lapidação de piso com lixas diamantadas</t>
        </is>
      </c>
      <c r="E3137" s="1068" t="inlineStr">
        <is>
          <t>M2</t>
        </is>
      </c>
      <c r="F3137" s="1067" t="n"/>
      <c r="G3137" s="1069">
        <f t="array" ref="G3137">IF(B3137="insumo",_xlfn.XLOOKUP($D3137,Insumos!$B$1:$B$996,Insumos!$D$1:$D$996),"")</f>
        <v/>
      </c>
      <c r="H3137" s="1069" t="n">
        <v>75</v>
      </c>
      <c r="I3137" s="2161" t="n">
        <v>0</v>
      </c>
      <c r="J3137" s="2161" t="n">
        <v>0</v>
      </c>
      <c r="K3137" s="2161" t="n"/>
    </row>
    <row r="3138" outlineLevel="3" ht="12.75" customHeight="1">
      <c r="A3138" s="10" t="n">
        <v>1</v>
      </c>
      <c r="B3138" s="10" t="inlineStr">
        <is>
          <t>Insumo</t>
        </is>
      </c>
      <c r="C3138" s="10" t="inlineStr">
        <is>
          <t>Lapidação de piso com lixas diamantadas</t>
        </is>
      </c>
      <c r="D3138" s="10" t="inlineStr">
        <is>
          <t>Lapidação de piso com lixas diamantadas</t>
        </is>
      </c>
      <c r="E3138" s="11">
        <f t="array" ref="E3138">_xlfn.XLOOKUP(D3138,Insumos!B:B,Insumos!C:$C)</f>
        <v/>
      </c>
      <c r="F3138" s="14" t="n">
        <v>1</v>
      </c>
      <c r="G3138" s="92">
        <f t="array" ref="G3138">IF(B3138="insumo",_xlfn.XLOOKUP($D3138,Insumos!$B$1:$B$996,Insumos!$D$1:$D$996),"")</f>
        <v/>
      </c>
      <c r="H3138" s="92" t="n">
        <v>75</v>
      </c>
      <c r="I3138" s="2162" t="n">
        <v>0</v>
      </c>
      <c r="J3138" s="2162" t="n">
        <v>0</v>
      </c>
      <c r="K3138" s="2162" t="n"/>
    </row>
    <row r="3139" outlineLevel="2" ht="12.75" customHeight="1">
      <c r="A3139" s="1071" t="n">
        <v>1</v>
      </c>
      <c r="B3139" s="1071" t="inlineStr">
        <is>
          <t>Serviço</t>
        </is>
      </c>
      <c r="C3139" s="1071" t="inlineStr">
        <is>
          <t>Pavimentação em Piso drenante 45x45 cm</t>
        </is>
      </c>
      <c r="D3139" s="1071" t="inlineStr">
        <is>
          <t>Pavimentação em Piso drenante 45x45 cm</t>
        </is>
      </c>
      <c r="E3139" s="1072" t="inlineStr">
        <is>
          <t>M2</t>
        </is>
      </c>
      <c r="F3139" s="1071" t="n"/>
      <c r="G3139" s="1073">
        <f t="array" ref="G3139">IF(B3139="insumo",_xlfn.XLOOKUP($D3139,Insumos!$B$1:$B$996,Insumos!$D$1:$D$996),"")</f>
        <v/>
      </c>
      <c r="H3139" s="1073" t="n">
        <v>138.044797111111</v>
      </c>
      <c r="I3139" s="2163" t="n">
        <v>0</v>
      </c>
      <c r="J3139" s="2163" t="n">
        <v>0</v>
      </c>
      <c r="K3139" s="2163" t="n"/>
    </row>
    <row r="3140" outlineLevel="3" ht="12.75" customHeight="1">
      <c r="A3140" s="82" t="n">
        <v>2</v>
      </c>
      <c r="B3140" s="82" t="inlineStr">
        <is>
          <t>Insumo</t>
        </is>
      </c>
      <c r="C3140" s="82" t="inlineStr">
        <is>
          <t>Pavimentação em Piso drenante 45x45 cm</t>
        </is>
      </c>
      <c r="D3140" s="82" t="inlineStr">
        <is>
          <t>Piso drenante - 45x45x5</t>
        </is>
      </c>
      <c r="E3140" s="11">
        <f t="array" ref="E3140">_xlfn.XLOOKUP(D3140,Insumos!B:B,Insumos!C:$C)</f>
        <v/>
      </c>
      <c r="F3140" s="2164" t="n">
        <v>1.05</v>
      </c>
      <c r="G3140" s="92">
        <f t="array" ref="G3140">IF(B3140="insumo",_xlfn.XLOOKUP($D3140,Insumos!$B$1:$B$996,Insumos!$D$1:$D$996),"")</f>
        <v/>
      </c>
      <c r="H3140" s="92" t="n">
        <v>129.111111111111</v>
      </c>
      <c r="I3140" s="2165" t="n">
        <v>0</v>
      </c>
      <c r="J3140" s="2165" t="n">
        <v>0</v>
      </c>
      <c r="K3140" s="2165" t="n"/>
    </row>
    <row r="3141" outlineLevel="3" ht="12.75" customHeight="1">
      <c r="A3141" s="82" t="n">
        <v>8</v>
      </c>
      <c r="B3141" s="82" t="inlineStr">
        <is>
          <t>Insumo</t>
        </is>
      </c>
      <c r="C3141" s="82" t="inlineStr">
        <is>
          <t>Pavimentação em Piso drenante 45x45 cm</t>
        </is>
      </c>
      <c r="D3141" s="82" t="inlineStr">
        <is>
          <t xml:space="preserve">PO DE PEDRA </t>
        </is>
      </c>
      <c r="E3141" s="11">
        <f t="array" ref="E3141">_xlfn.XLOOKUP(D3141,Insumos!B:B,Insumos!C:$C)</f>
        <v/>
      </c>
      <c r="F3141" s="2164" t="n">
        <v>0.0066</v>
      </c>
      <c r="G3141" s="92">
        <f t="array" ref="G3141">IF(B3141="insumo",_xlfn.XLOOKUP($D3141,Insumos!$B$1:$B$996,Insumos!$D$1:$D$996),"")</f>
        <v/>
      </c>
      <c r="H3141" s="92" t="n">
        <v>0.697686</v>
      </c>
      <c r="I3141" s="2165" t="n">
        <v>0</v>
      </c>
      <c r="J3141" s="2165" t="n">
        <v>0</v>
      </c>
      <c r="K3141" s="2165" t="n"/>
    </row>
    <row r="3142" outlineLevel="3" ht="12.75" customHeight="1">
      <c r="A3142" s="82" t="n">
        <v>10</v>
      </c>
      <c r="B3142" s="82" t="inlineStr">
        <is>
          <t>Insumo</t>
        </is>
      </c>
      <c r="C3142" s="82" t="inlineStr">
        <is>
          <t>Pavimentação em Piso drenante 45x45 cm</t>
        </is>
      </c>
      <c r="D3142" s="82" t="inlineStr">
        <is>
          <t>AREIA MEDIA</t>
        </is>
      </c>
      <c r="E3142" s="11">
        <f t="array" ref="E3142">_xlfn.XLOOKUP(D3142,Insumos!B:B,Insumos!C:$C)</f>
        <v/>
      </c>
      <c r="F3142" s="2164" t="n">
        <v>0.0568</v>
      </c>
      <c r="G3142" s="92">
        <f t="array" ref="G3142">IF(B3142="insumo",_xlfn.XLOOKUP($D3142,Insumos!$B$1:$B$996,Insumos!$D$1:$D$996),"")</f>
        <v/>
      </c>
      <c r="H3142" s="92" t="n">
        <v>8.236000000000001</v>
      </c>
      <c r="I3142" s="2165" t="n">
        <v>0</v>
      </c>
      <c r="J3142" s="2165" t="n">
        <v>0</v>
      </c>
      <c r="K3142" s="2165" t="n"/>
    </row>
    <row r="3143" outlineLevel="1" ht="15.75" customHeight="1">
      <c r="A3143" s="1090" t="n">
        <v>1</v>
      </c>
      <c r="B3143" s="1090" t="inlineStr">
        <is>
          <t>Subetapa</t>
        </is>
      </c>
      <c r="C3143" s="1090" t="inlineStr">
        <is>
          <t>Pavimentação em Piso drenante 45x45 cm</t>
        </is>
      </c>
      <c r="D3143" s="1090" t="inlineStr">
        <is>
          <t>PISOS ESPECIAIS</t>
        </is>
      </c>
      <c r="E3143" s="1091" t="n"/>
      <c r="F3143" s="2160" t="n"/>
      <c r="G3143" s="1091" t="n"/>
      <c r="H3143" s="1091" t="n">
        <v>0</v>
      </c>
      <c r="I3143" s="2160" t="n">
        <v>0</v>
      </c>
      <c r="J3143" s="2160" t="n">
        <v>0</v>
      </c>
      <c r="K3143" s="2160" t="n"/>
    </row>
    <row r="3144" outlineLevel="2" ht="15.75" customHeight="1">
      <c r="A3144" s="1067" t="n">
        <v>1</v>
      </c>
      <c r="B3144" s="1067" t="inlineStr">
        <is>
          <t>Serviço</t>
        </is>
      </c>
      <c r="C3144" s="1067" t="inlineStr">
        <is>
          <t xml:space="preserve">Deck de madeira - material e mão de obra </t>
        </is>
      </c>
      <c r="D3144" s="1067" t="inlineStr">
        <is>
          <t xml:space="preserve">Deck de madeira - material e mão de obra </t>
        </is>
      </c>
      <c r="E3144" s="1068" t="inlineStr">
        <is>
          <t>M2</t>
        </is>
      </c>
      <c r="F3144" s="1067" t="n"/>
      <c r="G3144" s="1069">
        <f t="array" ref="G3144">IF(B3144="insumo",_xlfn.XLOOKUP($D3144,Insumos!$B$1:$B$996,Insumos!$D$1:$D$996),"")</f>
        <v/>
      </c>
      <c r="H3144" s="1069" t="n">
        <v>822.7</v>
      </c>
      <c r="I3144" s="2161" t="n">
        <v>0</v>
      </c>
      <c r="J3144" s="2161" t="n">
        <v>0</v>
      </c>
      <c r="K3144" s="2161" t="n"/>
    </row>
    <row r="3145" outlineLevel="3" ht="15.75" customHeight="1">
      <c r="A3145" s="10" t="n">
        <v>1</v>
      </c>
      <c r="B3145" s="10" t="inlineStr">
        <is>
          <t>Insumo</t>
        </is>
      </c>
      <c r="C3145" s="10" t="inlineStr">
        <is>
          <t xml:space="preserve">Deck de madeira - material e mão de obra </t>
        </is>
      </c>
      <c r="D3145" s="10" t="inlineStr">
        <is>
          <t>DECKS COMPOSTOS DE MADEIRA ECOLÓGICA PARA EXTERIORES</t>
        </is>
      </c>
      <c r="E3145" s="11">
        <f t="array" ref="E3145">_xlfn.XLOOKUP(D3145,Insumos!B:B,Insumos!C:$C)</f>
        <v/>
      </c>
      <c r="F3145" s="14" t="n">
        <v>1.1</v>
      </c>
      <c r="G3145" s="92">
        <f t="array" ref="G3145">IF(B3145="insumo",_xlfn.XLOOKUP($D3145,Insumos!$B$1:$B$996,Insumos!$D$1:$D$996),"")</f>
        <v/>
      </c>
      <c r="H3145" s="92" t="n">
        <v>612.7</v>
      </c>
      <c r="I3145" s="2162" t="n">
        <v>0</v>
      </c>
      <c r="J3145" s="2162" t="n">
        <v>0</v>
      </c>
      <c r="K3145" s="2162" t="n"/>
    </row>
    <row r="3146" outlineLevel="3" ht="15.75" customHeight="1">
      <c r="A3146" s="10" t="n">
        <v>2</v>
      </c>
      <c r="B3146" s="10" t="inlineStr">
        <is>
          <t>Insumo</t>
        </is>
      </c>
      <c r="C3146" s="10" t="inlineStr">
        <is>
          <t xml:space="preserve">Deck de madeira - material e mão de obra </t>
        </is>
      </c>
      <c r="D3146" s="10" t="inlineStr">
        <is>
          <t>Mão de obra de instalação de deck de madeira</t>
        </is>
      </c>
      <c r="E3146" s="11">
        <f t="array" ref="E3146">_xlfn.XLOOKUP(D3146,Insumos!B:B,Insumos!C:$C)</f>
        <v/>
      </c>
      <c r="F3146" s="14" t="n">
        <v>1</v>
      </c>
      <c r="G3146" s="92">
        <f t="array" ref="G3146">IF(B3146="insumo",_xlfn.XLOOKUP($D3146,Insumos!$B$1:$B$996,Insumos!$D$1:$D$996),"")</f>
        <v/>
      </c>
      <c r="H3146" s="92" t="n">
        <v>210</v>
      </c>
      <c r="I3146" s="2162" t="n">
        <v>0</v>
      </c>
      <c r="J3146" s="2162" t="n">
        <v>0</v>
      </c>
      <c r="K3146" s="2162" t="n"/>
    </row>
    <row r="3147" outlineLevel="2" ht="15.75" customHeight="1">
      <c r="A3147" s="1067" t="n">
        <v>1</v>
      </c>
      <c r="B3147" s="1067" t="inlineStr">
        <is>
          <t>Serviço</t>
        </is>
      </c>
      <c r="C3147" s="1067" t="inlineStr">
        <is>
          <t xml:space="preserve">Deck de madeira Cumaru - Tábuas: 10 x 200 cm - material e mão de obra </t>
        </is>
      </c>
      <c r="D3147" s="1067" t="inlineStr">
        <is>
          <t xml:space="preserve">Deck de madeira Cumaru - Tábuas: 10 x 200 cm - material e mão de obra </t>
        </is>
      </c>
      <c r="E3147" s="1068" t="inlineStr">
        <is>
          <t>M2</t>
        </is>
      </c>
      <c r="F3147" s="1067" t="n"/>
      <c r="G3147" s="1069">
        <f t="array" ref="G3147">IF(B3147="insumo",_xlfn.XLOOKUP($D3147,Insumos!$B$1:$B$996,Insumos!$D$1:$D$996),"")</f>
        <v/>
      </c>
      <c r="H3147" s="1069" t="n">
        <v>935</v>
      </c>
      <c r="I3147" s="2161" t="e">
        <v>#REF!</v>
      </c>
      <c r="J3147" s="2161" t="e">
        <v>#REF!</v>
      </c>
      <c r="K3147" s="2161" t="n"/>
    </row>
    <row r="3148" outlineLevel="3" ht="15.75" customHeight="1">
      <c r="A3148" s="10" t="n">
        <v>1</v>
      </c>
      <c r="B3148" s="10" t="inlineStr">
        <is>
          <t>Insumo</t>
        </is>
      </c>
      <c r="C3148" s="10" t="inlineStr">
        <is>
          <t xml:space="preserve">Deck de madeira Cumaru - Tábuas: 10 x 200 cm - material e mão de obra </t>
        </is>
      </c>
      <c r="D3148" s="10" t="inlineStr">
        <is>
          <t>PISO DECK MADEIRA (CUMARU) - Tábuas: 10 x 200 cm - Material e Mão de Obra</t>
        </is>
      </c>
      <c r="E3148" s="11">
        <f t="array" ref="E3148">_xlfn.XLOOKUP(D3148,Insumos!B:B,Insumos!C:$C)</f>
        <v/>
      </c>
      <c r="F3148" s="14" t="n">
        <v>1.1</v>
      </c>
      <c r="G3148" s="92">
        <f t="array" ref="G3148">IF(B3148="insumo",_xlfn.XLOOKUP($D3148,Insumos!$B$1:$B$996,Insumos!$D$1:$D$996),"")</f>
        <v/>
      </c>
      <c r="H3148" s="92" t="n">
        <v>935</v>
      </c>
      <c r="I3148" s="2162" t="e">
        <v>#REF!</v>
      </c>
      <c r="J3148" s="2162" t="e">
        <v>#REF!</v>
      </c>
      <c r="K3148" s="2162" t="n"/>
    </row>
    <row r="3149" outlineLevel="2" ht="15.75" customHeight="1">
      <c r="A3149" s="1067" t="n">
        <v>1</v>
      </c>
      <c r="B3149" s="1067" t="inlineStr">
        <is>
          <t>Serviço</t>
        </is>
      </c>
      <c r="C3149" s="1067" t="inlineStr">
        <is>
          <t xml:space="preserve">Piso de madeira natural - Carvalho Europeu Prime (Engineered Oak) - material e mão de obra </t>
        </is>
      </c>
      <c r="D3149" s="1067" t="inlineStr">
        <is>
          <t xml:space="preserve">Piso de madeira natural - Carvalho Europeu Prime (Engineered Oak) - material e mão de obra </t>
        </is>
      </c>
      <c r="E3149" s="1068" t="inlineStr">
        <is>
          <t>M2</t>
        </is>
      </c>
      <c r="F3149" s="1067" t="n"/>
      <c r="G3149" s="1069">
        <f t="array" ref="G3149">IF(B3149="insumo",_xlfn.XLOOKUP($D3149,Insumos!$B$1:$B$996,Insumos!$D$1:$D$996),"")</f>
        <v/>
      </c>
      <c r="H3149" s="1069" t="n">
        <v>1155</v>
      </c>
      <c r="I3149" s="2161" t="n">
        <v>0</v>
      </c>
      <c r="J3149" s="2161" t="n">
        <v>0</v>
      </c>
      <c r="K3149" s="2161" t="n"/>
    </row>
    <row r="3150" outlineLevel="3" ht="15.75" customHeight="1">
      <c r="A3150" s="10" t="n">
        <v>1</v>
      </c>
      <c r="B3150" s="10" t="inlineStr">
        <is>
          <t>Insumo</t>
        </is>
      </c>
      <c r="C3150" s="10" t="inlineStr">
        <is>
          <t xml:space="preserve">Piso de madeira natural - Carvalho Europeu Prime (Engineered Oak) - material e mão de obra </t>
        </is>
      </c>
      <c r="D3150" s="10" t="inlineStr">
        <is>
          <t xml:space="preserve">Piso de madeira natural - Carvalho Europeu Prime (Engineered Oak) - material e mão de obra </t>
        </is>
      </c>
      <c r="E3150" s="11">
        <f t="array" ref="E3150">_xlfn.XLOOKUP(D3150,Insumos!B:B,Insumos!C:$C)</f>
        <v/>
      </c>
      <c r="F3150" s="14" t="n">
        <v>1.1</v>
      </c>
      <c r="G3150" s="92">
        <f t="array" ref="G3150">IF(B3150="insumo",_xlfn.XLOOKUP($D3150,Insumos!$B$1:$B$996,Insumos!$D$1:$D$996),"")</f>
        <v/>
      </c>
      <c r="H3150" s="92" t="n">
        <v>1155</v>
      </c>
      <c r="I3150" s="2162" t="n">
        <v>0</v>
      </c>
      <c r="J3150" s="2162" t="n">
        <v>0</v>
      </c>
      <c r="K3150" s="2162" t="n"/>
    </row>
    <row r="3151" outlineLevel="2" ht="15.75" customHeight="1">
      <c r="A3151" s="1067" t="n">
        <v>1</v>
      </c>
      <c r="B3151" s="1067" t="inlineStr">
        <is>
          <t>Serviço</t>
        </is>
      </c>
      <c r="C3151" s="1067" t="inlineStr">
        <is>
          <t xml:space="preserve">Piso de madeira natural - Carvalho Rustic Premium - material e mão de obra </t>
        </is>
      </c>
      <c r="D3151" s="1067" t="inlineStr">
        <is>
          <t xml:space="preserve">Piso de madeira natural - Carvalho Rustic Premium - material e mão de obra </t>
        </is>
      </c>
      <c r="E3151" s="1068" t="inlineStr">
        <is>
          <t>M2</t>
        </is>
      </c>
      <c r="F3151" s="1067" t="n"/>
      <c r="G3151" s="1069">
        <f t="array" ref="G3151">IF(B3151="insumo",_xlfn.XLOOKUP($D3151,Insumos!$B$1:$B$996,Insumos!$D$1:$D$996),"")</f>
        <v/>
      </c>
      <c r="H3151" s="1069" t="n">
        <v>858</v>
      </c>
      <c r="I3151" s="2161" t="n">
        <v>0</v>
      </c>
      <c r="J3151" s="2161" t="n">
        <v>0</v>
      </c>
      <c r="K3151" s="2161" t="n"/>
    </row>
    <row r="3152" outlineLevel="3" ht="15.75" customHeight="1">
      <c r="A3152" s="10" t="n">
        <v>1</v>
      </c>
      <c r="B3152" s="10" t="inlineStr">
        <is>
          <t>Insumo</t>
        </is>
      </c>
      <c r="C3152" s="10" t="inlineStr">
        <is>
          <t xml:space="preserve">Piso de madeira natural - Carvalho Rustic Premium - material e mão de obra </t>
        </is>
      </c>
      <c r="D3152" s="10" t="inlineStr">
        <is>
          <t xml:space="preserve">Piso de madeira natural - Carvalho Rustic Premium - material e mão de obra </t>
        </is>
      </c>
      <c r="E3152" s="11">
        <f t="array" ref="E3152">_xlfn.XLOOKUP(D3152,Insumos!B:B,Insumos!C:$C)</f>
        <v/>
      </c>
      <c r="F3152" s="14" t="n">
        <v>1.1</v>
      </c>
      <c r="G3152" s="92">
        <f t="array" ref="G3152">IF(B3152="insumo",_xlfn.XLOOKUP($D3152,Insumos!$B$1:$B$996,Insumos!$D$1:$D$996),"")</f>
        <v/>
      </c>
      <c r="H3152" s="92" t="n">
        <v>858</v>
      </c>
      <c r="I3152" s="2162" t="n">
        <v>0</v>
      </c>
      <c r="J3152" s="2162" t="n">
        <v>0</v>
      </c>
      <c r="K3152" s="2162" t="n"/>
    </row>
    <row r="3153" outlineLevel="2" ht="15.75" customHeight="1">
      <c r="A3153" s="1067" t="n">
        <v>1</v>
      </c>
      <c r="B3153" s="1067" t="inlineStr">
        <is>
          <t>Serviço</t>
        </is>
      </c>
      <c r="C3153" s="1067" t="inlineStr">
        <is>
          <t xml:space="preserve">Piso de madeira natural - Nogueira Americana - material e mão de obra </t>
        </is>
      </c>
      <c r="D3153" s="1067" t="inlineStr">
        <is>
          <t xml:space="preserve">Piso de madeira natural - Nogueira Americana - material e mão de obra </t>
        </is>
      </c>
      <c r="E3153" s="1068" t="inlineStr">
        <is>
          <t>M2</t>
        </is>
      </c>
      <c r="F3153" s="1067" t="n"/>
      <c r="G3153" s="1069">
        <f t="array" ref="G3153">IF(B3153="insumo",_xlfn.XLOOKUP($D3153,Insumos!$B$1:$B$996,Insumos!$D$1:$D$996),"")</f>
        <v/>
      </c>
      <c r="H3153" s="1069" t="n">
        <v>1210</v>
      </c>
      <c r="I3153" s="2161" t="n">
        <v>0</v>
      </c>
      <c r="J3153" s="2161" t="n">
        <v>0</v>
      </c>
      <c r="K3153" s="2161" t="n"/>
    </row>
    <row r="3154" outlineLevel="3" ht="15.75" customHeight="1">
      <c r="A3154" s="10" t="n">
        <v>1</v>
      </c>
      <c r="B3154" s="10" t="inlineStr">
        <is>
          <t>Insumo</t>
        </is>
      </c>
      <c r="C3154" s="10" t="inlineStr">
        <is>
          <t xml:space="preserve">Piso de madeira natural - Nogueira Americana - material e mão de obra </t>
        </is>
      </c>
      <c r="D3154" s="10" t="inlineStr">
        <is>
          <t xml:space="preserve">Piso de madeira natural - Nogueira Americana - material e mão de obra </t>
        </is>
      </c>
      <c r="E3154" s="11">
        <f t="array" ref="E3154">_xlfn.XLOOKUP(D3154,Insumos!B:B,Insumos!C:$C)</f>
        <v/>
      </c>
      <c r="F3154" s="14" t="n">
        <v>1.1</v>
      </c>
      <c r="G3154" s="92">
        <f t="array" ref="G3154">IF(B3154="insumo",_xlfn.XLOOKUP($D3154,Insumos!$B$1:$B$996,Insumos!$D$1:$D$996),"")</f>
        <v/>
      </c>
      <c r="H3154" s="92" t="n">
        <v>1210</v>
      </c>
      <c r="I3154" s="2162" t="n">
        <v>0</v>
      </c>
      <c r="J3154" s="2162" t="n">
        <v>0</v>
      </c>
      <c r="K3154" s="2162" t="n"/>
    </row>
    <row r="3155" outlineLevel="2" ht="15.75" customHeight="1">
      <c r="A3155" s="1067" t="n">
        <v>1</v>
      </c>
      <c r="B3155" s="1067" t="inlineStr">
        <is>
          <t>Serviço</t>
        </is>
      </c>
      <c r="C3155" s="1067" t="inlineStr">
        <is>
          <t xml:space="preserve">Piso de madeira natural - Cumaru engenheirado - material e mão de obra </t>
        </is>
      </c>
      <c r="D3155" s="1067" t="inlineStr">
        <is>
          <t xml:space="preserve">Piso de madeira natural - Cumaru engenheirado - material e mão de obra </t>
        </is>
      </c>
      <c r="E3155" s="1068" t="inlineStr">
        <is>
          <t>M2</t>
        </is>
      </c>
      <c r="F3155" s="1067" t="n"/>
      <c r="G3155" s="1069">
        <f t="array" ref="G3155">IF(B3155="insumo",_xlfn.XLOOKUP($D3155,Insumos!$B$1:$B$996,Insumos!$D$1:$D$996),"")</f>
        <v/>
      </c>
      <c r="H3155" s="1069" t="n">
        <v>825</v>
      </c>
      <c r="I3155" s="2161" t="e">
        <v>#REF!</v>
      </c>
      <c r="J3155" s="2161" t="e">
        <v>#REF!</v>
      </c>
      <c r="K3155" s="2161" t="n"/>
    </row>
    <row r="3156" outlineLevel="3" ht="15.75" customHeight="1">
      <c r="A3156" s="10" t="n">
        <v>1</v>
      </c>
      <c r="B3156" s="10" t="inlineStr">
        <is>
          <t>Insumo</t>
        </is>
      </c>
      <c r="C3156" s="10" t="inlineStr">
        <is>
          <t xml:space="preserve">Piso de madeira natural - Cumaru engenheirado - material e mão de obra </t>
        </is>
      </c>
      <c r="D3156" s="10" t="inlineStr">
        <is>
          <t xml:space="preserve">Piso de madeira natural - Cumaru engenheirado - material e mão de obra </t>
        </is>
      </c>
      <c r="E3156" s="11">
        <f t="array" ref="E3156">_xlfn.XLOOKUP(D3156,Insumos!B:B,Insumos!C:$C)</f>
        <v/>
      </c>
      <c r="F3156" s="14" t="n">
        <v>1.1</v>
      </c>
      <c r="G3156" s="92">
        <f t="array" ref="G3156">IF(B3156="insumo",_xlfn.XLOOKUP($D3156,Insumos!$B$1:$B$996,Insumos!$D$1:$D$996),"")</f>
        <v/>
      </c>
      <c r="H3156" s="92" t="n">
        <v>825</v>
      </c>
      <c r="I3156" s="2162" t="e">
        <v>#REF!</v>
      </c>
      <c r="J3156" s="2162" t="e">
        <v>#REF!</v>
      </c>
      <c r="K3156" s="2162" t="n"/>
    </row>
    <row r="3157" outlineLevel="2" ht="15.75" customHeight="1">
      <c r="A3157" s="1067" t="n">
        <v>1</v>
      </c>
      <c r="B3157" s="1067" t="inlineStr">
        <is>
          <t>Serviço</t>
        </is>
      </c>
      <c r="C3157" s="1067" t="inlineStr">
        <is>
          <t xml:space="preserve">Piso de madeira escura Sucupira - material e mão de obra </t>
        </is>
      </c>
      <c r="D3157" s="1067" t="inlineStr">
        <is>
          <t xml:space="preserve">Piso de madeira escura Sucupira - material e mão de obra </t>
        </is>
      </c>
      <c r="E3157" s="1068" t="inlineStr">
        <is>
          <t>M2</t>
        </is>
      </c>
      <c r="F3157" s="1067" t="n"/>
      <c r="G3157" s="1069">
        <f t="array" ref="G3157">IF(B3157="insumo",_xlfn.XLOOKUP($D3157,Insumos!$B$1:$B$996,Insumos!$D$1:$D$996),"")</f>
        <v/>
      </c>
      <c r="H3157" s="1069" t="n">
        <v>870</v>
      </c>
      <c r="I3157" s="2161" t="n">
        <v>0</v>
      </c>
      <c r="J3157" s="2161" t="n">
        <v>0</v>
      </c>
      <c r="K3157" s="2161" t="n"/>
    </row>
    <row r="3158" outlineLevel="3" ht="15.75" customHeight="1">
      <c r="A3158" s="10" t="n">
        <v>1</v>
      </c>
      <c r="B3158" s="10" t="inlineStr">
        <is>
          <t>Insumo</t>
        </is>
      </c>
      <c r="C3158" s="10" t="inlineStr">
        <is>
          <t xml:space="preserve">Piso de madeira escura Sucupira - material e mão de obra </t>
        </is>
      </c>
      <c r="D3158" s="10" t="inlineStr">
        <is>
          <t>PISO MADEIRA ESCURA - Sucupira</t>
        </is>
      </c>
      <c r="E3158" s="11">
        <f t="array" ref="E3158">_xlfn.XLOOKUP(D3158,Insumos!B:B,Insumos!C:$C)</f>
        <v/>
      </c>
      <c r="F3158" s="14" t="n">
        <v>1.1</v>
      </c>
      <c r="G3158" s="92">
        <f t="array" ref="G3158">IF(B3158="insumo",_xlfn.XLOOKUP($D3158,Insumos!$B$1:$B$996,Insumos!$D$1:$D$996),"")</f>
        <v/>
      </c>
      <c r="H3158" s="92" t="n">
        <v>660</v>
      </c>
      <c r="I3158" s="2162" t="n">
        <v>0</v>
      </c>
      <c r="J3158" s="2162" t="n">
        <v>0</v>
      </c>
      <c r="K3158" s="2162" t="n"/>
    </row>
    <row r="3159" outlineLevel="3" ht="15.75" customHeight="1">
      <c r="A3159" s="10" t="n">
        <v>5</v>
      </c>
      <c r="B3159" s="10" t="inlineStr">
        <is>
          <t>Insumo</t>
        </is>
      </c>
      <c r="C3159" s="10" t="inlineStr">
        <is>
          <t xml:space="preserve">Piso de madeira escura Sucupira - material e mão de obra </t>
        </is>
      </c>
      <c r="D3159" s="10" t="inlineStr">
        <is>
          <t>Mão de obra de instalação de Piso de madeira</t>
        </is>
      </c>
      <c r="E3159" s="11">
        <f t="array" ref="E3159">_xlfn.XLOOKUP(D3159,Insumos!B:B,Insumos!C:$C)</f>
        <v/>
      </c>
      <c r="F3159" s="14" t="n">
        <v>1</v>
      </c>
      <c r="G3159" s="92">
        <f t="array" ref="G3159">IF(B3159="insumo",_xlfn.XLOOKUP($D3159,Insumos!$B$1:$B$996,Insumos!$D$1:$D$996),"")</f>
        <v/>
      </c>
      <c r="H3159" s="92" t="n">
        <v>210</v>
      </c>
      <c r="I3159" s="2162" t="n">
        <v>0</v>
      </c>
      <c r="J3159" s="2162" t="n">
        <v>0</v>
      </c>
      <c r="K3159" s="2162" t="n"/>
    </row>
    <row r="3160" outlineLevel="2" ht="15.75" customHeight="1">
      <c r="A3160" s="1067" t="n">
        <v>1</v>
      </c>
      <c r="B3160" s="1067" t="inlineStr">
        <is>
          <t>Serviço</t>
        </is>
      </c>
      <c r="C3160" s="1067" t="inlineStr">
        <is>
          <t xml:space="preserve">Piso de madeira escura Tauari Naturalle - material e mão de obra </t>
        </is>
      </c>
      <c r="D3160" s="1067" t="inlineStr">
        <is>
          <t xml:space="preserve">Piso de madeira escura Tauari Naturalle - material e mão de obra </t>
        </is>
      </c>
      <c r="E3160" s="1068" t="inlineStr">
        <is>
          <t>M2</t>
        </is>
      </c>
      <c r="F3160" s="1067" t="n"/>
      <c r="G3160" s="1069">
        <f t="array" ref="G3160">IF(B3160="insumo",_xlfn.XLOOKUP($D3160,Insumos!$B$1:$B$996,Insumos!$D$1:$D$996),"")</f>
        <v/>
      </c>
      <c r="H3160" s="1069" t="n">
        <v>859</v>
      </c>
      <c r="I3160" s="2161" t="e">
        <v>#REF!</v>
      </c>
      <c r="J3160" s="2161" t="e">
        <v>#REF!</v>
      </c>
      <c r="K3160" s="2161" t="n"/>
    </row>
    <row r="3161" outlineLevel="3" ht="15.75" customHeight="1">
      <c r="A3161" s="10" t="n">
        <v>1</v>
      </c>
      <c r="B3161" s="10" t="inlineStr">
        <is>
          <t>Insumo</t>
        </is>
      </c>
      <c r="C3161" s="10" t="inlineStr">
        <is>
          <t xml:space="preserve">Piso de madeira escura Tauari Naturalle - material e mão de obra </t>
        </is>
      </c>
      <c r="D3161" s="10" t="inlineStr">
        <is>
          <t>PISO MADEIRA ESCURA - Tauari Naturalle</t>
        </is>
      </c>
      <c r="E3161" s="11">
        <f t="array" ref="E3161">_xlfn.XLOOKUP(D3161,Insumos!B:B,Insumos!C:$C)</f>
        <v/>
      </c>
      <c r="F3161" s="14" t="n">
        <v>1.1</v>
      </c>
      <c r="G3161" s="92">
        <f t="array" ref="G3161">IF(B3161="insumo",_xlfn.XLOOKUP($D3161,Insumos!$B$1:$B$996,Insumos!$D$1:$D$996),"")</f>
        <v/>
      </c>
      <c r="H3161" s="92" t="n">
        <v>649</v>
      </c>
      <c r="I3161" s="2162" t="e">
        <v>#REF!</v>
      </c>
      <c r="J3161" s="2162" t="e">
        <v>#REF!</v>
      </c>
      <c r="K3161" s="2162" t="n"/>
    </row>
    <row r="3162" outlineLevel="3" ht="15.75" customHeight="1">
      <c r="A3162" s="10" t="n">
        <v>5</v>
      </c>
      <c r="B3162" s="10" t="inlineStr">
        <is>
          <t>Insumo</t>
        </is>
      </c>
      <c r="C3162" s="10" t="inlineStr">
        <is>
          <t xml:space="preserve">Piso de madeira escura Tauari Naturalle - material e mão de obra </t>
        </is>
      </c>
      <c r="D3162" s="10" t="inlineStr">
        <is>
          <t>Mão de obra de instalação de Piso de madeira</t>
        </is>
      </c>
      <c r="E3162" s="11">
        <f t="array" ref="E3162">_xlfn.XLOOKUP(D3162,Insumos!B:B,Insumos!C:$C)</f>
        <v/>
      </c>
      <c r="F3162" s="14" t="n">
        <v>1</v>
      </c>
      <c r="G3162" s="92">
        <f t="array" ref="G3162">IF(B3162="insumo",_xlfn.XLOOKUP($D3162,Insumos!$B$1:$B$996,Insumos!$D$1:$D$996),"")</f>
        <v/>
      </c>
      <c r="H3162" s="92" t="n">
        <v>210</v>
      </c>
      <c r="I3162" s="2162" t="e">
        <v>#REF!</v>
      </c>
      <c r="J3162" s="2162" t="e">
        <v>#REF!</v>
      </c>
      <c r="K3162" s="2162" t="n"/>
    </row>
    <row r="3163" outlineLevel="2" ht="15.75" customHeight="1">
      <c r="A3163" s="1067" t="n">
        <v>1</v>
      </c>
      <c r="B3163" s="1067" t="inlineStr">
        <is>
          <t>Serviço</t>
        </is>
      </c>
      <c r="C3163" s="1067" t="inlineStr">
        <is>
          <t xml:space="preserve">Piso de madeira clara Tauari Naturalle Cremme - material e mão de obra </t>
        </is>
      </c>
      <c r="D3163" s="1067" t="inlineStr">
        <is>
          <t xml:space="preserve">Piso de madeira clara Tauari Naturalle Cremme - material e mão de obra </t>
        </is>
      </c>
      <c r="E3163" s="1068" t="inlineStr">
        <is>
          <t>M2</t>
        </is>
      </c>
      <c r="F3163" s="1067" t="n"/>
      <c r="G3163" s="1069">
        <f t="array" ref="G3163">IF(B3163="insumo",_xlfn.XLOOKUP($D3163,Insumos!$B$1:$B$996,Insumos!$D$1:$D$996),"")</f>
        <v/>
      </c>
      <c r="H3163" s="1069" t="n">
        <v>859</v>
      </c>
      <c r="I3163" s="2161" t="e">
        <v>#REF!</v>
      </c>
      <c r="J3163" s="2161" t="e">
        <v>#REF!</v>
      </c>
      <c r="K3163" s="2161" t="n"/>
    </row>
    <row r="3164" outlineLevel="3" ht="15.75" customHeight="1">
      <c r="A3164" s="10" t="n">
        <v>1</v>
      </c>
      <c r="B3164" s="10" t="inlineStr">
        <is>
          <t>Insumo</t>
        </is>
      </c>
      <c r="C3164" s="10" t="inlineStr">
        <is>
          <t xml:space="preserve">Piso de madeira clara Tauari Naturalle Cremme - material e mão de obra </t>
        </is>
      </c>
      <c r="D3164" s="10" t="inlineStr">
        <is>
          <t>PISO MADEIRA CLARA - Tauari Naturalle Creme</t>
        </is>
      </c>
      <c r="E3164" s="11">
        <f t="array" ref="E3164">_xlfn.XLOOKUP(D3164,Insumos!B:B,Insumos!C:$C)</f>
        <v/>
      </c>
      <c r="F3164" s="14" t="n">
        <v>1.1</v>
      </c>
      <c r="G3164" s="92">
        <f t="array" ref="G3164">IF(B3164="insumo",_xlfn.XLOOKUP($D3164,Insumos!$B$1:$B$996,Insumos!$D$1:$D$996),"")</f>
        <v/>
      </c>
      <c r="H3164" s="92" t="n">
        <v>649</v>
      </c>
      <c r="I3164" s="2162" t="e">
        <v>#REF!</v>
      </c>
      <c r="J3164" s="2162" t="e">
        <v>#REF!</v>
      </c>
      <c r="K3164" s="2162" t="n"/>
    </row>
    <row r="3165" outlineLevel="3" ht="15.75" customHeight="1">
      <c r="A3165" s="10" t="n">
        <v>5</v>
      </c>
      <c r="B3165" s="10" t="inlineStr">
        <is>
          <t>Insumo</t>
        </is>
      </c>
      <c r="C3165" s="10" t="inlineStr">
        <is>
          <t xml:space="preserve">Piso de madeira clara Tauari Naturalle Cremme - material e mão de obra </t>
        </is>
      </c>
      <c r="D3165" s="10" t="inlineStr">
        <is>
          <t>Mão de obra de instalação de Piso de madeira</t>
        </is>
      </c>
      <c r="E3165" s="11">
        <f t="array" ref="E3165">_xlfn.XLOOKUP(D3165,Insumos!B:B,Insumos!C:$C)</f>
        <v/>
      </c>
      <c r="F3165" s="14" t="n">
        <v>1</v>
      </c>
      <c r="G3165" s="92">
        <f t="array" ref="G3165">IF(B3165="insumo",_xlfn.XLOOKUP($D3165,Insumos!$B$1:$B$996,Insumos!$D$1:$D$996),"")</f>
        <v/>
      </c>
      <c r="H3165" s="92" t="n">
        <v>210</v>
      </c>
      <c r="I3165" s="2162" t="e">
        <v>#REF!</v>
      </c>
      <c r="J3165" s="2162" t="e">
        <v>#REF!</v>
      </c>
      <c r="K3165" s="2162" t="n"/>
    </row>
    <row r="3166" outlineLevel="2" ht="15.75" customHeight="1">
      <c r="A3166" s="1067" t="n">
        <v>1</v>
      </c>
      <c r="B3166" s="1067" t="inlineStr">
        <is>
          <t>Serviço</t>
        </is>
      </c>
      <c r="C3166" s="1067" t="inlineStr">
        <is>
          <t xml:space="preserve">Piso de madeira clara Carvalho Bianco - material e mão de obra </t>
        </is>
      </c>
      <c r="D3166" s="1067" t="inlineStr">
        <is>
          <t xml:space="preserve">Piso de madeira clara Carvalho Bianco - material e mão de obra </t>
        </is>
      </c>
      <c r="E3166" s="1068" t="inlineStr">
        <is>
          <t>M2</t>
        </is>
      </c>
      <c r="F3166" s="1067" t="n"/>
      <c r="G3166" s="1069">
        <f t="array" ref="G3166">IF(B3166="insumo",_xlfn.XLOOKUP($D3166,Insumos!$B$1:$B$996,Insumos!$D$1:$D$996),"")</f>
        <v/>
      </c>
      <c r="H3166" s="1069" t="n">
        <v>1145</v>
      </c>
      <c r="I3166" s="2161" t="n">
        <v>0</v>
      </c>
      <c r="J3166" s="2161" t="n">
        <v>0</v>
      </c>
      <c r="K3166" s="2161" t="n"/>
    </row>
    <row r="3167" outlineLevel="3" ht="15.75" customHeight="1">
      <c r="A3167" s="10" t="n">
        <v>1</v>
      </c>
      <c r="B3167" s="10" t="inlineStr">
        <is>
          <t>Insumo</t>
        </is>
      </c>
      <c r="C3167" s="10" t="inlineStr">
        <is>
          <t xml:space="preserve">Piso de madeira clara Carvalho Bianco - material e mão de obra </t>
        </is>
      </c>
      <c r="D3167" s="10" t="inlineStr">
        <is>
          <t>PISO MADEIRA CLARA - Carvalho Bianco</t>
        </is>
      </c>
      <c r="E3167" s="11">
        <f t="array" ref="E3167">_xlfn.XLOOKUP(D3167,Insumos!B:B,Insumos!C:$C)</f>
        <v/>
      </c>
      <c r="F3167" s="14" t="n">
        <v>1.1</v>
      </c>
      <c r="G3167" s="92">
        <f t="array" ref="G3167">IF(B3167="insumo",_xlfn.XLOOKUP($D3167,Insumos!$B$1:$B$996,Insumos!$D$1:$D$996),"")</f>
        <v/>
      </c>
      <c r="H3167" s="92" t="n">
        <v>935</v>
      </c>
      <c r="I3167" s="2162" t="n">
        <v>0</v>
      </c>
      <c r="J3167" s="2162" t="n">
        <v>0</v>
      </c>
      <c r="K3167" s="2162" t="n"/>
    </row>
    <row r="3168" outlineLevel="3" ht="15.75" customHeight="1">
      <c r="A3168" s="10" t="n">
        <v>5</v>
      </c>
      <c r="B3168" s="10" t="inlineStr">
        <is>
          <t>Insumo</t>
        </is>
      </c>
      <c r="C3168" s="10" t="inlineStr">
        <is>
          <t xml:space="preserve">Piso de madeira clara Carvalho Bianco - material e mão de obra </t>
        </is>
      </c>
      <c r="D3168" s="10" t="inlineStr">
        <is>
          <t>Mão de obra de instalação de Piso de madeira</t>
        </is>
      </c>
      <c r="E3168" s="11">
        <f t="array" ref="E3168">_xlfn.XLOOKUP(D3168,Insumos!B:B,Insumos!C:$C)</f>
        <v/>
      </c>
      <c r="F3168" s="14" t="n">
        <v>1</v>
      </c>
      <c r="G3168" s="92">
        <f t="array" ref="G3168">IF(B3168="insumo",_xlfn.XLOOKUP($D3168,Insumos!$B$1:$B$996,Insumos!$D$1:$D$996),"")</f>
        <v/>
      </c>
      <c r="H3168" s="92" t="n">
        <v>210</v>
      </c>
      <c r="I3168" s="2162" t="n">
        <v>0</v>
      </c>
      <c r="J3168" s="2162" t="n">
        <v>0</v>
      </c>
      <c r="K3168" s="2162" t="n"/>
    </row>
    <row r="3169" outlineLevel="2" ht="15.75" customHeight="1">
      <c r="A3169" s="1067" t="n">
        <v>1</v>
      </c>
      <c r="B3169" s="1067" t="inlineStr">
        <is>
          <t>Serviço</t>
        </is>
      </c>
      <c r="C3169" s="1067" t="inlineStr">
        <is>
          <t xml:space="preserve">Piso de madeira Cumaru Chevron 45°  - material e mão de obra </t>
        </is>
      </c>
      <c r="D3169" s="1067" t="inlineStr">
        <is>
          <t xml:space="preserve">Piso de madeira Cumaru Chevron 45°  - material e mão de obra </t>
        </is>
      </c>
      <c r="E3169" s="1068" t="inlineStr">
        <is>
          <t>M2</t>
        </is>
      </c>
      <c r="F3169" s="1067" t="n"/>
      <c r="G3169" s="1069">
        <f t="array" ref="G3169">IF(B3169="insumo",_xlfn.XLOOKUP($D3169,Insumos!$B$1:$B$996,Insumos!$D$1:$D$996),"")</f>
        <v/>
      </c>
      <c r="H3169" s="1069" t="n">
        <v>1200</v>
      </c>
      <c r="I3169" s="2161" t="e">
        <v>#REF!</v>
      </c>
      <c r="J3169" s="2161" t="e">
        <v>#REF!</v>
      </c>
      <c r="K3169" s="2161" t="n"/>
    </row>
    <row r="3170" outlineLevel="3" ht="15.75" customHeight="1">
      <c r="A3170" s="10" t="n">
        <v>1</v>
      </c>
      <c r="B3170" s="10" t="inlineStr">
        <is>
          <t>Insumo</t>
        </is>
      </c>
      <c r="C3170" s="10" t="inlineStr">
        <is>
          <t xml:space="preserve">Piso de madeira Cumaru Chevron 45°  - material e mão de obra </t>
        </is>
      </c>
      <c r="D3170" s="10" t="inlineStr">
        <is>
          <t>PISO MADEIRA CHEVRON (45º) - Cumaru Chevron</t>
        </is>
      </c>
      <c r="E3170" s="11">
        <f t="array" ref="E3170">_xlfn.XLOOKUP(D3170,Insumos!B:B,Insumos!C:$C)</f>
        <v/>
      </c>
      <c r="F3170" s="14" t="n">
        <v>1.1</v>
      </c>
      <c r="G3170" s="92">
        <f t="array" ref="G3170">IF(B3170="insumo",_xlfn.XLOOKUP($D3170,Insumos!$B$1:$B$996,Insumos!$D$1:$D$996),"")</f>
        <v/>
      </c>
      <c r="H3170" s="92" t="n">
        <v>990</v>
      </c>
      <c r="I3170" s="2162" t="e">
        <v>#REF!</v>
      </c>
      <c r="J3170" s="2162" t="e">
        <v>#REF!</v>
      </c>
      <c r="K3170" s="2162" t="n"/>
    </row>
    <row r="3171" outlineLevel="3" ht="15.75" customHeight="1">
      <c r="A3171" s="10" t="n">
        <v>5</v>
      </c>
      <c r="B3171" s="10" t="inlineStr">
        <is>
          <t>Insumo</t>
        </is>
      </c>
      <c r="C3171" s="10" t="inlineStr">
        <is>
          <t xml:space="preserve">Piso de madeira Cumaru Chevron 45°  - material e mão de obra </t>
        </is>
      </c>
      <c r="D3171" s="10" t="inlineStr">
        <is>
          <t>Mão de obra de instalação de Piso de madeira</t>
        </is>
      </c>
      <c r="E3171" s="11">
        <f t="array" ref="E3171">_xlfn.XLOOKUP(D3171,Insumos!B:B,Insumos!C:$C)</f>
        <v/>
      </c>
      <c r="F3171" s="14" t="n">
        <v>1</v>
      </c>
      <c r="G3171" s="92">
        <f t="array" ref="G3171">IF(B3171="insumo",_xlfn.XLOOKUP($D3171,Insumos!$B$1:$B$996,Insumos!$D$1:$D$996),"")</f>
        <v/>
      </c>
      <c r="H3171" s="92" t="n">
        <v>210</v>
      </c>
      <c r="I3171" s="2162" t="e">
        <v>#REF!</v>
      </c>
      <c r="J3171" s="2162" t="e">
        <v>#REF!</v>
      </c>
      <c r="K3171" s="2162" t="n"/>
    </row>
    <row r="3172" outlineLevel="2" ht="15.75" customHeight="1">
      <c r="A3172" s="1067" t="n">
        <v>1</v>
      </c>
      <c r="B3172" s="1067" t="inlineStr">
        <is>
          <t>Serviço</t>
        </is>
      </c>
      <c r="C3172" s="1067" t="inlineStr">
        <is>
          <t xml:space="preserve">Piso de madeira Sucupira Chevron 45°  - material e mão de obra </t>
        </is>
      </c>
      <c r="D3172" s="1067" t="inlineStr">
        <is>
          <t xml:space="preserve">Piso de madeira Sucupira Chevron 45°  - material e mão de obra </t>
        </is>
      </c>
      <c r="E3172" s="1068" t="inlineStr">
        <is>
          <t>M2</t>
        </is>
      </c>
      <c r="F3172" s="1067" t="n"/>
      <c r="G3172" s="1069">
        <f t="array" ref="G3172">IF(B3172="insumo",_xlfn.XLOOKUP($D3172,Insumos!$B$1:$B$996,Insumos!$D$1:$D$996),"")</f>
        <v/>
      </c>
      <c r="H3172" s="1069" t="n">
        <v>1145</v>
      </c>
      <c r="I3172" s="2161" t="n">
        <v>0</v>
      </c>
      <c r="J3172" s="2161" t="n">
        <v>0</v>
      </c>
      <c r="K3172" s="2161" t="n"/>
    </row>
    <row r="3173" outlineLevel="3" ht="15.75" customHeight="1">
      <c r="A3173" s="10" t="n">
        <v>1</v>
      </c>
      <c r="B3173" s="10" t="inlineStr">
        <is>
          <t>Insumo</t>
        </is>
      </c>
      <c r="C3173" s="10" t="inlineStr">
        <is>
          <t xml:space="preserve">Piso de madeira Sucupira Chevron 45°  - material e mão de obra </t>
        </is>
      </c>
      <c r="D3173" s="10" t="inlineStr">
        <is>
          <t>PISO MADEIRA CHEVRON (45º) - Sucupira Chevron</t>
        </is>
      </c>
      <c r="E3173" s="11">
        <f t="array" ref="E3173">_xlfn.XLOOKUP(D3173,Insumos!B:B,Insumos!C:$C)</f>
        <v/>
      </c>
      <c r="F3173" s="14" t="n">
        <v>1.1</v>
      </c>
      <c r="G3173" s="92">
        <f t="array" ref="G3173">IF(B3173="insumo",_xlfn.XLOOKUP($D3173,Insumos!$B$1:$B$996,Insumos!$D$1:$D$996),"")</f>
        <v/>
      </c>
      <c r="H3173" s="92" t="n">
        <v>935</v>
      </c>
      <c r="I3173" s="2162" t="n">
        <v>0</v>
      </c>
      <c r="J3173" s="2162" t="n">
        <v>0</v>
      </c>
      <c r="K3173" s="2162" t="n"/>
    </row>
    <row r="3174" outlineLevel="3" ht="15.75" customHeight="1">
      <c r="A3174" s="10" t="n">
        <v>2</v>
      </c>
      <c r="B3174" s="10" t="inlineStr">
        <is>
          <t>Insumo</t>
        </is>
      </c>
      <c r="C3174" s="10" t="inlineStr">
        <is>
          <t xml:space="preserve">Piso de madeira Sucupira Chevron 45°  - material e mão de obra </t>
        </is>
      </c>
      <c r="D3174" s="10" t="inlineStr">
        <is>
          <t>Mão de obra de instalação de deck de madeira</t>
        </is>
      </c>
      <c r="E3174" s="11">
        <f t="array" ref="E3174">_xlfn.XLOOKUP(D3174,Insumos!B:B,Insumos!C:$C)</f>
        <v/>
      </c>
      <c r="F3174" s="14" t="n">
        <v>1</v>
      </c>
      <c r="G3174" s="92">
        <f t="array" ref="G3174">IF(B3174="insumo",_xlfn.XLOOKUP($D3174,Insumos!$B$1:$B$996,Insumos!$D$1:$D$996),"")</f>
        <v/>
      </c>
      <c r="H3174" s="92" t="n">
        <v>210</v>
      </c>
      <c r="I3174" s="2162" t="n">
        <v>0</v>
      </c>
      <c r="J3174" s="2162" t="n">
        <v>0</v>
      </c>
      <c r="K3174" s="2162" t="n"/>
    </row>
    <row r="3175" outlineLevel="2" ht="15.75" customHeight="1">
      <c r="A3175" s="1067" t="n">
        <v>1</v>
      </c>
      <c r="B3175" s="1067" t="inlineStr">
        <is>
          <t>Serviço</t>
        </is>
      </c>
      <c r="C3175" s="1081" t="inlineStr">
        <is>
          <t>Pisos Para Academia Emborrachado</t>
        </is>
      </c>
      <c r="D3175" s="1081" t="inlineStr">
        <is>
          <t>Pisos Para Academia Emborrachado</t>
        </is>
      </c>
      <c r="E3175" s="1068" t="inlineStr">
        <is>
          <t>M2</t>
        </is>
      </c>
      <c r="F3175" s="1081" t="n"/>
      <c r="G3175" s="1069">
        <f t="array" ref="G3175">IF(B3175="insumo",_xlfn.XLOOKUP($D3175,Insumos!$B$1:$B$996,Insumos!$D$1:$D$996),"")</f>
        <v/>
      </c>
      <c r="H3175" s="1069" t="n">
        <v>138.4</v>
      </c>
      <c r="I3175" s="2170" t="n">
        <v>0</v>
      </c>
      <c r="J3175" s="2170" t="n">
        <v>0</v>
      </c>
      <c r="K3175" s="2170" t="n"/>
    </row>
    <row r="3176" outlineLevel="3" ht="15.75" customHeight="1">
      <c r="A3176" s="10" t="n">
        <v>1</v>
      </c>
      <c r="B3176" s="10" t="inlineStr">
        <is>
          <t>Insumo</t>
        </is>
      </c>
      <c r="C3176" s="10" t="inlineStr">
        <is>
          <t>Pisos Para Academia Emborrachado</t>
        </is>
      </c>
      <c r="D3176" s="10" t="inlineStr">
        <is>
          <t>Pisos Para Academia e Crossfit Emborrachado - 50 x 50 cm</t>
        </is>
      </c>
      <c r="E3176" s="11">
        <f t="array" ref="E3176">_xlfn.XLOOKUP(D3176,Insumos!B:B,Insumos!C:$C)</f>
        <v/>
      </c>
      <c r="F3176" s="14" t="n">
        <v>1</v>
      </c>
      <c r="G3176" s="92">
        <f t="array" ref="G3176">IF(B3176="insumo",_xlfn.XLOOKUP($D3176,Insumos!$B$1:$B$996,Insumos!$D$1:$D$996),"")</f>
        <v/>
      </c>
      <c r="H3176" s="92" t="n">
        <v>138.4</v>
      </c>
      <c r="I3176" s="2162" t="n">
        <v>0</v>
      </c>
      <c r="J3176" s="2162" t="n">
        <v>0</v>
      </c>
      <c r="K3176" s="2162" t="n"/>
    </row>
    <row r="3177" outlineLevel="2" ht="12.75" customHeight="1">
      <c r="A3177" s="1071" t="n">
        <v>1</v>
      </c>
      <c r="B3177" s="1071" t="inlineStr">
        <is>
          <t>Serviço</t>
        </is>
      </c>
      <c r="C3177" s="1071" t="inlineStr">
        <is>
          <t>Pisos Para Academia Emborrachado EPDM  20x20 cm/ Cor: azul e branco / Marca: Rubber - Material e Mão de obra</t>
        </is>
      </c>
      <c r="D3177" s="1071" t="inlineStr">
        <is>
          <t>Pisos Para Academia Emborrachado EPDM  20x20 cm/ Cor: azul e branco / Marca: Rubber - Material e Mão de obra</t>
        </is>
      </c>
      <c r="E3177" s="1072" t="inlineStr">
        <is>
          <t>M2</t>
        </is>
      </c>
      <c r="F3177" s="1071" t="n"/>
      <c r="G3177" s="1073">
        <f t="array" ref="G3177">IF(B3177="insumo",_xlfn.XLOOKUP($D3177,Insumos!$B$1:$B$996,Insumos!$D$1:$D$996),"")</f>
        <v/>
      </c>
      <c r="H3177" s="1073" t="n">
        <v>540</v>
      </c>
      <c r="I3177" s="2163" t="e">
        <v>#REF!</v>
      </c>
      <c r="J3177" s="2163" t="e">
        <v>#REF!</v>
      </c>
      <c r="K3177" s="2163" t="n"/>
    </row>
    <row r="3178" outlineLevel="3" ht="12.75" customHeight="1">
      <c r="A3178" s="82" t="n">
        <v>1</v>
      </c>
      <c r="B3178" s="82" t="inlineStr">
        <is>
          <t>Insumo</t>
        </is>
      </c>
      <c r="C3178" s="10" t="inlineStr">
        <is>
          <t>Pisos Para Academia Emborrachado EPDM  20x20 cm/ Cor: azul e branco / Marca: Rubber - Material e Mão de obra</t>
        </is>
      </c>
      <c r="D3178" s="10" t="inlineStr">
        <is>
          <t>Pisos Para Academia Emborrachado EPDM  20x20 cm/ Cor: azul e branco / Marca: Rubber - Material e Mão de obra</t>
        </is>
      </c>
      <c r="E3178" s="11">
        <f t="array" ref="E3178">_xlfn.XLOOKUP(D3178,Insumos!B:B,Insumos!C:$C)</f>
        <v/>
      </c>
      <c r="F3178" s="2164" t="n">
        <v>1</v>
      </c>
      <c r="G3178" s="92">
        <f t="array" ref="G3178">IF(B3178="insumo",_xlfn.XLOOKUP($D3178,Insumos!$B$1:$B$996,Insumos!$D$1:$D$996),"")</f>
        <v/>
      </c>
      <c r="H3178" s="92" t="n">
        <v>540</v>
      </c>
      <c r="I3178" s="2165" t="e">
        <v>#REF!</v>
      </c>
      <c r="J3178" s="2165" t="e">
        <v>#REF!</v>
      </c>
      <c r="K3178" s="2165" t="n"/>
    </row>
    <row r="3179" outlineLevel="2" ht="12.75" customHeight="1">
      <c r="A3179" s="1071" t="n">
        <v>1</v>
      </c>
      <c r="B3179" s="1071" t="inlineStr">
        <is>
          <t>Serviço</t>
        </is>
      </c>
      <c r="C3179" s="1071" t="inlineStr">
        <is>
          <t>Pisos Para Academia Emborrachado Impact Soft  100x100 cm/ Peso Livre - Material e Mão de obra</t>
        </is>
      </c>
      <c r="D3179" s="1071" t="inlineStr">
        <is>
          <t>Pisos Para Academia Emborrachado Impact Soft  100x100 cm/ Peso Livre - Material e Mão de obra</t>
        </is>
      </c>
      <c r="E3179" s="1072" t="inlineStr">
        <is>
          <t>M2</t>
        </is>
      </c>
      <c r="F3179" s="1071" t="n"/>
      <c r="G3179" s="1073">
        <f t="array" ref="G3179">IF(B3179="insumo",_xlfn.XLOOKUP($D3179,Insumos!$B$1:$B$996,Insumos!$D$1:$D$996),"")</f>
        <v/>
      </c>
      <c r="H3179" s="1073" t="n">
        <v>610</v>
      </c>
      <c r="I3179" s="2163" t="e">
        <v>#REF!</v>
      </c>
      <c r="J3179" s="2163" t="e">
        <v>#REF!</v>
      </c>
      <c r="K3179" s="2163" t="n"/>
    </row>
    <row r="3180" outlineLevel="3" ht="12.75" customHeight="1">
      <c r="A3180" s="82" t="n">
        <v>1</v>
      </c>
      <c r="B3180" s="82" t="inlineStr">
        <is>
          <t>Insumo</t>
        </is>
      </c>
      <c r="C3180" s="10" t="inlineStr">
        <is>
          <t>Pisos Para Academia Emborrachado Impact Soft  100x100 cm/ Peso Livre - Material e Mão de obra</t>
        </is>
      </c>
      <c r="D3180" s="10" t="inlineStr">
        <is>
          <t>Pisos Para Academia Emborrachado Impact Soft  100x100 cm/ Peso Livre - Material e Mão de obra</t>
        </is>
      </c>
      <c r="E3180" s="11">
        <f t="array" ref="E3180">_xlfn.XLOOKUP(D3180,Insumos!B:B,Insumos!C:$C)</f>
        <v/>
      </c>
      <c r="F3180" s="2164" t="n">
        <v>1</v>
      </c>
      <c r="G3180" s="92">
        <f t="array" ref="G3180">IF(B3180="insumo",_xlfn.XLOOKUP($D3180,Insumos!$B$1:$B$996,Insumos!$D$1:$D$996),"")</f>
        <v/>
      </c>
      <c r="H3180" s="92" t="n">
        <v>610</v>
      </c>
      <c r="I3180" s="2165" t="e">
        <v>#REF!</v>
      </c>
      <c r="J3180" s="2165" t="e">
        <v>#REF!</v>
      </c>
      <c r="K3180" s="2165" t="n"/>
    </row>
    <row r="3181" outlineLevel="2" ht="12.75" customHeight="1">
      <c r="A3181" s="1071" t="n">
        <v>1</v>
      </c>
      <c r="B3181" s="1071" t="inlineStr">
        <is>
          <t>Serviço</t>
        </is>
      </c>
      <c r="C3181" s="1071" t="inlineStr">
        <is>
          <t>Pisos Para Academia Emborrachado Aubicon Placa 25 mm, 70x70</t>
        </is>
      </c>
      <c r="D3181" s="1071" t="inlineStr">
        <is>
          <t>Pisos Para Academia Emborrachado Aubicon Placa 25 mm, 70x70</t>
        </is>
      </c>
      <c r="E3181" s="1072" t="inlineStr">
        <is>
          <t>M2</t>
        </is>
      </c>
      <c r="F3181" s="1071" t="n"/>
      <c r="G3181" s="1073">
        <f t="array" ref="G3181">IF(B3181="insumo",_xlfn.XLOOKUP($D3181,Insumos!$B$1:$B$996,Insumos!$D$1:$D$996),"")</f>
        <v/>
      </c>
      <c r="H3181" s="1073" t="n">
        <v>160</v>
      </c>
      <c r="I3181" s="2163" t="n">
        <v>0</v>
      </c>
      <c r="J3181" s="2163" t="n">
        <v>0</v>
      </c>
      <c r="K3181" s="2163" t="n"/>
    </row>
    <row r="3182" outlineLevel="3" ht="12.75" customHeight="1">
      <c r="A3182" s="82" t="n">
        <v>1</v>
      </c>
      <c r="B3182" s="82" t="inlineStr">
        <is>
          <t>Insumo</t>
        </is>
      </c>
      <c r="C3182" s="82" t="inlineStr">
        <is>
          <t>Pisos Para Academia Emborrachado Aubicon Placa 25 mm, 70x70</t>
        </is>
      </c>
      <c r="D3182" s="82" t="inlineStr">
        <is>
          <t>Pisos Para Academia Emborrachado Aubicon Placa 25 mm, 70x70</t>
        </is>
      </c>
      <c r="E3182" s="11">
        <f t="array" ref="E3182">_xlfn.XLOOKUP(D3182,Insumos!B:B,Insumos!C:$C)</f>
        <v/>
      </c>
      <c r="F3182" s="2164" t="n">
        <v>1</v>
      </c>
      <c r="G3182" s="92">
        <f t="array" ref="G3182">IF(B3182="insumo",_xlfn.XLOOKUP($D3182,Insumos!$B$1:$B$996,Insumos!$D$1:$D$996),"")</f>
        <v/>
      </c>
      <c r="H3182" s="92" t="n">
        <v>160</v>
      </c>
      <c r="I3182" s="2165" t="n">
        <v>0</v>
      </c>
      <c r="J3182" s="2165" t="n">
        <v>0</v>
      </c>
      <c r="K3182" s="2165" t="n"/>
    </row>
    <row r="3183" outlineLevel="2" ht="12.75" customHeight="1">
      <c r="A3183" s="1071" t="n">
        <v>1</v>
      </c>
      <c r="B3183" s="1071" t="inlineStr">
        <is>
          <t>Serviço</t>
        </is>
      </c>
      <c r="C3183" s="1071" t="inlineStr">
        <is>
          <t>Pisos Para Academia Emborrachado Aubicon Placa 40 mm, 70x70</t>
        </is>
      </c>
      <c r="D3183" s="1071" t="inlineStr">
        <is>
          <t>Pisos Para Academia Emborrachado Aubicon Placa 40 mm, 70x70</t>
        </is>
      </c>
      <c r="E3183" s="1072" t="inlineStr">
        <is>
          <t>M2</t>
        </is>
      </c>
      <c r="F3183" s="1071" t="n"/>
      <c r="G3183" s="1073">
        <f t="array" ref="G3183">IF(B3183="insumo",_xlfn.XLOOKUP($D3183,Insumos!$B$1:$B$996,Insumos!$D$1:$D$996),"")</f>
        <v/>
      </c>
      <c r="H3183" s="1073" t="n">
        <v>200</v>
      </c>
      <c r="I3183" s="2163" t="n">
        <v>0</v>
      </c>
      <c r="J3183" s="2163" t="n">
        <v>0</v>
      </c>
      <c r="K3183" s="2163" t="n"/>
    </row>
    <row r="3184" outlineLevel="3" ht="12.75" customHeight="1">
      <c r="A3184" s="82" t="n">
        <v>1</v>
      </c>
      <c r="B3184" s="82" t="inlineStr">
        <is>
          <t>Insumo</t>
        </is>
      </c>
      <c r="C3184" s="82" t="inlineStr">
        <is>
          <t>Pisos Para Academia Emborrachado Aubicon Placa 40 mm, 70x70</t>
        </is>
      </c>
      <c r="D3184" s="82" t="inlineStr">
        <is>
          <t>Pisos Para Academia Emborrachado Aubicon Placa 40 mm, 70x70</t>
        </is>
      </c>
      <c r="E3184" s="11">
        <f t="array" ref="E3184">_xlfn.XLOOKUP(D3184,Insumos!B:B,Insumos!C:$C)</f>
        <v/>
      </c>
      <c r="F3184" s="2164" t="n">
        <v>1</v>
      </c>
      <c r="G3184" s="92">
        <f t="array" ref="G3184">IF(B3184="insumo",_xlfn.XLOOKUP($D3184,Insumos!$B$1:$B$996,Insumos!$D$1:$D$996),"")</f>
        <v/>
      </c>
      <c r="H3184" s="92" t="n">
        <v>200</v>
      </c>
      <c r="I3184" s="2165" t="n">
        <v>0</v>
      </c>
      <c r="J3184" s="2165" t="n">
        <v>0</v>
      </c>
      <c r="K3184" s="2165" t="n"/>
    </row>
    <row r="3185" outlineLevel="2" ht="12.75" customHeight="1">
      <c r="A3185" s="1071" t="n">
        <v>1</v>
      </c>
      <c r="B3185" s="1071" t="inlineStr">
        <is>
          <t>Serviço</t>
        </is>
      </c>
      <c r="C3185" s="1071" t="inlineStr">
        <is>
          <t>Pisos Para Academia Emborrachado Aubicon Placa 50 mm, 90x90</t>
        </is>
      </c>
      <c r="D3185" s="1071" t="inlineStr">
        <is>
          <t>Pisos Para Academia Emborrachado Aubicon Placa 50 mm, 90x90</t>
        </is>
      </c>
      <c r="E3185" s="1072" t="inlineStr">
        <is>
          <t>M2</t>
        </is>
      </c>
      <c r="F3185" s="1071" t="n"/>
      <c r="G3185" s="1073">
        <f t="array" ref="G3185">IF(B3185="insumo",_xlfn.XLOOKUP($D3185,Insumos!$B$1:$B$996,Insumos!$D$1:$D$996),"")</f>
        <v/>
      </c>
      <c r="H3185" s="1073" t="n">
        <v>250</v>
      </c>
      <c r="I3185" s="2163" t="n">
        <v>0</v>
      </c>
      <c r="J3185" s="2163" t="n">
        <v>0</v>
      </c>
      <c r="K3185" s="2163" t="n"/>
    </row>
    <row r="3186" outlineLevel="3" ht="12.75" customHeight="1">
      <c r="A3186" s="82" t="n">
        <v>1</v>
      </c>
      <c r="B3186" s="82" t="inlineStr">
        <is>
          <t>Insumo</t>
        </is>
      </c>
      <c r="C3186" s="82" t="inlineStr">
        <is>
          <t>Pisos Para Academia Emborrachado Aubicon Placa 50 mm, 90x90</t>
        </is>
      </c>
      <c r="D3186" s="82" t="inlineStr">
        <is>
          <t>Pisos Para Academia Emborrachado Aubicon Placa 50 mm, 90x90</t>
        </is>
      </c>
      <c r="E3186" s="11">
        <f t="array" ref="E3186">_xlfn.XLOOKUP(D3186,Insumos!B:B,Insumos!C:$C)</f>
        <v/>
      </c>
      <c r="F3186" s="2164" t="n">
        <v>1</v>
      </c>
      <c r="G3186" s="92">
        <f t="array" ref="G3186">IF(B3186="insumo",_xlfn.XLOOKUP($D3186,Insumos!$B$1:$B$996,Insumos!$D$1:$D$996),"")</f>
        <v/>
      </c>
      <c r="H3186" s="92" t="n">
        <v>250</v>
      </c>
      <c r="I3186" s="2165" t="n">
        <v>0</v>
      </c>
      <c r="J3186" s="2165" t="n">
        <v>0</v>
      </c>
      <c r="K3186" s="2165" t="n"/>
    </row>
    <row r="3187" outlineLevel="2" ht="12.75" customHeight="1">
      <c r="A3187" s="1071" t="n">
        <v>1</v>
      </c>
      <c r="B3187" s="1071" t="inlineStr">
        <is>
          <t>Serviço</t>
        </is>
      </c>
      <c r="C3187" s="1071" t="inlineStr">
        <is>
          <t>Pisos Para Academia Emborrachado Aubicon Placa 80 mm, 90x90</t>
        </is>
      </c>
      <c r="D3187" s="1071" t="inlineStr">
        <is>
          <t>Pisos Para Academia Emborrachado Aubicon Placa 80 mm, 90x90</t>
        </is>
      </c>
      <c r="E3187" s="1072" t="inlineStr">
        <is>
          <t>M2</t>
        </is>
      </c>
      <c r="F3187" s="1071" t="n"/>
      <c r="G3187" s="1073">
        <f t="array" ref="G3187">IF(B3187="insumo",_xlfn.XLOOKUP($D3187,Insumos!$B$1:$B$996,Insumos!$D$1:$D$996),"")</f>
        <v/>
      </c>
      <c r="H3187" s="1073" t="n">
        <v>320</v>
      </c>
      <c r="I3187" s="2163" t="n">
        <v>0</v>
      </c>
      <c r="J3187" s="2163" t="n">
        <v>0</v>
      </c>
      <c r="K3187" s="2163" t="n"/>
    </row>
    <row r="3188" outlineLevel="3" ht="12.75" customHeight="1">
      <c r="A3188" s="82" t="n">
        <v>1</v>
      </c>
      <c r="B3188" s="82" t="inlineStr">
        <is>
          <t>Insumo</t>
        </is>
      </c>
      <c r="C3188" s="82" t="inlineStr">
        <is>
          <t>Pisos Para Academia Emborrachado Aubicon Placa 80 mm, 90x90</t>
        </is>
      </c>
      <c r="D3188" s="82" t="inlineStr">
        <is>
          <t>Pisos Para Academia Emborrachado Aubicon Placa 80 mm, 90x90</t>
        </is>
      </c>
      <c r="E3188" s="11">
        <f t="array" ref="E3188">_xlfn.XLOOKUP(D3188,Insumos!B:B,Insumos!C:$C)</f>
        <v/>
      </c>
      <c r="F3188" s="2164" t="n">
        <v>1</v>
      </c>
      <c r="G3188" s="92">
        <f t="array" ref="G3188">IF(B3188="insumo",_xlfn.XLOOKUP($D3188,Insumos!$B$1:$B$996,Insumos!$D$1:$D$996),"")</f>
        <v/>
      </c>
      <c r="H3188" s="92" t="n">
        <v>320</v>
      </c>
      <c r="I3188" s="2165" t="n">
        <v>0</v>
      </c>
      <c r="J3188" s="2165" t="n">
        <v>0</v>
      </c>
      <c r="K3188" s="2165" t="n"/>
    </row>
    <row r="3189" outlineLevel="2" ht="12.75" customHeight="1">
      <c r="A3189" s="1071" t="n">
        <v>1</v>
      </c>
      <c r="B3189" s="1071" t="inlineStr">
        <is>
          <t>Serviço</t>
        </is>
      </c>
      <c r="C3189" s="1071" t="inlineStr">
        <is>
          <t>Revestimento de Piso emborrachado imitando madeira</t>
        </is>
      </c>
      <c r="D3189" s="1071" t="inlineStr">
        <is>
          <t>Revestimento de Piso emborrachado imitando madeira</t>
        </is>
      </c>
      <c r="E3189" s="1072" t="inlineStr">
        <is>
          <t>M2</t>
        </is>
      </c>
      <c r="F3189" s="1071" t="n"/>
      <c r="G3189" s="1073">
        <f t="array" ref="G3189">IF(B3189="insumo",_xlfn.XLOOKUP($D3189,Insumos!$B$1:$B$996,Insumos!$D$1:$D$996),"")</f>
        <v/>
      </c>
      <c r="H3189" s="1073" t="n">
        <v>529.65</v>
      </c>
      <c r="I3189" s="2163" t="n">
        <v>0</v>
      </c>
      <c r="J3189" s="2163" t="n">
        <v>0</v>
      </c>
      <c r="K3189" s="2163" t="n"/>
    </row>
    <row r="3190" outlineLevel="3" ht="12.75" customHeight="1">
      <c r="A3190" s="82" t="n">
        <v>1</v>
      </c>
      <c r="B3190" s="82" t="inlineStr">
        <is>
          <t>Insumo</t>
        </is>
      </c>
      <c r="C3190" s="82" t="inlineStr">
        <is>
          <t>Revestimento de Piso emborrachado imitando madeira</t>
        </is>
      </c>
      <c r="D3190" s="82" t="inlineStr">
        <is>
          <t>Revestimento de Piso emborrachado imitando madeira</t>
        </is>
      </c>
      <c r="E3190" s="11">
        <f t="array" ref="E3190">_xlfn.XLOOKUP(D3190,Insumos!B:B,Insumos!C:$C)</f>
        <v/>
      </c>
      <c r="F3190" s="2171" t="n">
        <v>1.1</v>
      </c>
      <c r="G3190" s="92">
        <f t="array" ref="G3190">IF(B3190="insumo",_xlfn.XLOOKUP($D3190,Insumos!$B$1:$B$996,Insumos!$D$1:$D$996),"")</f>
        <v/>
      </c>
      <c r="H3190" s="92" t="n">
        <v>529.65</v>
      </c>
      <c r="I3190" s="2165" t="n">
        <v>0</v>
      </c>
      <c r="J3190" s="2165" t="n">
        <v>0</v>
      </c>
      <c r="K3190" s="2165" t="n"/>
    </row>
    <row r="3191" outlineLevel="2" ht="15.75" customHeight="1">
      <c r="A3191" s="1067" t="n">
        <v>1</v>
      </c>
      <c r="B3191" s="1067" t="inlineStr">
        <is>
          <t>Serviço</t>
        </is>
      </c>
      <c r="C3191" s="1081" t="inlineStr">
        <is>
          <t xml:space="preserve">Revestimento de Piso, Carpet 411 Cab Beaulieu (Sobra One Tower)  </t>
        </is>
      </c>
      <c r="D3191" s="1081" t="inlineStr">
        <is>
          <t xml:space="preserve">Revestimento de Piso, Carpet 411 Cab Beaulieu (Sobra One Tower)  </t>
        </is>
      </c>
      <c r="E3191" s="1068" t="inlineStr">
        <is>
          <t>M2</t>
        </is>
      </c>
      <c r="F3191" s="1081" t="n"/>
      <c r="G3191" s="1069">
        <f t="array" ref="G3191">IF(B3191="insumo",_xlfn.XLOOKUP($D3191,Insumos!$B$1:$B$996,Insumos!$D$1:$D$996),"")</f>
        <v/>
      </c>
      <c r="H3191" s="1069" t="n">
        <v>342.639759036145</v>
      </c>
      <c r="I3191" s="2170" t="n">
        <v>0</v>
      </c>
      <c r="J3191" s="2170" t="n">
        <v>0</v>
      </c>
      <c r="K3191" s="2170" t="n"/>
    </row>
    <row r="3192" outlineLevel="3" ht="15.75" customHeight="1">
      <c r="A3192" s="10" t="n">
        <v>1</v>
      </c>
      <c r="B3192" s="10" t="inlineStr">
        <is>
          <t>Insumo</t>
        </is>
      </c>
      <c r="C3192" s="10" t="inlineStr">
        <is>
          <t xml:space="preserve">Revestimento de Piso, Carpet 411 Cab Beaulieu (Sobra One Tower)  </t>
        </is>
      </c>
      <c r="D3192" s="10" t="inlineStr">
        <is>
          <t>Revestimento de piso carpet - Material e Mão de Obra</t>
        </is>
      </c>
      <c r="E3192" s="11">
        <f t="array" ref="E3192">_xlfn.XLOOKUP(D3192,Insumos!B:B,Insumos!C:$C)</f>
        <v/>
      </c>
      <c r="F3192" s="14" t="n">
        <v>1</v>
      </c>
      <c r="G3192" s="92">
        <f t="array" ref="G3192">IF(B3192="insumo",_xlfn.XLOOKUP($D3192,Insumos!$B$1:$B$996,Insumos!$D$1:$D$996),"")</f>
        <v/>
      </c>
      <c r="H3192" s="92" t="n">
        <v>342.639759036145</v>
      </c>
      <c r="I3192" s="2162" t="n">
        <v>0</v>
      </c>
      <c r="J3192" s="2162" t="n">
        <v>0</v>
      </c>
      <c r="K3192" s="2162" t="n"/>
    </row>
    <row r="3193" outlineLevel="2" ht="15.75" customHeight="1">
      <c r="A3193" s="1067" t="n">
        <v>1</v>
      </c>
      <c r="B3193" s="1067" t="inlineStr">
        <is>
          <t>Serviço</t>
        </is>
      </c>
      <c r="C3193" s="1081" t="inlineStr">
        <is>
          <t>Gradil metálico - Material e Mão de obra</t>
        </is>
      </c>
      <c r="D3193" s="1081" t="inlineStr">
        <is>
          <t>Gradil metálico - Material e Mão de obra</t>
        </is>
      </c>
      <c r="E3193" s="1068" t="inlineStr">
        <is>
          <t>M2</t>
        </is>
      </c>
      <c r="F3193" s="1081" t="n"/>
      <c r="G3193" s="1069">
        <f t="array" ref="G3193">IF(B3193="insumo",_xlfn.XLOOKUP($D3193,Insumos!$B$1:$B$996,Insumos!$D$1:$D$996),"")</f>
        <v/>
      </c>
      <c r="H3193" s="1069" t="n">
        <v>1036.95047489824</v>
      </c>
      <c r="I3193" s="2170" t="n">
        <v>0</v>
      </c>
      <c r="J3193" s="2170" t="n">
        <v>0</v>
      </c>
      <c r="K3193" s="2170" t="n"/>
    </row>
    <row r="3194" outlineLevel="3" ht="15.75" customHeight="1">
      <c r="A3194" s="10" t="n">
        <v>1</v>
      </c>
      <c r="B3194" s="10" t="inlineStr">
        <is>
          <t>Insumo</t>
        </is>
      </c>
      <c r="C3194" s="10" t="inlineStr">
        <is>
          <t>Gradil metálico - Material e Mão de obra</t>
        </is>
      </c>
      <c r="D3194" s="10" t="inlineStr">
        <is>
          <t>GRADE PISO ACO ASTM A36 LISO ACB. DES. PADRAO GALV A FOGO - 2,2x1,34</t>
        </is>
      </c>
      <c r="E3194" s="11">
        <f t="array" ref="E3194">_xlfn.XLOOKUP(D3194,Insumos!B:B,Insumos!C:$C)</f>
        <v/>
      </c>
      <c r="F3194" s="14" t="n">
        <v>1</v>
      </c>
      <c r="G3194" s="92">
        <f t="array" ref="G3194">IF(B3194="insumo",_xlfn.XLOOKUP($D3194,Insumos!$B$1:$B$996,Insumos!$D$1:$D$996),"")</f>
        <v/>
      </c>
      <c r="H3194" s="92" t="n">
        <v>1036.95047489824</v>
      </c>
      <c r="I3194" s="2162" t="n">
        <v>0</v>
      </c>
      <c r="J3194" s="2162" t="n">
        <v>0</v>
      </c>
      <c r="K3194" s="2162" t="n"/>
    </row>
    <row r="3195" outlineLevel="2" ht="12.75" customHeight="1">
      <c r="A3195" s="1071" t="n">
        <v>1</v>
      </c>
      <c r="B3195" s="1071" t="inlineStr">
        <is>
          <t>Serviço</t>
        </is>
      </c>
      <c r="C3195" s="1071" t="inlineStr">
        <is>
          <t>Piso elevado - Material e Mão de obra</t>
        </is>
      </c>
      <c r="D3195" s="1071" t="inlineStr">
        <is>
          <t>Piso elevado - Material e Mão de obra</t>
        </is>
      </c>
      <c r="E3195" s="1072" t="inlineStr">
        <is>
          <t>M2</t>
        </is>
      </c>
      <c r="F3195" s="1071" t="n"/>
      <c r="G3195" s="1073">
        <f t="array" ref="G3195">IF(B3195="insumo",_xlfn.XLOOKUP($D3195,Insumos!$B$1:$B$996,Insumos!$D$1:$D$996),"")</f>
        <v/>
      </c>
      <c r="H3195" s="1073" t="n">
        <v>296.7</v>
      </c>
      <c r="I3195" s="2163" t="n">
        <v>0</v>
      </c>
      <c r="J3195" s="2163" t="n">
        <v>0</v>
      </c>
      <c r="K3195" s="2163" t="n"/>
    </row>
    <row r="3196" outlineLevel="3" ht="12.75" customHeight="1">
      <c r="A3196" s="82" t="n">
        <v>2</v>
      </c>
      <c r="B3196" s="82" t="inlineStr">
        <is>
          <t>Insumo</t>
        </is>
      </c>
      <c r="C3196" s="82" t="inlineStr">
        <is>
          <t>Piso elevado - Material e Mão de obra</t>
        </is>
      </c>
      <c r="D3196" s="82" t="inlineStr">
        <is>
          <t>Piso elevado</t>
        </is>
      </c>
      <c r="E3196" s="11">
        <f t="array" ref="E3196">_xlfn.XLOOKUP(D3196,Insumos!B:B,Insumos!C:$C)</f>
        <v/>
      </c>
      <c r="F3196" s="2164" t="n">
        <v>1</v>
      </c>
      <c r="G3196" s="92">
        <f t="array" ref="G3196">IF(B3196="insumo",_xlfn.XLOOKUP($D3196,Insumos!$B$1:$B$996,Insumos!$D$1:$D$996),"")</f>
        <v/>
      </c>
      <c r="H3196" s="92" t="n">
        <v>146.7</v>
      </c>
      <c r="I3196" s="2165" t="n">
        <v>0</v>
      </c>
      <c r="J3196" s="2165" t="n">
        <v>0</v>
      </c>
      <c r="K3196" s="2165" t="n"/>
    </row>
    <row r="3197" outlineLevel="3" ht="12.75" customHeight="1">
      <c r="A3197" s="82" t="n">
        <v>3</v>
      </c>
      <c r="B3197" s="82" t="inlineStr">
        <is>
          <t>Insumo</t>
        </is>
      </c>
      <c r="C3197" s="82" t="inlineStr">
        <is>
          <t>Piso elevado - Material e Mão de obra</t>
        </is>
      </c>
      <c r="D3197" s="82" t="inlineStr">
        <is>
          <t>Mão de obra execução de piso elevado</t>
        </is>
      </c>
      <c r="E3197" s="11">
        <f t="array" ref="E3197">_xlfn.XLOOKUP(D3197,Insumos!B:B,Insumos!C:$C)</f>
        <v/>
      </c>
      <c r="F3197" s="2164" t="n">
        <v>1</v>
      </c>
      <c r="G3197" s="92">
        <f t="array" ref="G3197">IF(B3197="insumo",_xlfn.XLOOKUP($D3197,Insumos!$B$1:$B$996,Insumos!$D$1:$D$996),"")</f>
        <v/>
      </c>
      <c r="H3197" s="92" t="n">
        <v>150</v>
      </c>
      <c r="I3197" s="2165" t="n">
        <v>0</v>
      </c>
      <c r="J3197" s="2165" t="n">
        <v>0</v>
      </c>
      <c r="K3197" s="2165" t="n"/>
    </row>
    <row r="3198" outlineLevel="2" ht="12.75" customHeight="1">
      <c r="A3198" s="1071" t="n">
        <v>1</v>
      </c>
      <c r="B3198" s="1071" t="inlineStr">
        <is>
          <t>Serviço</t>
        </is>
      </c>
      <c r="C3198" s="1071" t="inlineStr">
        <is>
          <t>Laje verde intensiva sobre steel deck - Material e Mão de obra</t>
        </is>
      </c>
      <c r="D3198" s="1071" t="inlineStr">
        <is>
          <t>Laje verde intensiva sobre steel deck - Material e Mão de obra</t>
        </is>
      </c>
      <c r="E3198" s="1072" t="inlineStr">
        <is>
          <t>M2</t>
        </is>
      </c>
      <c r="F3198" s="1071" t="n"/>
      <c r="G3198" s="1073">
        <f t="array" ref="G3198">IF(B3198="insumo",_xlfn.XLOOKUP($D3198,Insumos!$B$1:$B$996,Insumos!$D$1:$D$996),"")</f>
        <v/>
      </c>
      <c r="H3198" s="1073" t="n">
        <v>1525</v>
      </c>
      <c r="I3198" s="2163" t="e">
        <v>#REF!</v>
      </c>
      <c r="J3198" s="2163" t="e">
        <v>#REF!</v>
      </c>
      <c r="K3198" s="2163" t="n"/>
    </row>
    <row r="3199" outlineLevel="3" ht="12.75" customHeight="1">
      <c r="A3199" s="82" t="n">
        <v>1</v>
      </c>
      <c r="B3199" s="82" t="inlineStr">
        <is>
          <t>Insumo</t>
        </is>
      </c>
      <c r="C3199" s="82" t="inlineStr">
        <is>
          <t>Laje verde intensiva sobre steel deck - Material e Mão de obra</t>
        </is>
      </c>
      <c r="D3199" s="82" t="inlineStr">
        <is>
          <t>Estrutura steel deck + concreto</t>
        </is>
      </c>
      <c r="E3199" s="11">
        <f t="array" ref="E3199">_xlfn.XLOOKUP(D3199,Insumos!B:B,Insumos!C:$C)</f>
        <v/>
      </c>
      <c r="F3199" s="2164" t="n">
        <v>1</v>
      </c>
      <c r="G3199" s="92">
        <f t="array" ref="G3199">IF(B3199="insumo",_xlfn.XLOOKUP($D3199,Insumos!$B$1:$B$996,Insumos!$D$1:$D$996),"")</f>
        <v/>
      </c>
      <c r="H3199" s="92" t="n">
        <v>450</v>
      </c>
      <c r="I3199" s="2165" t="e">
        <v>#REF!</v>
      </c>
      <c r="J3199" s="2165" t="e">
        <v>#REF!</v>
      </c>
      <c r="K3199" s="2165" t="n"/>
    </row>
    <row r="3200" outlineLevel="3" ht="12.75" customHeight="1">
      <c r="A3200" s="82" t="n">
        <v>1</v>
      </c>
      <c r="B3200" s="82" t="inlineStr">
        <is>
          <t>Insumo</t>
        </is>
      </c>
      <c r="C3200" s="82" t="inlineStr">
        <is>
          <t>Laje verde intensiva sobre steel deck - Material e Mão de obra</t>
        </is>
      </c>
      <c r="D3200" s="82" t="inlineStr">
        <is>
          <t>Regularização e proteção mecânica</t>
        </is>
      </c>
      <c r="E3200" s="11">
        <f t="array" ref="E3200">_xlfn.XLOOKUP(D3200,Insumos!B:B,Insumos!C:$C)</f>
        <v/>
      </c>
      <c r="F3200" s="2164" t="n">
        <v>1</v>
      </c>
      <c r="G3200" s="92">
        <f t="array" ref="G3200">IF(B3200="insumo",_xlfn.XLOOKUP($D3200,Insumos!$B$1:$B$996,Insumos!$D$1:$D$996),"")</f>
        <v/>
      </c>
      <c r="H3200" s="92" t="n">
        <v>80</v>
      </c>
      <c r="I3200" s="2165" t="e">
        <v>#REF!</v>
      </c>
      <c r="J3200" s="2165" t="e">
        <v>#REF!</v>
      </c>
      <c r="K3200" s="2165" t="n"/>
    </row>
    <row r="3201" outlineLevel="3" ht="12.75" customHeight="1">
      <c r="A3201" s="82" t="n">
        <v>1</v>
      </c>
      <c r="B3201" s="82" t="inlineStr">
        <is>
          <t>Insumo</t>
        </is>
      </c>
      <c r="C3201" s="82" t="inlineStr">
        <is>
          <t>Laje verde intensiva sobre steel deck - Material e Mão de obra</t>
        </is>
      </c>
      <c r="D3201" s="82" t="inlineStr">
        <is>
          <t>Impermeabilização antirraiz</t>
        </is>
      </c>
      <c r="E3201" s="11">
        <f t="array" ref="E3201">_xlfn.XLOOKUP(D3201,Insumos!B:B,Insumos!C:$C)</f>
        <v/>
      </c>
      <c r="F3201" s="2164" t="n">
        <v>1</v>
      </c>
      <c r="G3201" s="92">
        <f t="array" ref="G3201">IF(B3201="insumo",_xlfn.XLOOKUP($D3201,Insumos!$B$1:$B$996,Insumos!$D$1:$D$996),"")</f>
        <v/>
      </c>
      <c r="H3201" s="92" t="n">
        <v>160</v>
      </c>
      <c r="I3201" s="2165" t="e">
        <v>#REF!</v>
      </c>
      <c r="J3201" s="2165" t="e">
        <v>#REF!</v>
      </c>
      <c r="K3201" s="2165" t="n"/>
    </row>
    <row r="3202" outlineLevel="3" ht="12.75" customHeight="1">
      <c r="A3202" s="82" t="n">
        <v>1</v>
      </c>
      <c r="B3202" s="82" t="inlineStr">
        <is>
          <t>Insumo</t>
        </is>
      </c>
      <c r="C3202" s="82" t="inlineStr">
        <is>
          <t>Laje verde intensiva sobre steel deck - Material e Mão de obra</t>
        </is>
      </c>
      <c r="D3202" s="82" t="inlineStr">
        <is>
          <t>Camada drenante</t>
        </is>
      </c>
      <c r="E3202" s="11">
        <f t="array" ref="E3202">_xlfn.XLOOKUP(D3202,Insumos!B:B,Insumos!C:$C)</f>
        <v/>
      </c>
      <c r="F3202" s="2164" t="n">
        <v>1</v>
      </c>
      <c r="G3202" s="92">
        <f t="array" ref="G3202">IF(B3202="insumo",_xlfn.XLOOKUP($D3202,Insumos!$B$1:$B$996,Insumos!$D$1:$D$996),"")</f>
        <v/>
      </c>
      <c r="H3202" s="92" t="n">
        <v>140</v>
      </c>
      <c r="I3202" s="2165" t="e">
        <v>#REF!</v>
      </c>
      <c r="J3202" s="2165" t="e">
        <v>#REF!</v>
      </c>
      <c r="K3202" s="2165" t="n"/>
    </row>
    <row r="3203" outlineLevel="3" ht="12.75" customHeight="1">
      <c r="A3203" s="82" t="n">
        <v>1</v>
      </c>
      <c r="B3203" s="82" t="inlineStr">
        <is>
          <t>Insumo</t>
        </is>
      </c>
      <c r="C3203" s="82" t="inlineStr">
        <is>
          <t>Laje verde intensiva sobre steel deck - Material e Mão de obra</t>
        </is>
      </c>
      <c r="D3203" s="82" t="inlineStr">
        <is>
          <t>Manta filtrante</t>
        </is>
      </c>
      <c r="E3203" s="11">
        <f t="array" ref="E3203">_xlfn.XLOOKUP(D3203,Insumos!B:B,Insumos!C:$C)</f>
        <v/>
      </c>
      <c r="F3203" s="2164" t="n">
        <v>1</v>
      </c>
      <c r="G3203" s="92">
        <f t="array" ref="G3203">IF(B3203="insumo",_xlfn.XLOOKUP($D3203,Insumos!$B$1:$B$996,Insumos!$D$1:$D$996),"")</f>
        <v/>
      </c>
      <c r="H3203" s="92" t="n">
        <v>25</v>
      </c>
      <c r="I3203" s="2165" t="e">
        <v>#REF!</v>
      </c>
      <c r="J3203" s="2165" t="e">
        <v>#REF!</v>
      </c>
      <c r="K3203" s="2165" t="n"/>
    </row>
    <row r="3204" outlineLevel="3" ht="12.75" customHeight="1">
      <c r="A3204" s="82" t="n">
        <v>1</v>
      </c>
      <c r="B3204" s="82" t="inlineStr">
        <is>
          <t>Insumo</t>
        </is>
      </c>
      <c r="C3204" s="82" t="inlineStr">
        <is>
          <t>Laje verde intensiva sobre steel deck - Material e Mão de obra</t>
        </is>
      </c>
      <c r="D3204" s="82" t="inlineStr">
        <is>
          <t>Substrato vegetal intensivo</t>
        </is>
      </c>
      <c r="E3204" s="11">
        <f t="array" ref="E3204">_xlfn.XLOOKUP(D3204,Insumos!B:B,Insumos!C:$C)</f>
        <v/>
      </c>
      <c r="F3204" s="2164" t="n">
        <v>1</v>
      </c>
      <c r="G3204" s="92">
        <f t="array" ref="G3204">IF(B3204="insumo",_xlfn.XLOOKUP($D3204,Insumos!$B$1:$B$996,Insumos!$D$1:$D$996),"")</f>
        <v/>
      </c>
      <c r="H3204" s="92" t="n">
        <v>260</v>
      </c>
      <c r="I3204" s="2165" t="e">
        <v>#REF!</v>
      </c>
      <c r="J3204" s="2165" t="e">
        <v>#REF!</v>
      </c>
      <c r="K3204" s="2165" t="n"/>
    </row>
    <row r="3205" outlineLevel="3" ht="12.75" customHeight="1">
      <c r="A3205" s="82" t="n">
        <v>1</v>
      </c>
      <c r="B3205" s="82" t="inlineStr">
        <is>
          <t>Insumo</t>
        </is>
      </c>
      <c r="C3205" s="82" t="inlineStr">
        <is>
          <t>Laje verde intensiva sobre steel deck - Material e Mão de obra</t>
        </is>
      </c>
      <c r="D3205" s="82" t="inlineStr">
        <is>
          <t>Vegetação intensiva</t>
        </is>
      </c>
      <c r="E3205" s="11">
        <f t="array" ref="E3205">_xlfn.XLOOKUP(D3205,Insumos!B:B,Insumos!C:$C)</f>
        <v/>
      </c>
      <c r="F3205" s="2164" t="n">
        <v>1</v>
      </c>
      <c r="G3205" s="92">
        <f t="array" ref="G3205">IF(B3205="insumo",_xlfn.XLOOKUP($D3205,Insumos!$B$1:$B$996,Insumos!$D$1:$D$996),"")</f>
        <v/>
      </c>
      <c r="H3205" s="92" t="n">
        <v>320</v>
      </c>
      <c r="I3205" s="2165" t="e">
        <v>#REF!</v>
      </c>
      <c r="J3205" s="2165" t="e">
        <v>#REF!</v>
      </c>
      <c r="K3205" s="2165" t="n"/>
    </row>
    <row r="3206" outlineLevel="3" ht="12.75" customHeight="1">
      <c r="A3206" s="82" t="n">
        <v>1</v>
      </c>
      <c r="B3206" s="82" t="inlineStr">
        <is>
          <t>Insumo</t>
        </is>
      </c>
      <c r="C3206" s="82" t="inlineStr">
        <is>
          <t>Laje verde intensiva sobre steel deck - Material e Mão de obra</t>
        </is>
      </c>
      <c r="D3206" s="82" t="inlineStr">
        <is>
          <t>Sistema irrigação</t>
        </is>
      </c>
      <c r="E3206" s="11">
        <f t="array" ref="E3206">_xlfn.XLOOKUP(D3206,Insumos!B:B,Insumos!C:$C)</f>
        <v/>
      </c>
      <c r="F3206" s="2164" t="n">
        <v>1</v>
      </c>
      <c r="G3206" s="92">
        <f t="array" ref="G3206">IF(B3206="insumo",_xlfn.XLOOKUP($D3206,Insumos!$B$1:$B$996,Insumos!$D$1:$D$996),"")</f>
        <v/>
      </c>
      <c r="H3206" s="92" t="n">
        <v>90</v>
      </c>
      <c r="I3206" s="2165" t="e">
        <v>#REF!</v>
      </c>
      <c r="J3206" s="2165" t="e">
        <v>#REF!</v>
      </c>
      <c r="K3206" s="2165" t="n"/>
    </row>
    <row r="3207" outlineLevel="2" ht="15.75" customHeight="1">
      <c r="A3207" s="1067" t="n">
        <v>1</v>
      </c>
      <c r="B3207" s="1067" t="inlineStr">
        <is>
          <t>Serviço</t>
        </is>
      </c>
      <c r="C3207" s="1081" t="inlineStr">
        <is>
          <t>Friso metálico entre pisos / Largura 1,5 cm / Cor: dourado escovado - Material e Mão de obra</t>
        </is>
      </c>
      <c r="D3207" s="1081" t="inlineStr">
        <is>
          <t>Friso metálico entre pisos / Largura 1,5 cm / Cor: dourado escovado - Material e Mão de obra</t>
        </is>
      </c>
      <c r="E3207" s="1068" t="inlineStr">
        <is>
          <t>M</t>
        </is>
      </c>
      <c r="F3207" s="1081" t="n"/>
      <c r="G3207" s="1069">
        <f t="array" ref="G3207">IF(B3207="insumo",_xlfn.XLOOKUP($D3207,Insumos!$B$1:$B$996,Insumos!$D$1:$D$996),"")</f>
        <v/>
      </c>
      <c r="H3207" s="1069" t="n">
        <v>150</v>
      </c>
      <c r="I3207" s="2170" t="e">
        <v>#REF!</v>
      </c>
      <c r="J3207" s="2170" t="e">
        <v>#REF!</v>
      </c>
      <c r="K3207" s="2170" t="n"/>
    </row>
    <row r="3208" outlineLevel="3" ht="15.75" customHeight="1">
      <c r="A3208" s="10" t="n">
        <v>1</v>
      </c>
      <c r="B3208" s="10" t="inlineStr">
        <is>
          <t>Insumo</t>
        </is>
      </c>
      <c r="C3208" s="82" t="inlineStr">
        <is>
          <t>Friso metálico entre pisos / Largura 1,5 cm / Cor: dourado escovado - Material e Mão de obra</t>
        </is>
      </c>
      <c r="D3208" s="82" t="inlineStr">
        <is>
          <t>Friso metálico entre pisos / Largura 1,5 cm / Cor: dourado escovado - Material e Mão de obra</t>
        </is>
      </c>
      <c r="E3208" s="11">
        <f t="array" ref="E3208">_xlfn.XLOOKUP(D3208,Insumos!B:B,Insumos!C:$C)</f>
        <v/>
      </c>
      <c r="F3208" s="14" t="n">
        <v>1</v>
      </c>
      <c r="G3208" s="92">
        <f t="array" ref="G3208">IF(B3208="insumo",_xlfn.XLOOKUP($D3208,Insumos!$B$1:$B$996,Insumos!$D$1:$D$996),"")</f>
        <v/>
      </c>
      <c r="H3208" s="92" t="n">
        <v>150</v>
      </c>
      <c r="I3208" s="2162" t="e">
        <v>#REF!</v>
      </c>
      <c r="J3208" s="2162" t="e">
        <v>#REF!</v>
      </c>
      <c r="K3208" s="2162" t="n"/>
    </row>
    <row r="3209" outlineLevel="2" ht="15.75" customHeight="1">
      <c r="A3209" s="1067" t="n">
        <v>1</v>
      </c>
      <c r="B3209" s="1067" t="inlineStr">
        <is>
          <t>Serviço</t>
        </is>
      </c>
      <c r="C3209" s="1081" t="inlineStr">
        <is>
          <t>Gradil metálico para Piso - Material e Mão de obra</t>
        </is>
      </c>
      <c r="D3209" s="1081" t="inlineStr">
        <is>
          <t>Gradil metálico para Piso - Material e Mão de obra</t>
        </is>
      </c>
      <c r="E3209" s="1068" t="inlineStr">
        <is>
          <t>M2</t>
        </is>
      </c>
      <c r="F3209" s="1081" t="n"/>
      <c r="G3209" s="1069">
        <f t="array" ref="G3209">IF(B3209="insumo",_xlfn.XLOOKUP($D3209,Insumos!$B$1:$B$996,Insumos!$D$1:$D$996),"")</f>
        <v/>
      </c>
      <c r="H3209" s="1069" t="n">
        <v>568.926724137931</v>
      </c>
      <c r="I3209" s="2170" t="n">
        <v>0</v>
      </c>
      <c r="J3209" s="2170" t="n">
        <v>0</v>
      </c>
      <c r="K3209" s="2170" t="n"/>
    </row>
    <row r="3210" outlineLevel="3" ht="15.75" customHeight="1">
      <c r="A3210" s="10" t="n">
        <v>2</v>
      </c>
      <c r="B3210" s="10" t="inlineStr">
        <is>
          <t>Insumo</t>
        </is>
      </c>
      <c r="C3210" s="10" t="inlineStr">
        <is>
          <t>Gradil metálico para Piso - Material e Mão de obra</t>
        </is>
      </c>
      <c r="D3210" s="10" t="inlineStr">
        <is>
          <t>Gradil metálico</t>
        </is>
      </c>
      <c r="E3210" s="11">
        <f t="array" ref="E3210">_xlfn.XLOOKUP(D3210,Insumos!B:B,Insumos!C:$C)</f>
        <v/>
      </c>
      <c r="F3210" s="14" t="n">
        <v>1</v>
      </c>
      <c r="G3210" s="92">
        <f t="array" ref="G3210">IF(B3210="insumo",_xlfn.XLOOKUP($D3210,Insumos!$B$1:$B$996,Insumos!$D$1:$D$996),"")</f>
        <v/>
      </c>
      <c r="H3210" s="92" t="n">
        <v>568.926724137931</v>
      </c>
      <c r="I3210" s="2162" t="n">
        <v>0</v>
      </c>
      <c r="J3210" s="2162" t="n">
        <v>0</v>
      </c>
      <c r="K3210" s="2162" t="n"/>
    </row>
    <row r="3211" outlineLevel="2" ht="15.75" customHeight="1">
      <c r="A3211" s="1067" t="n">
        <v>1</v>
      </c>
      <c r="B3211" s="1067" t="inlineStr">
        <is>
          <t>Serviço</t>
        </is>
      </c>
      <c r="C3211" s="1067" t="inlineStr">
        <is>
          <t>Revestimento de piso vinilico, nas áreas comuns - Material e Mão de Obra</t>
        </is>
      </c>
      <c r="D3211" s="1067" t="inlineStr">
        <is>
          <t>Revestimento de piso vinilico, nas áreas comuns - Material e Mão de Obra</t>
        </is>
      </c>
      <c r="E3211" s="1068" t="inlineStr">
        <is>
          <t>M2</t>
        </is>
      </c>
      <c r="F3211" s="1067" t="n"/>
      <c r="G3211" s="1069">
        <f t="array" ref="G3211">IF(B3211="insumo",_xlfn.XLOOKUP($D3211,Insumos!$B$1:$B$996,Insumos!$D$1:$D$996),"")</f>
        <v/>
      </c>
      <c r="H3211" s="1069" t="n">
        <v>150</v>
      </c>
      <c r="I3211" s="2161" t="n">
        <v>0</v>
      </c>
      <c r="J3211" s="2161" t="n">
        <v>0</v>
      </c>
      <c r="K3211" s="2161" t="n"/>
    </row>
    <row r="3212" outlineLevel="3" ht="15.75" customHeight="1">
      <c r="A3212" s="10" t="n">
        <v>3</v>
      </c>
      <c r="B3212" s="10" t="inlineStr">
        <is>
          <t>Insumo</t>
        </is>
      </c>
      <c r="C3212" s="10" t="inlineStr">
        <is>
          <t>Revestimento de piso vinilico, nas áreas comuns - Material e Mão de Obra</t>
        </is>
      </c>
      <c r="D3212" s="10" t="inlineStr">
        <is>
          <t>PISO VINILICO RUFFINO SOFISTICATO 2MM - MATERIAL E MÃO DE OBRA</t>
        </is>
      </c>
      <c r="E3212" s="11">
        <f t="array" ref="E3212">_xlfn.XLOOKUP(D3212,Insumos!B:B,Insumos!C:$C)</f>
        <v/>
      </c>
      <c r="F3212" s="14" t="n">
        <v>1</v>
      </c>
      <c r="G3212" s="92">
        <f t="array" ref="G3212">IF(B3212="insumo",_xlfn.XLOOKUP($D3212,Insumos!$B$1:$B$996,Insumos!$D$1:$D$996),"")</f>
        <v/>
      </c>
      <c r="H3212" s="92" t="n">
        <v>150</v>
      </c>
      <c r="I3212" s="2162" t="n">
        <v>0</v>
      </c>
      <c r="J3212" s="2162" t="n">
        <v>0</v>
      </c>
      <c r="K3212" s="2162" t="n"/>
    </row>
    <row r="3213" outlineLevel="2" ht="15.75" customHeight="1">
      <c r="A3213" s="1067" t="n">
        <v>1</v>
      </c>
      <c r="B3213" s="1067" t="inlineStr">
        <is>
          <t>Serviço</t>
        </is>
      </c>
      <c r="C3213" s="1067" t="inlineStr">
        <is>
          <t>Revestimento de piso vinilico, nas áreas privativas - Material e Mão de Obra</t>
        </is>
      </c>
      <c r="D3213" s="1067" t="inlineStr">
        <is>
          <t>Revestimento de piso vinilico, nas áreas privativas - Material e Mão de Obra</t>
        </is>
      </c>
      <c r="E3213" s="1068" t="inlineStr">
        <is>
          <t>M2</t>
        </is>
      </c>
      <c r="F3213" s="1067" t="n"/>
      <c r="G3213" s="1069">
        <f t="array" ref="G3213">IF(B3213="insumo",_xlfn.XLOOKUP($D3213,Insumos!$B$1:$B$996,Insumos!$D$1:$D$996),"")</f>
        <v/>
      </c>
      <c r="H3213" s="1069" t="n">
        <v>150</v>
      </c>
      <c r="I3213" s="2161" t="n">
        <v>0</v>
      </c>
      <c r="J3213" s="2161" t="n">
        <v>0</v>
      </c>
      <c r="K3213" s="2161" t="n"/>
    </row>
    <row r="3214" outlineLevel="3" ht="15.75" customHeight="1">
      <c r="A3214" s="10" t="n">
        <v>3</v>
      </c>
      <c r="B3214" s="10" t="inlineStr">
        <is>
          <t>Insumo</t>
        </is>
      </c>
      <c r="C3214" s="10" t="inlineStr">
        <is>
          <t>Revestimento de piso vinilico, nas áreas privativas - Material e Mão de Obra</t>
        </is>
      </c>
      <c r="D3214" s="10" t="inlineStr">
        <is>
          <t>PISO VINILICO RUFFINO SOFISTICATO 2MM - MATERIAL E MÃO DE OBRA</t>
        </is>
      </c>
      <c r="E3214" s="11">
        <f t="array" ref="E3214">_xlfn.XLOOKUP(D3214,Insumos!B:B,Insumos!C:$C)</f>
        <v/>
      </c>
      <c r="F3214" s="14" t="n">
        <v>1</v>
      </c>
      <c r="G3214" s="92">
        <f t="array" ref="G3214">IF(B3214="insumo",_xlfn.XLOOKUP($D3214,Insumos!$B$1:$B$996,Insumos!$D$1:$D$996),"")</f>
        <v/>
      </c>
      <c r="H3214" s="92" t="n">
        <v>150</v>
      </c>
      <c r="I3214" s="2162" t="n">
        <v>0</v>
      </c>
      <c r="J3214" s="2162" t="n">
        <v>0</v>
      </c>
      <c r="K3214" s="2162" t="n"/>
    </row>
    <row r="3215" outlineLevel="2" ht="15.75" customHeight="1">
      <c r="A3215" s="1067" t="n">
        <v>1</v>
      </c>
      <c r="B3215" s="1067" t="inlineStr">
        <is>
          <t>Serviço</t>
        </is>
      </c>
      <c r="C3215" s="1067" t="inlineStr">
        <is>
          <t xml:space="preserve">Revestimento de Piso Vinilico Linha Ambienta Series Cedro  Tarkett  </t>
        </is>
      </c>
      <c r="D3215" s="1067" t="inlineStr">
        <is>
          <t xml:space="preserve">Revestimento de Piso Vinilico Linha Ambienta Series Cedro  Tarkett  </t>
        </is>
      </c>
      <c r="E3215" s="1068" t="inlineStr">
        <is>
          <t>M2</t>
        </is>
      </c>
      <c r="F3215" s="1081" t="n"/>
      <c r="G3215" s="1069">
        <f t="array" ref="G3215">IF(B3215="insumo",_xlfn.XLOOKUP($D3215,Insumos!$B$1:$B$996,Insumos!$D$1:$D$996),"")</f>
        <v/>
      </c>
      <c r="H3215" s="1069" t="n">
        <v>240</v>
      </c>
      <c r="I3215" s="2170" t="n">
        <v>0</v>
      </c>
      <c r="J3215" s="2170" t="n">
        <v>0</v>
      </c>
      <c r="K3215" s="2170" t="n"/>
    </row>
    <row r="3216" outlineLevel="3" ht="15.75" customHeight="1">
      <c r="A3216" s="10" t="n">
        <v>1</v>
      </c>
      <c r="B3216" s="10" t="inlineStr">
        <is>
          <t>Insumo</t>
        </is>
      </c>
      <c r="C3216" s="10" t="inlineStr">
        <is>
          <t xml:space="preserve">Revestimento de Piso Vinilico Linha Ambienta Series Cedro  Tarkett  </t>
        </is>
      </c>
      <c r="D3216" s="10" t="inlineStr">
        <is>
          <t>PISO VINILICO LINHA AMBIENTA SERIES CEDRO  TARKETT - MATERIAL E MÃO DE OBRA</t>
        </is>
      </c>
      <c r="E3216" s="11">
        <f t="array" ref="E3216">_xlfn.XLOOKUP(D3216,Insumos!B:B,Insumos!C:$C)</f>
        <v/>
      </c>
      <c r="F3216" s="14" t="n">
        <v>1</v>
      </c>
      <c r="G3216" s="92">
        <f t="array" ref="G3216">IF(B3216="insumo",_xlfn.XLOOKUP($D3216,Insumos!$B$1:$B$996,Insumos!$D$1:$D$996),"")</f>
        <v/>
      </c>
      <c r="H3216" s="92" t="n">
        <v>240</v>
      </c>
      <c r="I3216" s="2162" t="n">
        <v>0</v>
      </c>
      <c r="J3216" s="2162" t="n">
        <v>0</v>
      </c>
      <c r="K3216" s="2162" t="n"/>
    </row>
    <row r="3217" outlineLevel="2" ht="15.75" customHeight="1">
      <c r="A3217" s="1067" t="n">
        <v>1</v>
      </c>
      <c r="B3217" s="1067" t="inlineStr">
        <is>
          <t>Serviço</t>
        </is>
      </c>
      <c r="C3217" s="1067" t="inlineStr">
        <is>
          <t>Revestimento de Piso vinílico cinza e cinza claro 92x92cm / Linha Ambienta Coleção Stone / Marca: Tarkett</t>
        </is>
      </c>
      <c r="D3217" s="1067" t="inlineStr">
        <is>
          <t>Revestimento de Piso vinílico cinza e cinza claro 92x92cm / Linha Ambienta Coleção Stone / Marca: Tarkett</t>
        </is>
      </c>
      <c r="E3217" s="1068" t="inlineStr">
        <is>
          <t>M2</t>
        </is>
      </c>
      <c r="F3217" s="1067" t="n"/>
      <c r="G3217" s="1069">
        <f t="array" ref="G3217">IF(B3217="insumo",_xlfn.XLOOKUP($D3217,Insumos!$B$1:$B$996,Insumos!$D$1:$D$996),"")</f>
        <v/>
      </c>
      <c r="H3217" s="1069" t="n">
        <v>590</v>
      </c>
      <c r="I3217" s="2161" t="e">
        <v>#REF!</v>
      </c>
      <c r="J3217" s="2161" t="e">
        <v>#REF!</v>
      </c>
      <c r="K3217" s="2161" t="n"/>
    </row>
    <row r="3218" outlineLevel="3" ht="15.75" customHeight="1">
      <c r="A3218" s="10" t="n">
        <v>1</v>
      </c>
      <c r="B3218" s="10" t="inlineStr">
        <is>
          <t>Insumo</t>
        </is>
      </c>
      <c r="C3218" s="10" t="inlineStr">
        <is>
          <t>Revestimento de Piso vinílico cinza e cinza claro 92x92cm / Linha Ambienta Coleção Stone / Marca: Tarkett</t>
        </is>
      </c>
      <c r="D3218" s="10" t="inlineStr">
        <is>
          <t>Piso vinílico cinza 92x92cm / Linha Ambienta Coleção Stone / Cores: cinza claro (Beige Porcelain) e cinza (Light Porcelain) / Marca: Tarkett - MATERIAL E MÃO DE OBRA</t>
        </is>
      </c>
      <c r="E3218" s="11">
        <f t="array" ref="E3218">_xlfn.XLOOKUP(D3218,Insumos!B:B,Insumos!C:$C)</f>
        <v/>
      </c>
      <c r="F3218" s="14" t="n">
        <v>1</v>
      </c>
      <c r="G3218" s="92">
        <f t="array" ref="G3218">IF(B3218="insumo",_xlfn.XLOOKUP($D3218,Insumos!$B$1:$B$996,Insumos!$D$1:$D$996),"")</f>
        <v/>
      </c>
      <c r="H3218" s="92" t="n">
        <v>590</v>
      </c>
      <c r="I3218" s="2162" t="e">
        <v>#REF!</v>
      </c>
      <c r="J3218" s="2162" t="e">
        <v>#REF!</v>
      </c>
      <c r="K3218" s="2162" t="n"/>
    </row>
    <row r="3219" outlineLevel="2" ht="15.75" customHeight="1">
      <c r="A3219" s="1067" t="n">
        <v>1</v>
      </c>
      <c r="B3219" s="1067" t="inlineStr">
        <is>
          <t>Serviço</t>
        </is>
      </c>
      <c r="C3219" s="1067" t="inlineStr">
        <is>
          <t>Revestimento de Piso vinílico cinza 92x92cm / Linha Ambienta Coleção Stone / Marca: Tarkett</t>
        </is>
      </c>
      <c r="D3219" s="1067" t="inlineStr">
        <is>
          <t>Revestimento de Piso vinílico cinza 92x92cm / Linha Ambienta Coleção Stone / Marca: Tarkett</t>
        </is>
      </c>
      <c r="E3219" s="1068" t="inlineStr">
        <is>
          <t>M2</t>
        </is>
      </c>
      <c r="F3219" s="1067" t="n"/>
      <c r="G3219" s="1069">
        <f t="array" ref="G3219">IF(B3219="insumo",_xlfn.XLOOKUP($D3219,Insumos!$B$1:$B$996,Insumos!$D$1:$D$996),"")</f>
        <v/>
      </c>
      <c r="H3219" s="1069" t="n">
        <v>590</v>
      </c>
      <c r="I3219" s="2161" t="e">
        <v>#REF!</v>
      </c>
      <c r="J3219" s="2161" t="e">
        <v>#REF!</v>
      </c>
      <c r="K3219" s="2161" t="n"/>
    </row>
    <row r="3220" outlineLevel="3" ht="15.75" customHeight="1">
      <c r="A3220" s="10" t="n">
        <v>1</v>
      </c>
      <c r="B3220" s="10" t="inlineStr">
        <is>
          <t>Insumo</t>
        </is>
      </c>
      <c r="C3220" s="10" t="inlineStr">
        <is>
          <t>Revestimento de Piso vinílico cinza 92x92cm / Linha Ambienta Coleção Stone / Marca: Tarkett</t>
        </is>
      </c>
      <c r="D3220" s="10" t="inlineStr">
        <is>
          <t>Piso vinílico cinza 92x92cm / Linha Ambienta Coleção Stone / Cores: cinza (Light Porcelain) / Marca: Tarkett - MATERIAL E MÃO DE OBRA</t>
        </is>
      </c>
      <c r="E3220" s="11">
        <f t="array" ref="E3220">_xlfn.XLOOKUP(D3220,Insumos!B:B,Insumos!C:$C)</f>
        <v/>
      </c>
      <c r="F3220" s="14" t="n">
        <v>1</v>
      </c>
      <c r="G3220" s="92">
        <f t="array" ref="G3220">IF(B3220="insumo",_xlfn.XLOOKUP($D3220,Insumos!$B$1:$B$996,Insumos!$D$1:$D$996),"")</f>
        <v/>
      </c>
      <c r="H3220" s="92" t="n">
        <v>590</v>
      </c>
      <c r="I3220" s="2162" t="e">
        <v>#REF!</v>
      </c>
      <c r="J3220" s="2162" t="e">
        <v>#REF!</v>
      </c>
      <c r="K3220" s="2162" t="n"/>
    </row>
    <row r="3221" outlineLevel="2" ht="15.75" customHeight="1">
      <c r="A3221" s="1067" t="n">
        <v>1</v>
      </c>
      <c r="B3221" s="1067" t="inlineStr">
        <is>
          <t>Serviço</t>
        </is>
      </c>
      <c r="C3221" s="1067" t="inlineStr">
        <is>
          <t>Revestimento de Piso vinílico cinza claro 92x92cm / Linha Ambienta Coleção Stone / Marca: Tarkett</t>
        </is>
      </c>
      <c r="D3221" s="1067" t="inlineStr">
        <is>
          <t>Revestimento de Piso vinílico cinza claro 92x92cm / Linha Ambienta Coleção Stone / Marca: Tarkett</t>
        </is>
      </c>
      <c r="E3221" s="1068" t="inlineStr">
        <is>
          <t>M2</t>
        </is>
      </c>
      <c r="F3221" s="1067" t="n"/>
      <c r="G3221" s="1069">
        <f t="array" ref="G3221">IF(B3221="insumo",_xlfn.XLOOKUP($D3221,Insumos!$B$1:$B$996,Insumos!$D$1:$D$996),"")</f>
        <v/>
      </c>
      <c r="H3221" s="1069" t="n">
        <v>590</v>
      </c>
      <c r="I3221" s="2161" t="e">
        <v>#REF!</v>
      </c>
      <c r="J3221" s="2161" t="e">
        <v>#REF!</v>
      </c>
      <c r="K3221" s="2161" t="n"/>
    </row>
    <row r="3222" outlineLevel="3" ht="15.75" customHeight="1">
      <c r="A3222" s="10" t="n">
        <v>1</v>
      </c>
      <c r="B3222" s="10" t="inlineStr">
        <is>
          <t>Insumo</t>
        </is>
      </c>
      <c r="C3222" s="10" t="inlineStr">
        <is>
          <t>Revestimento de Piso vinílico cinza claro 92x92cm / Linha Ambienta Coleção Stone / Marca: Tarkett</t>
        </is>
      </c>
      <c r="D3222" s="10" t="inlineStr">
        <is>
          <t>Piso vinílico cinza 92x92cm / Linha Ambienta Coleção Stone / Cores: cinza claro (Beige Porcelain) / Marca: Tarkett - MATERIAL E MÃO DE OBRA</t>
        </is>
      </c>
      <c r="E3222" s="11">
        <f t="array" ref="E3222">_xlfn.XLOOKUP(D3222,Insumos!B:B,Insumos!C:$C)</f>
        <v/>
      </c>
      <c r="F3222" s="14" t="n">
        <v>1</v>
      </c>
      <c r="G3222" s="92">
        <f t="array" ref="G3222">IF(B3222="insumo",_xlfn.XLOOKUP($D3222,Insumos!$B$1:$B$996,Insumos!$D$1:$D$996),"")</f>
        <v/>
      </c>
      <c r="H3222" s="92" t="n">
        <v>590</v>
      </c>
      <c r="I3222" s="2162" t="e">
        <v>#REF!</v>
      </c>
      <c r="J3222" s="2162" t="e">
        <v>#REF!</v>
      </c>
      <c r="K3222" s="2162" t="n"/>
    </row>
    <row r="3223" outlineLevel="2" ht="15.75" customHeight="1">
      <c r="A3223" s="1067" t="n">
        <v>1</v>
      </c>
      <c r="B3223" s="1067" t="inlineStr">
        <is>
          <t>Serviço</t>
        </is>
      </c>
      <c r="C3223" s="1067" t="inlineStr">
        <is>
          <t xml:space="preserve">Revestimento de Piso Vinilico Flamboyant Reguá 208X1230Mm Tarkett </t>
        </is>
      </c>
      <c r="D3223" s="1067" t="inlineStr">
        <is>
          <t xml:space="preserve">Revestimento de Piso Vinilico Flamboyant Reguá 208X1230Mm Tarkett </t>
        </is>
      </c>
      <c r="E3223" s="1068" t="inlineStr">
        <is>
          <t>M2</t>
        </is>
      </c>
      <c r="F3223" s="1067" t="n"/>
      <c r="G3223" s="1069">
        <f t="array" ref="G3223">IF(B3223="insumo",_xlfn.XLOOKUP($D3223,Insumos!$B$1:$B$996,Insumos!$D$1:$D$996),"")</f>
        <v/>
      </c>
      <c r="H3223" s="1069" t="n">
        <v>269.76</v>
      </c>
      <c r="I3223" s="2161" t="n">
        <v>0</v>
      </c>
      <c r="J3223" s="2161" t="n">
        <v>0</v>
      </c>
      <c r="K3223" s="2161" t="n"/>
    </row>
    <row r="3224" outlineLevel="3" ht="15.75" customHeight="1">
      <c r="A3224" s="10" t="n">
        <v>2</v>
      </c>
      <c r="B3224" s="10" t="inlineStr">
        <is>
          <t>Insumo</t>
        </is>
      </c>
      <c r="C3224" s="10" t="inlineStr">
        <is>
          <t xml:space="preserve">Revestimento de Piso Vinilico Flamboyant Reguá 208X1230Mm Tarkett </t>
        </is>
      </c>
      <c r="D3224" s="10" t="inlineStr">
        <is>
          <t>PISO VINILICO FLAMBOYANT REGUÁ 208x1230mm TARKETT - MATERIAL E MÃO DE OBRA</t>
        </is>
      </c>
      <c r="E3224" s="11">
        <f t="array" ref="E3224">_xlfn.XLOOKUP(D3224,Insumos!B:B,Insumos!C:$C)</f>
        <v/>
      </c>
      <c r="F3224" s="14" t="n">
        <v>1</v>
      </c>
      <c r="G3224" s="92">
        <f t="array" ref="G3224">IF(B3224="insumo",_xlfn.XLOOKUP($D3224,Insumos!$B$1:$B$996,Insumos!$D$1:$D$996),"")</f>
        <v/>
      </c>
      <c r="H3224" s="92" t="n">
        <v>269.76</v>
      </c>
      <c r="I3224" s="2162" t="n">
        <v>0</v>
      </c>
      <c r="J3224" s="2162" t="n">
        <v>0</v>
      </c>
      <c r="K3224" s="2162" t="n"/>
    </row>
    <row r="3225" outlineLevel="2" ht="15.75" customHeight="1">
      <c r="A3225" s="1067" t="n">
        <v>1</v>
      </c>
      <c r="B3225" s="1067" t="inlineStr">
        <is>
          <t>Serviço</t>
        </is>
      </c>
      <c r="C3225" s="1067" t="inlineStr">
        <is>
          <t xml:space="preserve">Revestimento de Piso Vinilico Luz Do Dia Linha Vital 1219,2X228,6Mm Finotatto  </t>
        </is>
      </c>
      <c r="D3225" s="1067" t="inlineStr">
        <is>
          <t xml:space="preserve">Revestimento de Piso Vinilico Luz Do Dia Linha Vital 1219,2X228,6Mm Finotatto  </t>
        </is>
      </c>
      <c r="E3225" s="1068" t="inlineStr">
        <is>
          <t>M2</t>
        </is>
      </c>
      <c r="F3225" s="1067" t="n"/>
      <c r="G3225" s="1069">
        <f t="array" ref="G3225">IF(B3225="insumo",_xlfn.XLOOKUP($D3225,Insumos!$B$1:$B$996,Insumos!$D$1:$D$996),"")</f>
        <v/>
      </c>
      <c r="H3225" s="1069" t="n">
        <v>161.8</v>
      </c>
      <c r="I3225" s="2161" t="n">
        <v>0</v>
      </c>
      <c r="J3225" s="2161" t="n">
        <v>0</v>
      </c>
      <c r="K3225" s="2161" t="n"/>
    </row>
    <row r="3226" outlineLevel="3" ht="15.75" customHeight="1">
      <c r="A3226" s="10" t="n">
        <v>1</v>
      </c>
      <c r="B3226" s="10" t="inlineStr">
        <is>
          <t>Insumo</t>
        </is>
      </c>
      <c r="C3226" s="10" t="inlineStr">
        <is>
          <t xml:space="preserve">Revestimento de Piso Vinilico Luz Do Dia Linha Vital 1219,2X228,6Mm Finotatto  </t>
        </is>
      </c>
      <c r="D3226" s="10" t="inlineStr">
        <is>
          <t>PISO VINILICO LUZ DO DIA LINHA VITAL 1219,2x228,6mm FINOTATTO - MATERIAL E MÃO DE OBRA</t>
        </is>
      </c>
      <c r="E3226" s="11">
        <f t="array" ref="E3226">_xlfn.XLOOKUP(D3226,Insumos!B:B,Insumos!C:$C)</f>
        <v/>
      </c>
      <c r="F3226" s="14" t="n">
        <v>1</v>
      </c>
      <c r="G3226" s="92">
        <f t="array" ref="G3226">IF(B3226="insumo",_xlfn.XLOOKUP($D3226,Insumos!$B$1:$B$996,Insumos!$D$1:$D$996),"")</f>
        <v/>
      </c>
      <c r="H3226" s="92" t="n">
        <v>161.8</v>
      </c>
      <c r="I3226" s="2162" t="n">
        <v>0</v>
      </c>
      <c r="J3226" s="2162" t="n">
        <v>0</v>
      </c>
      <c r="K3226" s="2162" t="n"/>
    </row>
    <row r="3227" outlineLevel="2" ht="12.75" customHeight="1">
      <c r="A3227" s="1071" t="n">
        <v>1</v>
      </c>
      <c r="B3227" s="1071" t="inlineStr">
        <is>
          <t>Serviço</t>
        </is>
      </c>
      <c r="C3227" s="1071" t="inlineStr">
        <is>
          <t>Revestimento de piso laminado acústico, nas áreas privativas - Material e Mão de Obra</t>
        </is>
      </c>
      <c r="D3227" s="1071" t="inlineStr">
        <is>
          <t>Revestimento de piso laminado acústico, nas áreas privativas - Material e Mão de Obra</t>
        </is>
      </c>
      <c r="E3227" s="1072" t="inlineStr">
        <is>
          <t>M2</t>
        </is>
      </c>
      <c r="F3227" s="1071" t="n"/>
      <c r="G3227" s="1073">
        <f t="array" ref="G3227">IF(B3227="insumo",_xlfn.XLOOKUP($D3227,Insumos!$B$1:$B$996,Insumos!$D$1:$D$996),"")</f>
        <v/>
      </c>
      <c r="H3227" s="1073" t="n">
        <v>177</v>
      </c>
      <c r="I3227" s="2163" t="n">
        <v>0</v>
      </c>
      <c r="J3227" s="2163" t="n">
        <v>0</v>
      </c>
      <c r="K3227" s="2163" t="n"/>
    </row>
    <row r="3228" outlineLevel="3" ht="12.75" customHeight="1">
      <c r="A3228" s="82" t="n">
        <v>1</v>
      </c>
      <c r="B3228" s="82" t="inlineStr">
        <is>
          <t>Insumo</t>
        </is>
      </c>
      <c r="C3228" s="82" t="inlineStr">
        <is>
          <t>Revestimento de piso laminado acústico, nas áreas privativas - Material e Mão de Obra</t>
        </is>
      </c>
      <c r="D3228" s="82" t="inlineStr">
        <is>
          <t>Revestimento de piso laminado acústico, nas áreas privativas - Material e Mão de Obra</t>
        </is>
      </c>
      <c r="E3228" s="11">
        <f t="array" ref="E3228">_xlfn.XLOOKUP(D3228,Insumos!B:B,Insumos!C:$C)</f>
        <v/>
      </c>
      <c r="F3228" s="2164" t="n">
        <v>1</v>
      </c>
      <c r="G3228" s="92">
        <f t="array" ref="G3228">IF(B3228="insumo",_xlfn.XLOOKUP($D3228,Insumos!$B$1:$B$996,Insumos!$D$1:$D$996),"")</f>
        <v/>
      </c>
      <c r="H3228" s="92" t="n">
        <v>177</v>
      </c>
      <c r="I3228" s="2165" t="n">
        <v>0</v>
      </c>
      <c r="J3228" s="2165" t="n">
        <v>0</v>
      </c>
      <c r="K3228" s="2165" t="n"/>
    </row>
    <row r="3229" outlineLevel="2" ht="15.75" customHeight="1">
      <c r="A3229" s="1067" t="n">
        <v>1</v>
      </c>
      <c r="B3229" s="1067" t="inlineStr">
        <is>
          <t>Serviço</t>
        </is>
      </c>
      <c r="C3229" s="1067" t="inlineStr">
        <is>
          <t>Revestimento de Piso, Emborrachado Monolitico Rubber</t>
        </is>
      </c>
      <c r="D3229" s="1067" t="inlineStr">
        <is>
          <t>Revestimento de Piso, Emborrachado Monolitico Rubber</t>
        </is>
      </c>
      <c r="E3229" s="1068" t="inlineStr">
        <is>
          <t>M2</t>
        </is>
      </c>
      <c r="F3229" s="1067" t="n"/>
      <c r="G3229" s="1069">
        <f t="array" ref="G3229">IF(B3229="insumo",_xlfn.XLOOKUP($D3229,Insumos!$B$1:$B$996,Insumos!$D$1:$D$996),"")</f>
        <v/>
      </c>
      <c r="H3229" s="1069" t="n">
        <v>250</v>
      </c>
      <c r="I3229" s="2161" t="n">
        <v>0</v>
      </c>
      <c r="J3229" s="2161" t="n">
        <v>0</v>
      </c>
      <c r="K3229" s="2161" t="n"/>
    </row>
    <row r="3230" outlineLevel="3" ht="15.75" customHeight="1">
      <c r="A3230" s="10" t="n">
        <v>1</v>
      </c>
      <c r="B3230" s="10" t="inlineStr">
        <is>
          <t>Insumo</t>
        </is>
      </c>
      <c r="C3230" s="10" t="inlineStr">
        <is>
          <t>Revestimento de Piso, Emborrachado Monolitico Rubber</t>
        </is>
      </c>
      <c r="D3230" s="10" t="inlineStr">
        <is>
          <t>Piso Emborrachado Monolitico Rubber</t>
        </is>
      </c>
      <c r="E3230" s="11">
        <f t="array" ref="E3230">_xlfn.XLOOKUP(D3230,Insumos!B:B,Insumos!C:$C)</f>
        <v/>
      </c>
      <c r="F3230" s="14" t="n">
        <v>1</v>
      </c>
      <c r="G3230" s="92">
        <f t="array" ref="G3230">IF(B3230="insumo",_xlfn.XLOOKUP($D3230,Insumos!$B$1:$B$996,Insumos!$D$1:$D$996),"")</f>
        <v/>
      </c>
      <c r="H3230" s="92" t="n">
        <v>250</v>
      </c>
      <c r="I3230" s="2162" t="n">
        <v>0</v>
      </c>
      <c r="J3230" s="2162" t="n">
        <v>0</v>
      </c>
      <c r="K3230" s="2162" t="n"/>
    </row>
    <row r="3231" outlineLevel="2" ht="12.75" customHeight="1">
      <c r="A3231" s="1071" t="n">
        <v>1</v>
      </c>
      <c r="B3231" s="1071" t="inlineStr">
        <is>
          <t>Serviço</t>
        </is>
      </c>
      <c r="C3231" s="1071" t="inlineStr">
        <is>
          <t>Revestimento emborrachado piso interno (Academia)- Material e Mão de Obra</t>
        </is>
      </c>
      <c r="D3231" s="1071" t="inlineStr">
        <is>
          <t>Revestimento emborrachado piso interno (Academia)- Material e Mão de Obra</t>
        </is>
      </c>
      <c r="E3231" s="1072" t="inlineStr">
        <is>
          <t>M2</t>
        </is>
      </c>
      <c r="F3231" s="1071" t="n"/>
      <c r="G3231" s="1073">
        <f t="array" ref="G3231">IF(B3231="insumo",_xlfn.XLOOKUP($D3231,Insumos!$B$1:$B$996,Insumos!$D$1:$D$996),"")</f>
        <v/>
      </c>
      <c r="H3231" s="1073" t="n">
        <v>101.998107</v>
      </c>
      <c r="I3231" s="2163" t="n">
        <v>0</v>
      </c>
      <c r="J3231" s="2163" t="n">
        <v>0</v>
      </c>
      <c r="K3231" s="2163" t="n"/>
    </row>
    <row r="3232" outlineLevel="3" ht="12.75" customHeight="1">
      <c r="A3232" s="82" t="n">
        <v>7</v>
      </c>
      <c r="B3232" s="82" t="inlineStr">
        <is>
          <t>Insumo</t>
        </is>
      </c>
      <c r="C3232" s="82" t="inlineStr">
        <is>
          <t>Revestimento emborrachado piso interno (Academia)- Material e Mão de Obra</t>
        </is>
      </c>
      <c r="D3232" s="82" t="inlineStr">
        <is>
          <t>Adesivo Acrilico De Base Aquosa / Cola De Contato</t>
        </is>
      </c>
      <c r="E3232" s="11">
        <f t="array" ref="E3232">_xlfn.XLOOKUP(D3232,Insumos!B:B,Insumos!C:$C)</f>
        <v/>
      </c>
      <c r="F3232" s="2164" t="n">
        <v>0.5637</v>
      </c>
      <c r="G3232" s="92">
        <f t="array" ref="G3232">IF(B3232="insumo",_xlfn.XLOOKUP($D3232,Insumos!$B$1:$B$996,Insumos!$D$1:$D$996),"")</f>
        <v/>
      </c>
      <c r="H3232" s="92" t="n">
        <v>14.154507</v>
      </c>
      <c r="I3232" s="2165" t="n">
        <v>0</v>
      </c>
      <c r="J3232" s="2165" t="n">
        <v>0</v>
      </c>
      <c r="K3232" s="2165" t="n"/>
    </row>
    <row r="3233" outlineLevel="3" ht="12.75" customHeight="1">
      <c r="A3233" s="82" t="n">
        <v>1</v>
      </c>
      <c r="B3233" s="82" t="inlineStr">
        <is>
          <t>Insumo</t>
        </is>
      </c>
      <c r="C3233" s="82" t="inlineStr">
        <is>
          <t>Revestimento emborrachado piso interno (Academia)- Material e Mão de Obra</t>
        </is>
      </c>
      <c r="D3233" s="82" t="inlineStr">
        <is>
          <t>Piso de borracha Daud botão preto 3 x 500 x 500 mm</t>
        </is>
      </c>
      <c r="E3233" s="11">
        <f t="array" ref="E3233">_xlfn.XLOOKUP(D3233,Insumos!B:B,Insumos!C:$C)</f>
        <v/>
      </c>
      <c r="F3233" s="2164" t="n">
        <v>1.1</v>
      </c>
      <c r="G3233" s="92">
        <f t="array" ref="G3233">IF(B3233="insumo",_xlfn.XLOOKUP($D3233,Insumos!$B$1:$B$996,Insumos!$D$1:$D$996),"")</f>
        <v/>
      </c>
      <c r="H3233" s="92" t="n">
        <v>62.3436</v>
      </c>
      <c r="I3233" s="2165" t="n">
        <v>0</v>
      </c>
      <c r="J3233" s="2165" t="n">
        <v>0</v>
      </c>
      <c r="K3233" s="2165" t="n"/>
    </row>
    <row r="3234" outlineLevel="3" ht="12.75" customHeight="1">
      <c r="A3234" s="82" t="n">
        <v>1</v>
      </c>
      <c r="B3234" s="82" t="inlineStr">
        <is>
          <t>Insumo</t>
        </is>
      </c>
      <c r="C3234" s="82" t="inlineStr">
        <is>
          <t>Revestimento emborrachado piso interno (Academia)- Material e Mão de Obra</t>
        </is>
      </c>
      <c r="D3234" s="82" t="inlineStr">
        <is>
          <t>Instalação de piso emborrachado</t>
        </is>
      </c>
      <c r="E3234" s="11">
        <f t="array" ref="E3234">_xlfn.XLOOKUP(D3234,Insumos!B:B,Insumos!C:$C)</f>
        <v/>
      </c>
      <c r="F3234" s="2164" t="n">
        <v>1</v>
      </c>
      <c r="G3234" s="92">
        <f t="array" ref="G3234">IF(B3234="insumo",_xlfn.XLOOKUP($D3234,Insumos!$B$1:$B$996,Insumos!$D$1:$D$996),"")</f>
        <v/>
      </c>
      <c r="H3234" s="92" t="n">
        <v>25.5</v>
      </c>
      <c r="I3234" s="2165" t="n">
        <v>0</v>
      </c>
      <c r="J3234" s="2165" t="n">
        <v>0</v>
      </c>
      <c r="K3234" s="2165" t="n"/>
    </row>
    <row r="3235" outlineLevel="2" ht="15.75" customHeight="1">
      <c r="A3235" s="1067" t="n">
        <v>1</v>
      </c>
      <c r="B3235" s="1067" t="inlineStr">
        <is>
          <t>Serviço</t>
        </is>
      </c>
      <c r="C3235" s="1067" t="inlineStr">
        <is>
          <t>Revestimento de piso em grama</t>
        </is>
      </c>
      <c r="D3235" s="1067" t="inlineStr">
        <is>
          <t>Revestimento de piso em grama</t>
        </is>
      </c>
      <c r="E3235" s="1068" t="inlineStr">
        <is>
          <t>M2</t>
        </is>
      </c>
      <c r="F3235" s="1067" t="n"/>
      <c r="G3235" s="1069">
        <f t="array" ref="G3235">IF(B3235="insumo",_xlfn.XLOOKUP($D3235,Insumos!$B$1:$B$996,Insumos!$D$1:$D$996),"")</f>
        <v/>
      </c>
      <c r="H3235" s="1069" t="n">
        <v>13.476142</v>
      </c>
      <c r="I3235" s="2161" t="n">
        <v>0</v>
      </c>
      <c r="J3235" s="2161" t="n">
        <v>0</v>
      </c>
      <c r="K3235" s="2161" t="n"/>
    </row>
    <row r="3236" outlineLevel="3" ht="15.75" customHeight="1">
      <c r="A3236" s="10" t="n">
        <v>1</v>
      </c>
      <c r="B3236" s="10" t="inlineStr">
        <is>
          <t>Insumo</t>
        </is>
      </c>
      <c r="C3236" s="10" t="inlineStr">
        <is>
          <t>Revestimento de piso em grama</t>
        </is>
      </c>
      <c r="D3236" s="10" t="inlineStr">
        <is>
          <t>Terra vegetal</t>
        </is>
      </c>
      <c r="E3236" s="11">
        <f t="array" ref="E3236">_xlfn.XLOOKUP(D3236,Insumos!B:B,Insumos!C:$C)</f>
        <v/>
      </c>
      <c r="F3236" s="14" t="n">
        <v>0.0446</v>
      </c>
      <c r="G3236" s="92">
        <f t="array" ref="G3236">IF(B3236="insumo",_xlfn.XLOOKUP($D3236,Insumos!$B$1:$B$996,Insumos!$D$1:$D$996),"")</f>
        <v/>
      </c>
      <c r="H3236" s="92" t="n">
        <v>6.403222</v>
      </c>
      <c r="I3236" s="2162" t="n">
        <v>0</v>
      </c>
      <c r="J3236" s="2162" t="n">
        <v>0</v>
      </c>
      <c r="K3236" s="2162" t="n"/>
    </row>
    <row r="3237" outlineLevel="3" ht="15.75" customHeight="1">
      <c r="A3237" s="10" t="n">
        <v>1</v>
      </c>
      <c r="B3237" s="10" t="inlineStr">
        <is>
          <t>Insumo</t>
        </is>
      </c>
      <c r="C3237" s="10" t="inlineStr">
        <is>
          <t>Revestimento de piso em grama</t>
        </is>
      </c>
      <c r="D3237" s="10" t="inlineStr">
        <is>
          <t>Grama esmeralda</t>
        </is>
      </c>
      <c r="E3237" s="11">
        <f t="array" ref="E3237">_xlfn.XLOOKUP(D3237,Insumos!B:B,Insumos!C:$C)</f>
        <v/>
      </c>
      <c r="F3237" s="14" t="n">
        <v>0.6372</v>
      </c>
      <c r="G3237" s="92">
        <f t="array" ref="G3237">IF(B3237="insumo",_xlfn.XLOOKUP($D3237,Insumos!$B$1:$B$996,Insumos!$D$1:$D$996),"")</f>
        <v/>
      </c>
      <c r="H3237" s="92" t="n">
        <v>7.07292</v>
      </c>
      <c r="I3237" s="2162" t="n">
        <v>0</v>
      </c>
      <c r="J3237" s="2162" t="n">
        <v>0</v>
      </c>
      <c r="K3237" s="2162" t="n"/>
    </row>
    <row r="3238" outlineLevel="1" ht="15.75" customHeight="1">
      <c r="A3238" s="1090" t="n">
        <v>1</v>
      </c>
      <c r="B3238" s="1090" t="inlineStr">
        <is>
          <t>Subetapa</t>
        </is>
      </c>
      <c r="C3238" s="1090" t="inlineStr">
        <is>
          <t>Revestimento de piso em grama</t>
        </is>
      </c>
      <c r="D3238" s="1090" t="inlineStr">
        <is>
          <t>ACABAMENTOS PEDRAS|GRANITO</t>
        </is>
      </c>
      <c r="E3238" s="1091" t="n"/>
      <c r="F3238" s="2160" t="n"/>
      <c r="G3238" s="1091" t="n"/>
      <c r="H3238" s="1091" t="n">
        <v>0</v>
      </c>
      <c r="I3238" s="2160" t="n">
        <v>0</v>
      </c>
      <c r="J3238" s="2160" t="n">
        <v>0</v>
      </c>
      <c r="K3238" s="2160" t="n"/>
    </row>
    <row r="3239" outlineLevel="2" ht="15.75" customHeight="1">
      <c r="A3239" s="1067" t="n">
        <v>1</v>
      </c>
      <c r="B3239" s="1067" t="inlineStr">
        <is>
          <t>Serviço</t>
        </is>
      </c>
      <c r="C3239" s="1067" t="inlineStr">
        <is>
          <t>Revestimento de Piso de granito siena</t>
        </is>
      </c>
      <c r="D3239" s="1067" t="inlineStr">
        <is>
          <t>Revestimento de Piso de granito siena</t>
        </is>
      </c>
      <c r="E3239" s="1068" t="inlineStr">
        <is>
          <t>M2</t>
        </is>
      </c>
      <c r="F3239" s="1067" t="n"/>
      <c r="G3239" s="1069">
        <f t="array" ref="G3239">IF(B3239="insumo",_xlfn.XLOOKUP($D3239,Insumos!$B$1:$B$996,Insumos!$D$1:$D$996),"")</f>
        <v/>
      </c>
      <c r="H3239" s="1069" t="n">
        <v>733.0326</v>
      </c>
      <c r="I3239" s="2161" t="n">
        <v>0</v>
      </c>
      <c r="J3239" s="2161" t="n">
        <v>0</v>
      </c>
      <c r="K3239" s="2161" t="n"/>
    </row>
    <row r="3240" outlineLevel="3" ht="15.75" customHeight="1">
      <c r="A3240" s="10" t="n">
        <v>3</v>
      </c>
      <c r="B3240" s="10" t="inlineStr">
        <is>
          <t>Insumo</t>
        </is>
      </c>
      <c r="C3240" s="10" t="inlineStr">
        <is>
          <t>Revestimento de Piso de granito siena</t>
        </is>
      </c>
      <c r="D3240" s="10" t="inlineStr">
        <is>
          <t>Granito siena branco</t>
        </is>
      </c>
      <c r="E3240" s="11">
        <f t="array" ref="E3240">_xlfn.XLOOKUP(D3240,Insumos!B:B,Insumos!C:$C)</f>
        <v/>
      </c>
      <c r="F3240" s="14" t="n">
        <v>1.1</v>
      </c>
      <c r="G3240" s="92">
        <f t="array" ref="G3240">IF(B3240="insumo",_xlfn.XLOOKUP($D3240,Insumos!$B$1:$B$996,Insumos!$D$1:$D$996),"")</f>
        <v/>
      </c>
      <c r="H3240" s="92" t="n">
        <v>715</v>
      </c>
      <c r="I3240" s="2162" t="n">
        <v>0</v>
      </c>
      <c r="J3240" s="2162" t="n">
        <v>0</v>
      </c>
      <c r="K3240" s="2162" t="n"/>
    </row>
    <row r="3241" outlineLevel="3" ht="15.75" customHeight="1">
      <c r="A3241" s="10" t="n">
        <v>191</v>
      </c>
      <c r="B3241" s="10" t="inlineStr">
        <is>
          <t>Insumo</t>
        </is>
      </c>
      <c r="C3241" s="10" t="inlineStr">
        <is>
          <t>Revestimento de Piso de granito siena</t>
        </is>
      </c>
      <c r="D3241" s="10" t="inlineStr">
        <is>
          <t>Argamassa ACIII</t>
        </is>
      </c>
      <c r="E3241" s="11">
        <f t="array" ref="E3241">_xlfn.XLOOKUP(D3241,Insumos!B:B,Insumos!C:$C)</f>
        <v/>
      </c>
      <c r="F3241" s="14" t="n">
        <v>8.800000000000001</v>
      </c>
      <c r="G3241" s="92">
        <f t="array" ref="G3241">IF(B3241="insumo",_xlfn.XLOOKUP($D3241,Insumos!$B$1:$B$996,Insumos!$D$1:$D$996),"")</f>
        <v/>
      </c>
      <c r="H3241" s="92" t="n">
        <v>9.367599999999999</v>
      </c>
      <c r="I3241" s="2162" t="n">
        <v>0</v>
      </c>
      <c r="J3241" s="2162" t="n">
        <v>0</v>
      </c>
      <c r="K3241" s="2162" t="n"/>
    </row>
    <row r="3242" outlineLevel="3" ht="15.75" customHeight="1">
      <c r="A3242" s="10" t="n">
        <v>34</v>
      </c>
      <c r="B3242" s="10" t="inlineStr">
        <is>
          <t>Insumo</t>
        </is>
      </c>
      <c r="C3242" s="10" t="inlineStr">
        <is>
          <t>Revestimento de Piso de granito siena</t>
        </is>
      </c>
      <c r="D3242" s="10" t="inlineStr">
        <is>
          <t>Massa Plastica 400g</t>
        </is>
      </c>
      <c r="E3242" s="11">
        <f t="array" ref="E3242">_xlfn.XLOOKUP(D3242,Insumos!B:B,Insumos!C:$C)</f>
        <v/>
      </c>
      <c r="F3242" s="14" t="n">
        <v>0.5</v>
      </c>
      <c r="G3242" s="92">
        <f t="array" ref="G3242">IF(B3242="insumo",_xlfn.XLOOKUP($D3242,Insumos!$B$1:$B$996,Insumos!$D$1:$D$996),"")</f>
        <v/>
      </c>
      <c r="H3242" s="92" t="n">
        <v>8.664999999999999</v>
      </c>
      <c r="I3242" s="2162" t="n">
        <v>0</v>
      </c>
      <c r="J3242" s="2162" t="n">
        <v>0</v>
      </c>
      <c r="K3242" s="2162" t="n"/>
    </row>
    <row r="3243" outlineLevel="2" ht="12.75" customHeight="1">
      <c r="A3243" s="1071" t="n">
        <v>1</v>
      </c>
      <c r="B3243" s="1071" t="inlineStr">
        <is>
          <t>Serviço</t>
        </is>
      </c>
      <c r="C3243" s="1071" t="inlineStr">
        <is>
          <t>Revestimento de Piso de granito itaunas</t>
        </is>
      </c>
      <c r="D3243" s="1071" t="inlineStr">
        <is>
          <t>Revestimento de Piso de granito itaunas</t>
        </is>
      </c>
      <c r="E3243" s="1072" t="inlineStr">
        <is>
          <t>M2</t>
        </is>
      </c>
      <c r="F3243" s="1071" t="n"/>
      <c r="G3243" s="1073">
        <f t="array" ref="G3243">IF(B3243="insumo",_xlfn.XLOOKUP($D3243,Insumos!$B$1:$B$996,Insumos!$D$1:$D$996),"")</f>
        <v/>
      </c>
      <c r="H3243" s="1073" t="n">
        <v>843.0326</v>
      </c>
      <c r="I3243" s="2163" t="n">
        <v>0</v>
      </c>
      <c r="J3243" s="2163" t="n">
        <v>0</v>
      </c>
      <c r="K3243" s="2163" t="n"/>
    </row>
    <row r="3244" outlineLevel="3" ht="12.75" customHeight="1">
      <c r="A3244" s="82" t="n">
        <v>1</v>
      </c>
      <c r="B3244" s="82" t="inlineStr">
        <is>
          <t>Insumo</t>
        </is>
      </c>
      <c r="C3244" s="82" t="inlineStr">
        <is>
          <t>Revestimento de Piso de granito itaunas</t>
        </is>
      </c>
      <c r="D3244" s="82" t="inlineStr">
        <is>
          <t>Granito itaunas branco</t>
        </is>
      </c>
      <c r="E3244" s="11">
        <f t="array" ref="E3244">_xlfn.XLOOKUP(D3244,Insumos!B:B,Insumos!C:$C)</f>
        <v/>
      </c>
      <c r="F3244" s="2171" t="n">
        <v>1.1</v>
      </c>
      <c r="G3244" s="92">
        <f t="array" ref="G3244">IF(B3244="insumo",_xlfn.XLOOKUP($D3244,Insumos!$B$1:$B$996,Insumos!$D$1:$D$996),"")</f>
        <v/>
      </c>
      <c r="H3244" s="92" t="n">
        <v>825</v>
      </c>
      <c r="I3244" s="2165" t="n">
        <v>0</v>
      </c>
      <c r="J3244" s="2165" t="n">
        <v>0</v>
      </c>
      <c r="K3244" s="2165" t="n"/>
    </row>
    <row r="3245" outlineLevel="3" ht="12.75" customHeight="1">
      <c r="A3245" s="82" t="n">
        <v>191</v>
      </c>
      <c r="B3245" s="82" t="inlineStr">
        <is>
          <t>Insumo</t>
        </is>
      </c>
      <c r="C3245" s="82" t="inlineStr">
        <is>
          <t>Revestimento de Piso de granito itaunas</t>
        </is>
      </c>
      <c r="D3245" s="82" t="inlineStr">
        <is>
          <t>Argamassa ACIII</t>
        </is>
      </c>
      <c r="E3245" s="11">
        <f t="array" ref="E3245">_xlfn.XLOOKUP(D3245,Insumos!B:B,Insumos!C:$C)</f>
        <v/>
      </c>
      <c r="F3245" s="2171" t="n">
        <v>8.800000000000001</v>
      </c>
      <c r="G3245" s="92">
        <f t="array" ref="G3245">IF(B3245="insumo",_xlfn.XLOOKUP($D3245,Insumos!$B$1:$B$996,Insumos!$D$1:$D$996),"")</f>
        <v/>
      </c>
      <c r="H3245" s="92" t="n">
        <v>9.367599999999999</v>
      </c>
      <c r="I3245" s="2165" t="n">
        <v>0</v>
      </c>
      <c r="J3245" s="2165" t="n">
        <v>0</v>
      </c>
      <c r="K3245" s="2165" t="n"/>
    </row>
    <row r="3246" outlineLevel="3" ht="12.75" customHeight="1">
      <c r="A3246" s="82" t="n">
        <v>34</v>
      </c>
      <c r="B3246" s="82" t="inlineStr">
        <is>
          <t>Insumo</t>
        </is>
      </c>
      <c r="C3246" s="82" t="inlineStr">
        <is>
          <t>Revestimento de Piso de granito itaunas</t>
        </is>
      </c>
      <c r="D3246" s="82" t="inlineStr">
        <is>
          <t>Massa Plastica 400g</t>
        </is>
      </c>
      <c r="E3246" s="11">
        <f t="array" ref="E3246">_xlfn.XLOOKUP(D3246,Insumos!B:B,Insumos!C:$C)</f>
        <v/>
      </c>
      <c r="F3246" s="2171" t="n">
        <v>0.5</v>
      </c>
      <c r="G3246" s="92">
        <f t="array" ref="G3246">IF(B3246="insumo",_xlfn.XLOOKUP($D3246,Insumos!$B$1:$B$996,Insumos!$D$1:$D$996),"")</f>
        <v/>
      </c>
      <c r="H3246" s="92" t="n">
        <v>8.664999999999999</v>
      </c>
      <c r="I3246" s="2165" t="n">
        <v>0</v>
      </c>
      <c r="J3246" s="2165" t="n">
        <v>0</v>
      </c>
      <c r="K3246" s="2165" t="n"/>
    </row>
    <row r="3247" outlineLevel="2" ht="12.75" customHeight="1">
      <c r="A3247" s="1071" t="n">
        <v>1</v>
      </c>
      <c r="B3247" s="1071" t="inlineStr">
        <is>
          <t>Serviço</t>
        </is>
      </c>
      <c r="C3247" s="1071" t="inlineStr">
        <is>
          <t>Revestimento de Piso de granito preto são gabriel</t>
        </is>
      </c>
      <c r="D3247" s="1071" t="inlineStr">
        <is>
          <t>Revestimento de Piso de granito preto são gabriel</t>
        </is>
      </c>
      <c r="E3247" s="1072" t="inlineStr">
        <is>
          <t>M2</t>
        </is>
      </c>
      <c r="F3247" s="1071" t="n"/>
      <c r="G3247" s="1073">
        <f t="array" ref="G3247">IF(B3247="insumo",_xlfn.XLOOKUP($D3247,Insumos!$B$1:$B$996,Insumos!$D$1:$D$996),"")</f>
        <v/>
      </c>
      <c r="H3247" s="1073" t="n">
        <v>700.3197</v>
      </c>
      <c r="I3247" s="2163" t="n">
        <v>0</v>
      </c>
      <c r="J3247" s="2163" t="n">
        <v>0</v>
      </c>
      <c r="K3247" s="2163" t="n"/>
    </row>
    <row r="3248" outlineLevel="3" ht="12.75" customHeight="1">
      <c r="A3248" s="82" t="n">
        <v>4</v>
      </c>
      <c r="B3248" s="82" t="inlineStr">
        <is>
          <t>Insumo</t>
        </is>
      </c>
      <c r="C3248" s="82" t="inlineStr">
        <is>
          <t>Revestimento de Piso de granito preto são gabriel</t>
        </is>
      </c>
      <c r="D3248" s="82" t="inlineStr">
        <is>
          <t xml:space="preserve">Granito preto são gabriel </t>
        </is>
      </c>
      <c r="E3248" s="11">
        <f t="array" ref="E3248">_xlfn.XLOOKUP(D3248,Insumos!B:B,Insumos!C:$C)</f>
        <v/>
      </c>
      <c r="F3248" s="2164" t="n">
        <v>1.05</v>
      </c>
      <c r="G3248" s="92">
        <f t="array" ref="G3248">IF(B3248="insumo",_xlfn.XLOOKUP($D3248,Insumos!$B$1:$B$996,Insumos!$D$1:$D$996),"")</f>
        <v/>
      </c>
      <c r="H3248" s="92" t="n">
        <v>682.5</v>
      </c>
      <c r="I3248" s="2165" t="n">
        <v>0</v>
      </c>
      <c r="J3248" s="2165" t="n">
        <v>0</v>
      </c>
      <c r="K3248" s="2165" t="n"/>
    </row>
    <row r="3249" outlineLevel="3" ht="12.75" customHeight="1">
      <c r="A3249" s="82" t="n">
        <v>191</v>
      </c>
      <c r="B3249" s="82" t="inlineStr">
        <is>
          <t>Insumo</t>
        </is>
      </c>
      <c r="C3249" s="82" t="inlineStr">
        <is>
          <t>Revestimento de Piso de granito preto são gabriel</t>
        </is>
      </c>
      <c r="D3249" s="82" t="inlineStr">
        <is>
          <t>Argamassa ACIII</t>
        </is>
      </c>
      <c r="E3249" s="11">
        <f t="array" ref="E3249">_xlfn.XLOOKUP(D3249,Insumos!B:B,Insumos!C:$C)</f>
        <v/>
      </c>
      <c r="F3249" s="2164" t="n">
        <v>8.6</v>
      </c>
      <c r="G3249" s="92">
        <f t="array" ref="G3249">IF(B3249="insumo",_xlfn.XLOOKUP($D3249,Insumos!$B$1:$B$996,Insumos!$D$1:$D$996),"")</f>
        <v/>
      </c>
      <c r="H3249" s="92" t="n">
        <v>9.1547</v>
      </c>
      <c r="I3249" s="2165" t="n">
        <v>0</v>
      </c>
      <c r="J3249" s="2165" t="n">
        <v>0</v>
      </c>
      <c r="K3249" s="2165" t="n"/>
    </row>
    <row r="3250" outlineLevel="3" ht="12.75" customHeight="1">
      <c r="A3250" s="82" t="n">
        <v>34</v>
      </c>
      <c r="B3250" s="82" t="inlineStr">
        <is>
          <t>Insumo</t>
        </is>
      </c>
      <c r="C3250" s="82" t="inlineStr">
        <is>
          <t>Revestimento de Piso de granito preto são gabriel</t>
        </is>
      </c>
      <c r="D3250" s="82" t="inlineStr">
        <is>
          <t>Massa Plastica 400g</t>
        </is>
      </c>
      <c r="E3250" s="11">
        <f t="array" ref="E3250">_xlfn.XLOOKUP(D3250,Insumos!B:B,Insumos!C:$C)</f>
        <v/>
      </c>
      <c r="F3250" s="2164" t="n">
        <v>0.5</v>
      </c>
      <c r="G3250" s="92">
        <f t="array" ref="G3250">IF(B3250="insumo",_xlfn.XLOOKUP($D3250,Insumos!$B$1:$B$996,Insumos!$D$1:$D$996),"")</f>
        <v/>
      </c>
      <c r="H3250" s="92" t="n">
        <v>8.664999999999999</v>
      </c>
      <c r="I3250" s="2165" t="n">
        <v>0</v>
      </c>
      <c r="J3250" s="2165" t="n">
        <v>0</v>
      </c>
      <c r="K3250" s="2165" t="n"/>
    </row>
    <row r="3251" outlineLevel="2" ht="15.75" customHeight="1">
      <c r="A3251" s="1067" t="n">
        <v>1</v>
      </c>
      <c r="B3251" s="1067" t="inlineStr">
        <is>
          <t>Serviço</t>
        </is>
      </c>
      <c r="C3251" s="1067" t="inlineStr">
        <is>
          <t>Revestimento de Piso de mosaico granitinho branco</t>
        </is>
      </c>
      <c r="D3251" s="1067" t="inlineStr">
        <is>
          <t>Revestimento de Piso de mosaico granitinho branco</t>
        </is>
      </c>
      <c r="E3251" s="1068" t="inlineStr">
        <is>
          <t>M2</t>
        </is>
      </c>
      <c r="F3251" s="1067" t="n"/>
      <c r="G3251" s="1069">
        <f t="array" ref="G3251">IF(B3251="insumo",_xlfn.XLOOKUP($D3251,Insumos!$B$1:$B$996,Insumos!$D$1:$D$996),"")</f>
        <v/>
      </c>
      <c r="H3251" s="1069" t="n">
        <v>145.7426</v>
      </c>
      <c r="I3251" s="2161" t="n">
        <v>0</v>
      </c>
      <c r="J3251" s="2161" t="n">
        <v>0</v>
      </c>
      <c r="K3251" s="2161" t="n"/>
    </row>
    <row r="3252" outlineLevel="3" ht="15.75" customHeight="1">
      <c r="A3252" s="10" t="n">
        <v>1</v>
      </c>
      <c r="B3252" s="10" t="inlineStr">
        <is>
          <t>Insumo</t>
        </is>
      </c>
      <c r="C3252" s="10" t="inlineStr">
        <is>
          <t>Revestimento de Piso de mosaico granitinho branco</t>
        </is>
      </c>
      <c r="D3252" s="10" t="inlineStr">
        <is>
          <t>Piso de mosaico granitinho branco</t>
        </is>
      </c>
      <c r="E3252" s="11">
        <f t="array" ref="E3252">_xlfn.XLOOKUP(D3252,Insumos!B:B,Insumos!C:$C)</f>
        <v/>
      </c>
      <c r="F3252" s="14" t="n">
        <v>1.1</v>
      </c>
      <c r="G3252" s="92">
        <f t="array" ref="G3252">IF(B3252="insumo",_xlfn.XLOOKUP($D3252,Insumos!$B$1:$B$996,Insumos!$D$1:$D$996),"")</f>
        <v/>
      </c>
      <c r="H3252" s="92" t="n">
        <v>127.71</v>
      </c>
      <c r="I3252" s="2162" t="n">
        <v>0</v>
      </c>
      <c r="J3252" s="2162" t="n">
        <v>0</v>
      </c>
      <c r="K3252" s="2162" t="n"/>
    </row>
    <row r="3253" outlineLevel="3" ht="15.75" customHeight="1">
      <c r="A3253" s="10" t="n">
        <v>191</v>
      </c>
      <c r="B3253" s="10" t="inlineStr">
        <is>
          <t>Insumo</t>
        </is>
      </c>
      <c r="C3253" s="10" t="inlineStr">
        <is>
          <t>Revestimento de Piso de mosaico granitinho branco</t>
        </is>
      </c>
      <c r="D3253" s="10" t="inlineStr">
        <is>
          <t>Argamassa ACIII</t>
        </is>
      </c>
      <c r="E3253" s="11">
        <f t="array" ref="E3253">_xlfn.XLOOKUP(D3253,Insumos!B:B,Insumos!C:$C)</f>
        <v/>
      </c>
      <c r="F3253" s="14" t="n">
        <v>8.800000000000001</v>
      </c>
      <c r="G3253" s="92">
        <f t="array" ref="G3253">IF(B3253="insumo",_xlfn.XLOOKUP($D3253,Insumos!$B$1:$B$996,Insumos!$D$1:$D$996),"")</f>
        <v/>
      </c>
      <c r="H3253" s="92" t="n">
        <v>9.367599999999999</v>
      </c>
      <c r="I3253" s="2162" t="n">
        <v>0</v>
      </c>
      <c r="J3253" s="2162" t="n">
        <v>0</v>
      </c>
      <c r="K3253" s="2162" t="n"/>
    </row>
    <row r="3254" outlineLevel="3" ht="15.75" customHeight="1">
      <c r="A3254" s="10" t="n">
        <v>34</v>
      </c>
      <c r="B3254" s="10" t="inlineStr">
        <is>
          <t>Insumo</t>
        </is>
      </c>
      <c r="C3254" s="10" t="inlineStr">
        <is>
          <t>Revestimento de Piso de mosaico granitinho branco</t>
        </is>
      </c>
      <c r="D3254" s="10" t="inlineStr">
        <is>
          <t>Massa Plastica 400g</t>
        </is>
      </c>
      <c r="E3254" s="11">
        <f t="array" ref="E3254">_xlfn.XLOOKUP(D3254,Insumos!B:B,Insumos!C:$C)</f>
        <v/>
      </c>
      <c r="F3254" s="14" t="n">
        <v>0.5</v>
      </c>
      <c r="G3254" s="92">
        <f t="array" ref="G3254">IF(B3254="insumo",_xlfn.XLOOKUP($D3254,Insumos!$B$1:$B$996,Insumos!$D$1:$D$996),"")</f>
        <v/>
      </c>
      <c r="H3254" s="92" t="n">
        <v>8.664999999999999</v>
      </c>
      <c r="I3254" s="2162" t="n">
        <v>0</v>
      </c>
      <c r="J3254" s="2162" t="n">
        <v>0</v>
      </c>
      <c r="K3254" s="2162" t="n"/>
    </row>
    <row r="3255" outlineLevel="2" ht="15.75" customHeight="1">
      <c r="A3255" s="1067" t="n">
        <v>1</v>
      </c>
      <c r="B3255" s="1067" t="inlineStr">
        <is>
          <t>Serviço</t>
        </is>
      </c>
      <c r="C3255" s="1067" t="inlineStr">
        <is>
          <t>Revestimento de Piso intertravado de mosaico granitinho cinza</t>
        </is>
      </c>
      <c r="D3255" s="1067" t="inlineStr">
        <is>
          <t>Revestimento de Piso intertravado de mosaico granitinho cinza</t>
        </is>
      </c>
      <c r="E3255" s="1068" t="inlineStr">
        <is>
          <t>M2</t>
        </is>
      </c>
      <c r="F3255" s="1067" t="n"/>
      <c r="G3255" s="1069">
        <f t="array" ref="G3255">IF(B3255="insumo",_xlfn.XLOOKUP($D3255,Insumos!$B$1:$B$996,Insumos!$D$1:$D$996),"")</f>
        <v/>
      </c>
      <c r="H3255" s="1069" t="n">
        <v>58.6886</v>
      </c>
      <c r="I3255" s="2161" t="n">
        <v>0</v>
      </c>
      <c r="J3255" s="2161" t="n">
        <v>0</v>
      </c>
      <c r="K3255" s="2161" t="n"/>
    </row>
    <row r="3256" outlineLevel="3" ht="15.75" customHeight="1">
      <c r="A3256" s="10" t="n">
        <v>1</v>
      </c>
      <c r="B3256" s="10" t="inlineStr">
        <is>
          <t>Insumo</t>
        </is>
      </c>
      <c r="C3256" s="10" t="inlineStr">
        <is>
          <t>Revestimento de Piso intertravado de mosaico granitinho cinza</t>
        </is>
      </c>
      <c r="D3256" s="10" t="inlineStr">
        <is>
          <t>Piso de mosaico granitinho cinza</t>
        </is>
      </c>
      <c r="E3256" s="11">
        <f t="array" ref="E3256">_xlfn.XLOOKUP(D3256,Insumos!B:B,Insumos!C:$C)</f>
        <v/>
      </c>
      <c r="F3256" s="14" t="n">
        <v>1.1</v>
      </c>
      <c r="G3256" s="92">
        <f t="array" ref="G3256">IF(B3256="insumo",_xlfn.XLOOKUP($D3256,Insumos!$B$1:$B$996,Insumos!$D$1:$D$996),"")</f>
        <v/>
      </c>
      <c r="H3256" s="92" t="n">
        <v>40.656</v>
      </c>
      <c r="I3256" s="2162" t="n">
        <v>0</v>
      </c>
      <c r="J3256" s="2162" t="n">
        <v>0</v>
      </c>
      <c r="K3256" s="2162" t="n"/>
    </row>
    <row r="3257" outlineLevel="3" ht="15.75" customHeight="1">
      <c r="A3257" s="10" t="n">
        <v>191</v>
      </c>
      <c r="B3257" s="10" t="inlineStr">
        <is>
          <t>Insumo</t>
        </is>
      </c>
      <c r="C3257" s="10" t="inlineStr">
        <is>
          <t>Revestimento de Piso intertravado de mosaico granitinho cinza</t>
        </is>
      </c>
      <c r="D3257" s="10" t="inlineStr">
        <is>
          <t>Argamassa ACIII</t>
        </is>
      </c>
      <c r="E3257" s="11">
        <f t="array" ref="E3257">_xlfn.XLOOKUP(D3257,Insumos!B:B,Insumos!C:$C)</f>
        <v/>
      </c>
      <c r="F3257" s="14" t="n">
        <v>8.800000000000001</v>
      </c>
      <c r="G3257" s="92">
        <f t="array" ref="G3257">IF(B3257="insumo",_xlfn.XLOOKUP($D3257,Insumos!$B$1:$B$996,Insumos!$D$1:$D$996),"")</f>
        <v/>
      </c>
      <c r="H3257" s="92" t="n">
        <v>9.367599999999999</v>
      </c>
      <c r="I3257" s="2162" t="n">
        <v>0</v>
      </c>
      <c r="J3257" s="2162" t="n">
        <v>0</v>
      </c>
      <c r="K3257" s="2162" t="n"/>
    </row>
    <row r="3258" outlineLevel="3" ht="15.75" customHeight="1">
      <c r="A3258" s="10" t="n">
        <v>34</v>
      </c>
      <c r="B3258" s="10" t="inlineStr">
        <is>
          <t>Insumo</t>
        </is>
      </c>
      <c r="C3258" s="10" t="inlineStr">
        <is>
          <t>Revestimento de Piso intertravado de mosaico granitinho cinza</t>
        </is>
      </c>
      <c r="D3258" s="10" t="inlineStr">
        <is>
          <t>Massa Plastica 400g</t>
        </is>
      </c>
      <c r="E3258" s="11">
        <f t="array" ref="E3258">_xlfn.XLOOKUP(D3258,Insumos!B:B,Insumos!C:$C)</f>
        <v/>
      </c>
      <c r="F3258" s="14" t="n">
        <v>0.5</v>
      </c>
      <c r="G3258" s="92">
        <f t="array" ref="G3258">IF(B3258="insumo",_xlfn.XLOOKUP($D3258,Insumos!$B$1:$B$996,Insumos!$D$1:$D$996),"")</f>
        <v/>
      </c>
      <c r="H3258" s="92" t="n">
        <v>8.664999999999999</v>
      </c>
      <c r="I3258" s="2162" t="n">
        <v>0</v>
      </c>
      <c r="J3258" s="2162" t="n">
        <v>0</v>
      </c>
      <c r="K3258" s="2162" t="n"/>
    </row>
    <row r="3259" outlineLevel="1" ht="15.75" customHeight="1">
      <c r="A3259" s="1090" t="n">
        <v>1</v>
      </c>
      <c r="B3259" s="1090" t="inlineStr">
        <is>
          <t>Subetapa</t>
        </is>
      </c>
      <c r="C3259" s="1090" t="inlineStr">
        <is>
          <t>Revestimento de Piso intertravado de mosaico granitinho cinza</t>
        </is>
      </c>
      <c r="D3259" s="1090" t="inlineStr">
        <is>
          <t>ACABAMENTOS CERÂMICOS</t>
        </is>
      </c>
      <c r="E3259" s="1091" t="n"/>
      <c r="F3259" s="2160" t="n"/>
      <c r="G3259" s="1091" t="n"/>
      <c r="H3259" s="1091" t="n">
        <v>0</v>
      </c>
      <c r="I3259" s="2160" t="n">
        <v>0</v>
      </c>
      <c r="J3259" s="2160" t="n">
        <v>0</v>
      </c>
      <c r="K3259" s="2160" t="n"/>
    </row>
    <row r="3260" outlineLevel="2" ht="15.75" customHeight="1">
      <c r="A3260" s="1067" t="n">
        <v>1</v>
      </c>
      <c r="B3260" s="1067" t="inlineStr">
        <is>
          <t>Serviço</t>
        </is>
      </c>
      <c r="C3260" s="1067" t="inlineStr">
        <is>
          <t>Revestimento em Cerâmicas Pisos Internos, 60x 60cm com Junta de 3mm</t>
        </is>
      </c>
      <c r="D3260" s="1067" t="inlineStr">
        <is>
          <t>Revestimento em Cerâmicas Pisos Internos, 60x 60cm com Junta de 3mm</t>
        </is>
      </c>
      <c r="E3260" s="1068" t="inlineStr">
        <is>
          <t>M2</t>
        </is>
      </c>
      <c r="F3260" s="1067" t="n"/>
      <c r="G3260" s="1069">
        <f t="array" ref="G3260">IF(B3260="insumo",_xlfn.XLOOKUP($D3260,Insumos!$B$1:$B$996,Insumos!$D$1:$D$996),"")</f>
        <v/>
      </c>
      <c r="H3260" s="1069" t="n">
        <v>52.237</v>
      </c>
      <c r="I3260" s="2161" t="n">
        <v>0</v>
      </c>
      <c r="J3260" s="2161" t="n">
        <v>0</v>
      </c>
      <c r="K3260" s="2161" t="n"/>
    </row>
    <row r="3261" outlineLevel="3" ht="15.75" customHeight="1">
      <c r="A3261" s="10" t="n">
        <v>2</v>
      </c>
      <c r="B3261" s="10" t="inlineStr">
        <is>
          <t>Insumo</t>
        </is>
      </c>
      <c r="C3261" s="10" t="inlineStr">
        <is>
          <t>Revestimento em Cerâmicas Pisos Internos, 60x 60cm com Junta de 3mm</t>
        </is>
      </c>
      <c r="D3261" s="10" t="inlineStr">
        <is>
          <t>Revestimento Cerâmico de Piso Interno 58x58</t>
        </is>
      </c>
      <c r="E3261" s="11">
        <f t="array" ref="E3261">_xlfn.XLOOKUP(D3261,Insumos!B:B,Insumos!C:$C)</f>
        <v/>
      </c>
      <c r="F3261" s="14" t="n">
        <v>1.1</v>
      </c>
      <c r="G3261" s="92">
        <f t="array" ref="G3261">IF(B3261="insumo",_xlfn.XLOOKUP($D3261,Insumos!$B$1:$B$996,Insumos!$D$1:$D$996),"")</f>
        <v/>
      </c>
      <c r="H3261" s="92" t="n">
        <v>43.604</v>
      </c>
      <c r="I3261" s="2162" t="n">
        <v>0</v>
      </c>
      <c r="J3261" s="2162" t="n">
        <v>0</v>
      </c>
      <c r="K3261" s="2162" t="n"/>
    </row>
    <row r="3262" outlineLevel="3" ht="15.75" customHeight="1">
      <c r="A3262" s="10" t="n">
        <v>16</v>
      </c>
      <c r="B3262" s="10" t="inlineStr">
        <is>
          <t>Insumo</t>
        </is>
      </c>
      <c r="C3262" s="10" t="inlineStr">
        <is>
          <t>Revestimento em Cerâmicas Pisos Internos, 60x 60cm com Junta de 3mm</t>
        </is>
      </c>
      <c r="D3262" s="10" t="inlineStr">
        <is>
          <t>Argamassa ACII</t>
        </is>
      </c>
      <c r="E3262" s="11">
        <f t="array" ref="E3262">_xlfn.XLOOKUP(D3262,Insumos!B:B,Insumos!C:$C)</f>
        <v/>
      </c>
      <c r="F3262" s="14" t="n">
        <v>8.800000000000001</v>
      </c>
      <c r="G3262" s="92">
        <f t="array" ref="G3262">IF(B3262="insumo",_xlfn.XLOOKUP($D3262,Insumos!$B$1:$B$996,Insumos!$D$1:$D$996),"")</f>
        <v/>
      </c>
      <c r="H3262" s="92" t="n">
        <v>8.359999999999999</v>
      </c>
      <c r="I3262" s="2162" t="n">
        <v>0</v>
      </c>
      <c r="J3262" s="2162" t="n">
        <v>0</v>
      </c>
      <c r="K3262" s="2162" t="n"/>
    </row>
    <row r="3263" outlineLevel="3" ht="15.75" customHeight="1">
      <c r="A3263" s="10" t="n">
        <v>17</v>
      </c>
      <c r="B3263" s="10" t="inlineStr">
        <is>
          <t>Insumo</t>
        </is>
      </c>
      <c r="C3263" s="10" t="inlineStr">
        <is>
          <t>Revestimento em Cerâmicas Pisos Internos, 60x 60cm com Junta de 3mm</t>
        </is>
      </c>
      <c r="D3263" s="10" t="inlineStr">
        <is>
          <t>Espeçador junta piso 3mm</t>
        </is>
      </c>
      <c r="E3263" s="11">
        <f t="array" ref="E3263">_xlfn.XLOOKUP(D3263,Insumos!B:B,Insumos!C:$C)</f>
        <v/>
      </c>
      <c r="F3263" s="14" t="n">
        <v>1</v>
      </c>
      <c r="G3263" s="92">
        <f t="array" ref="G3263">IF(B3263="insumo",_xlfn.XLOOKUP($D3263,Insumos!$B$1:$B$996,Insumos!$D$1:$D$996),"")</f>
        <v/>
      </c>
      <c r="H3263" s="92" t="n">
        <v>0.05</v>
      </c>
      <c r="I3263" s="2162" t="n">
        <v>0</v>
      </c>
      <c r="J3263" s="2162" t="n">
        <v>0</v>
      </c>
      <c r="K3263" s="2162" t="n"/>
    </row>
    <row r="3264" outlineLevel="3" ht="15.75" customHeight="1">
      <c r="A3264" s="10" t="n">
        <v>101</v>
      </c>
      <c r="B3264" s="10" t="inlineStr">
        <is>
          <t>Insumo</t>
        </is>
      </c>
      <c r="C3264" s="10" t="inlineStr">
        <is>
          <t>Revestimento em Cerâmicas Pisos Internos, 60x 60cm com Junta de 3mm</t>
        </is>
      </c>
      <c r="D3264" s="10" t="inlineStr">
        <is>
          <t>Rejunte Cimentício</t>
        </is>
      </c>
      <c r="E3264" s="11">
        <f t="array" ref="E3264">_xlfn.XLOOKUP(D3264,Insumos!B:B,Insumos!C:$C)</f>
        <v/>
      </c>
      <c r="F3264" s="14" t="n">
        <v>0.02</v>
      </c>
      <c r="G3264" s="92">
        <f t="array" ref="G3264">IF(B3264="insumo",_xlfn.XLOOKUP($D3264,Insumos!$B$1:$B$996,Insumos!$D$1:$D$996),"")</f>
        <v/>
      </c>
      <c r="H3264" s="92" t="n">
        <v>0.223</v>
      </c>
      <c r="I3264" s="2162" t="n">
        <v>0</v>
      </c>
      <c r="J3264" s="2162" t="n">
        <v>0</v>
      </c>
      <c r="K3264" s="2162" t="n"/>
    </row>
    <row r="3265" outlineLevel="2" ht="15.75" customHeight="1">
      <c r="A3265" s="1067" t="n">
        <v>1</v>
      </c>
      <c r="B3265" s="1067" t="inlineStr">
        <is>
          <t>Serviço</t>
        </is>
      </c>
      <c r="C3265" s="1067" t="inlineStr">
        <is>
          <t>Revestimento de cerâmico retificado em Piso, Placa 60,5 x 60,5cm com Junta de 2mm</t>
        </is>
      </c>
      <c r="D3265" s="1067" t="inlineStr">
        <is>
          <t>Revestimento de cerâmico retificado em Piso, Placa 60,5 x 60,5cm com Junta de 2mm</t>
        </is>
      </c>
      <c r="E3265" s="1068" t="inlineStr">
        <is>
          <t>M2</t>
        </is>
      </c>
      <c r="F3265" s="1067" t="n"/>
      <c r="G3265" s="1069">
        <f t="array" ref="G3265">IF(B3265="insumo",_xlfn.XLOOKUP($D3265,Insumos!$B$1:$B$996,Insumos!$D$1:$D$996),"")</f>
        <v/>
      </c>
      <c r="H3265" s="1069" t="n">
        <v>61.7806</v>
      </c>
      <c r="I3265" s="2161" t="n">
        <v>0</v>
      </c>
      <c r="J3265" s="2161" t="n">
        <v>0</v>
      </c>
      <c r="K3265" s="2161" t="n"/>
    </row>
    <row r="3266" outlineLevel="3" ht="15.75" customHeight="1">
      <c r="A3266" s="10" t="n">
        <v>6</v>
      </c>
      <c r="B3266" s="10" t="inlineStr">
        <is>
          <t>Insumo</t>
        </is>
      </c>
      <c r="C3266" s="10" t="inlineStr">
        <is>
          <t>Revestimento de cerâmico retificado em Piso, Placa 60,5 x 60,5cm com Junta de 2mm</t>
        </is>
      </c>
      <c r="D3266" s="10" t="inlineStr">
        <is>
          <t>Cer. Karina Artisan 60305 Act. 60x60 Ret</t>
        </is>
      </c>
      <c r="E3266" s="11">
        <f t="array" ref="E3266">_xlfn.XLOOKUP(D3266,Insumos!B:B,Insumos!C:$C)</f>
        <v/>
      </c>
      <c r="F3266" s="14" t="n">
        <v>1.1</v>
      </c>
      <c r="G3266" s="92">
        <f t="array" ref="G3266">IF(B3266="insumo",_xlfn.XLOOKUP($D3266,Insumos!$B$1:$B$996,Insumos!$D$1:$D$996),"")</f>
        <v/>
      </c>
      <c r="H3266" s="92" t="n">
        <v>51.953</v>
      </c>
      <c r="I3266" s="2162" t="n">
        <v>0</v>
      </c>
      <c r="J3266" s="2162" t="n">
        <v>0</v>
      </c>
      <c r="K3266" s="2162" t="n"/>
    </row>
    <row r="3267" outlineLevel="3" ht="15.75" customHeight="1">
      <c r="A3267" s="10" t="n">
        <v>191</v>
      </c>
      <c r="B3267" s="10" t="inlineStr">
        <is>
          <t>Insumo</t>
        </is>
      </c>
      <c r="C3267" s="10" t="inlineStr">
        <is>
          <t>Revestimento de cerâmico retificado em Piso, Placa 60,5 x 60,5cm com Junta de 2mm</t>
        </is>
      </c>
      <c r="D3267" s="10" t="inlineStr">
        <is>
          <t>Argamassa ACIII</t>
        </is>
      </c>
      <c r="E3267" s="11">
        <f t="array" ref="E3267">_xlfn.XLOOKUP(D3267,Insumos!B:B,Insumos!C:$C)</f>
        <v/>
      </c>
      <c r="F3267" s="14" t="n">
        <v>8.800000000000001</v>
      </c>
      <c r="G3267" s="92">
        <f t="array" ref="G3267">IF(B3267="insumo",_xlfn.XLOOKUP($D3267,Insumos!$B$1:$B$996,Insumos!$D$1:$D$996),"")</f>
        <v/>
      </c>
      <c r="H3267" s="92" t="n">
        <v>9.367599999999999</v>
      </c>
      <c r="I3267" s="2162" t="n">
        <v>0</v>
      </c>
      <c r="J3267" s="2162" t="n">
        <v>0</v>
      </c>
      <c r="K3267" s="2162" t="n"/>
    </row>
    <row r="3268" outlineLevel="3" ht="15.75" customHeight="1">
      <c r="A3268" s="10" t="n">
        <v>142</v>
      </c>
      <c r="B3268" s="10" t="inlineStr">
        <is>
          <t>Insumo</t>
        </is>
      </c>
      <c r="C3268" s="10" t="inlineStr">
        <is>
          <t>Revestimento de cerâmico retificado em Piso, Placa 60,5 x 60,5cm com Junta de 2mm</t>
        </is>
      </c>
      <c r="D3268" s="10" t="inlineStr">
        <is>
          <t>Espeçador junta piso 2mm</t>
        </is>
      </c>
      <c r="E3268" s="11">
        <f t="array" ref="E3268">_xlfn.XLOOKUP(D3268,Insumos!B:B,Insumos!C:$C)</f>
        <v/>
      </c>
      <c r="F3268" s="14" t="n">
        <v>1</v>
      </c>
      <c r="G3268" s="92">
        <f t="array" ref="G3268">IF(B3268="insumo",_xlfn.XLOOKUP($D3268,Insumos!$B$1:$B$996,Insumos!$D$1:$D$996),"")</f>
        <v/>
      </c>
      <c r="H3268" s="92" t="n">
        <v>0.08</v>
      </c>
      <c r="I3268" s="2162" t="n">
        <v>0</v>
      </c>
      <c r="J3268" s="2162" t="n">
        <v>0</v>
      </c>
      <c r="K3268" s="2162" t="n"/>
    </row>
    <row r="3269" outlineLevel="3" ht="15.75" customHeight="1">
      <c r="A3269" s="10" t="n">
        <v>36</v>
      </c>
      <c r="B3269" s="10" t="inlineStr">
        <is>
          <t>Insumo</t>
        </is>
      </c>
      <c r="C3269" s="82" t="inlineStr">
        <is>
          <t>Revestimento de cerâmico retificado em Piso, Placa 60,5 x 60,5cm com Junta de 2mm</t>
        </is>
      </c>
      <c r="D3269" s="82" t="inlineStr">
        <is>
          <t>Rejunte Acrilico cinza platina</t>
        </is>
      </c>
      <c r="E3269" s="11">
        <f t="array" ref="E3269">_xlfn.XLOOKUP(D3269,Insumos!B:B,Insumos!C:$C)</f>
        <v/>
      </c>
      <c r="F3269" s="14" t="n">
        <v>0.01</v>
      </c>
      <c r="G3269" s="92">
        <f t="array" ref="G3269">IF(B3269="insumo",_xlfn.XLOOKUP($D3269,Insumos!$B$1:$B$996,Insumos!$D$1:$D$996),"")</f>
        <v/>
      </c>
      <c r="H3269" s="92" t="n">
        <v>0.38</v>
      </c>
      <c r="I3269" s="2162" t="n">
        <v>0</v>
      </c>
      <c r="J3269" s="2162" t="n">
        <v>0</v>
      </c>
      <c r="K3269" s="2162" t="n"/>
    </row>
    <row r="3270" outlineLevel="2" ht="12.75" customHeight="1">
      <c r="A3270" s="1071" t="n">
        <v>1</v>
      </c>
      <c r="B3270" s="1071" t="inlineStr">
        <is>
          <t>Serviço</t>
        </is>
      </c>
      <c r="C3270" s="1071" t="inlineStr">
        <is>
          <t>Revestimento em Cerâmicas Vulcano Cinza em Piso, 61x 61cm com Junta de 3mm</t>
        </is>
      </c>
      <c r="D3270" s="1071" t="inlineStr">
        <is>
          <t>Revestimento em Cerâmicas Vulcano Cinza em Piso, 61x 61cm com Junta de 3mm</t>
        </is>
      </c>
      <c r="E3270" s="1072" t="inlineStr">
        <is>
          <t>M2</t>
        </is>
      </c>
      <c r="F3270" s="1071" t="n"/>
      <c r="G3270" s="1073">
        <f t="array" ref="G3270">IF(B3270="insumo",_xlfn.XLOOKUP($D3270,Insumos!$B$1:$B$996,Insumos!$D$1:$D$996),"")</f>
        <v/>
      </c>
      <c r="H3270" s="1073" t="n">
        <v>79.119</v>
      </c>
      <c r="I3270" s="2163" t="n">
        <v>0</v>
      </c>
      <c r="J3270" s="2163" t="n">
        <v>0</v>
      </c>
      <c r="K3270" s="2163" t="n"/>
    </row>
    <row r="3271" outlineLevel="3" ht="12.75" customHeight="1">
      <c r="A3271" s="82" t="n">
        <v>6</v>
      </c>
      <c r="B3271" s="82" t="inlineStr">
        <is>
          <t>Insumo</t>
        </is>
      </c>
      <c r="C3271" s="82" t="inlineStr">
        <is>
          <t>Revestimento em Cerâmicas Vulcano Cinza em Piso, 61x 61cm com Junta de 3mm</t>
        </is>
      </c>
      <c r="D3271" s="82" t="inlineStr">
        <is>
          <t>Cerâmica Vulcano Cinza 61x61</t>
        </is>
      </c>
      <c r="E3271" s="11">
        <f t="array" ref="E3271">_xlfn.XLOOKUP(D3271,Insumos!B:B,Insumos!C:$C)</f>
        <v/>
      </c>
      <c r="F3271" s="2169" t="n">
        <v>1.1</v>
      </c>
      <c r="G3271" s="92">
        <f t="array" ref="G3271">IF(B3271="insumo",_xlfn.XLOOKUP($D3271,Insumos!$B$1:$B$996,Insumos!$D$1:$D$996),"")</f>
        <v/>
      </c>
      <c r="H3271" s="92" t="n">
        <v>69.949</v>
      </c>
      <c r="I3271" s="2165" t="n">
        <v>0</v>
      </c>
      <c r="J3271" s="2165" t="n">
        <v>0</v>
      </c>
      <c r="K3271" s="2165" t="n"/>
    </row>
    <row r="3272" outlineLevel="3" ht="12.75" customHeight="1">
      <c r="A3272" s="82" t="n">
        <v>16</v>
      </c>
      <c r="B3272" s="82" t="inlineStr">
        <is>
          <t>Insumo</t>
        </is>
      </c>
      <c r="C3272" s="82" t="inlineStr">
        <is>
          <t>Revestimento em Cerâmicas Vulcano Cinza em Piso, 61x 61cm com Junta de 3mm</t>
        </is>
      </c>
      <c r="D3272" s="82" t="inlineStr">
        <is>
          <t>Argamassa ACII</t>
        </is>
      </c>
      <c r="E3272" s="11">
        <f t="array" ref="E3272">_xlfn.XLOOKUP(D3272,Insumos!B:B,Insumos!C:$C)</f>
        <v/>
      </c>
      <c r="F3272" s="2169" t="n">
        <v>8.800000000000001</v>
      </c>
      <c r="G3272" s="92">
        <f t="array" ref="G3272">IF(B3272="insumo",_xlfn.XLOOKUP($D3272,Insumos!$B$1:$B$996,Insumos!$D$1:$D$996),"")</f>
        <v/>
      </c>
      <c r="H3272" s="92" t="n">
        <v>8.359999999999999</v>
      </c>
      <c r="I3272" s="2165" t="n">
        <v>0</v>
      </c>
      <c r="J3272" s="2165" t="n">
        <v>0</v>
      </c>
      <c r="K3272" s="2165" t="n"/>
    </row>
    <row r="3273" outlineLevel="3" ht="12.75" customHeight="1">
      <c r="A3273" s="82" t="n">
        <v>17</v>
      </c>
      <c r="B3273" s="82" t="inlineStr">
        <is>
          <t>Insumo</t>
        </is>
      </c>
      <c r="C3273" s="82" t="inlineStr">
        <is>
          <t>Revestimento em Cerâmicas Vulcano Cinza em Piso, 61x 61cm com Junta de 3mm</t>
        </is>
      </c>
      <c r="D3273" s="82" t="inlineStr">
        <is>
          <t>Espeçador junta piso 3mm</t>
        </is>
      </c>
      <c r="E3273" s="11">
        <f t="array" ref="E3273">_xlfn.XLOOKUP(D3273,Insumos!B:B,Insumos!C:$C)</f>
        <v/>
      </c>
      <c r="F3273" s="2169" t="n">
        <v>1</v>
      </c>
      <c r="G3273" s="92">
        <f t="array" ref="G3273">IF(B3273="insumo",_xlfn.XLOOKUP($D3273,Insumos!$B$1:$B$996,Insumos!$D$1:$D$996),"")</f>
        <v/>
      </c>
      <c r="H3273" s="92" t="n">
        <v>0.05</v>
      </c>
      <c r="I3273" s="2165" t="n">
        <v>0</v>
      </c>
      <c r="J3273" s="2165" t="n">
        <v>0</v>
      </c>
      <c r="K3273" s="2165" t="n"/>
    </row>
    <row r="3274" outlineLevel="3" ht="12.75" customHeight="1">
      <c r="A3274" s="82" t="n">
        <v>36</v>
      </c>
      <c r="B3274" s="82" t="inlineStr">
        <is>
          <t>Insumo</t>
        </is>
      </c>
      <c r="C3274" s="82" t="inlineStr">
        <is>
          <t>Revestimento em Cerâmicas Vulcano Cinza em Piso, 61x 61cm com Junta de 3mm</t>
        </is>
      </c>
      <c r="D3274" s="82" t="inlineStr">
        <is>
          <t>Rejunte Acrilico cinza platina</t>
        </is>
      </c>
      <c r="E3274" s="11">
        <f t="array" ref="E3274">_xlfn.XLOOKUP(D3274,Insumos!B:B,Insumos!C:$C)</f>
        <v/>
      </c>
      <c r="F3274" s="2169" t="n">
        <v>0.02</v>
      </c>
      <c r="G3274" s="92">
        <f t="array" ref="G3274">IF(B3274="insumo",_xlfn.XLOOKUP($D3274,Insumos!$B$1:$B$996,Insumos!$D$1:$D$996),"")</f>
        <v/>
      </c>
      <c r="H3274" s="92" t="n">
        <v>0.76</v>
      </c>
      <c r="I3274" s="2165" t="n">
        <v>0</v>
      </c>
      <c r="J3274" s="2165" t="n">
        <v>0</v>
      </c>
      <c r="K3274" s="2165" t="n"/>
    </row>
    <row r="3275" outlineLevel="2" ht="12.75" customHeight="1">
      <c r="A3275" s="1071" t="n">
        <v>1</v>
      </c>
      <c r="B3275" s="1071" t="inlineStr">
        <is>
          <t>Serviço</t>
        </is>
      </c>
      <c r="C3275" s="1071" t="inlineStr">
        <is>
          <t>Revestimento de cerâmico em Piso, Placa 31 x 54cm com Junta de 2mm e rejunte acrilico</t>
        </is>
      </c>
      <c r="D3275" s="1071" t="inlineStr">
        <is>
          <t>Revestimento de cerâmico em Piso, Placa 31 x 54cm com Junta de 2mm e rejunte acrilico</t>
        </is>
      </c>
      <c r="E3275" s="1072" t="inlineStr">
        <is>
          <t>M2</t>
        </is>
      </c>
      <c r="F3275" s="1071" t="n"/>
      <c r="G3275" s="1073">
        <f t="array" ref="G3275">IF(B3275="insumo",_xlfn.XLOOKUP($D3275,Insumos!$B$1:$B$996,Insumos!$D$1:$D$996),"")</f>
        <v/>
      </c>
      <c r="H3275" s="1073" t="n">
        <v>89.93859999999999</v>
      </c>
      <c r="I3275" s="2163" t="n">
        <v>0</v>
      </c>
      <c r="J3275" s="2163" t="n">
        <v>0</v>
      </c>
      <c r="K3275" s="2163" t="n"/>
    </row>
    <row r="3276" outlineLevel="3" ht="12.75" customHeight="1">
      <c r="A3276" s="82" t="n">
        <v>3</v>
      </c>
      <c r="B3276" s="82" t="inlineStr">
        <is>
          <t>Insumo</t>
        </is>
      </c>
      <c r="C3276" s="89" t="inlineStr">
        <is>
          <t>Revestimento de cerâmico em Piso, Placa 31 x 54cm com Junta de 2mm e rejunte acrilico</t>
        </is>
      </c>
      <c r="D3276" s="89" t="inlineStr">
        <is>
          <t>Cerâmica Brilhante Metrô 31x54cm Savane</t>
        </is>
      </c>
      <c r="E3276" s="11">
        <f t="array" ref="E3276">_xlfn.XLOOKUP(D3276,Insumos!B:B,Insumos!C:$C)</f>
        <v/>
      </c>
      <c r="F3276" s="2164" t="n">
        <v>1.1</v>
      </c>
      <c r="G3276" s="92">
        <f t="array" ref="G3276">IF(B3276="insumo",_xlfn.XLOOKUP($D3276,Insumos!$B$1:$B$996,Insumos!$D$1:$D$996),"")</f>
        <v/>
      </c>
      <c r="H3276" s="92" t="n">
        <v>79.893</v>
      </c>
      <c r="I3276" s="2165" t="n">
        <v>0</v>
      </c>
      <c r="J3276" s="2165" t="n">
        <v>0</v>
      </c>
      <c r="K3276" s="2165" t="n"/>
    </row>
    <row r="3277" outlineLevel="3" ht="12.75" customHeight="1">
      <c r="A3277" s="82" t="n">
        <v>191</v>
      </c>
      <c r="B3277" s="82" t="inlineStr">
        <is>
          <t>Insumo</t>
        </is>
      </c>
      <c r="C3277" s="82" t="inlineStr">
        <is>
          <t>Revestimento de cerâmico em Piso, Placa 31 x 54cm com Junta de 2mm e rejunte acrilico</t>
        </is>
      </c>
      <c r="D3277" s="82" t="inlineStr">
        <is>
          <t>Argamassa ACIII</t>
        </is>
      </c>
      <c r="E3277" s="11">
        <f t="array" ref="E3277">_xlfn.XLOOKUP(D3277,Insumos!B:B,Insumos!C:$C)</f>
        <v/>
      </c>
      <c r="F3277" s="2164" t="n">
        <v>8.800000000000001</v>
      </c>
      <c r="G3277" s="92">
        <f t="array" ref="G3277">IF(B3277="insumo",_xlfn.XLOOKUP($D3277,Insumos!$B$1:$B$996,Insumos!$D$1:$D$996),"")</f>
        <v/>
      </c>
      <c r="H3277" s="92" t="n">
        <v>9.367599999999999</v>
      </c>
      <c r="I3277" s="2165" t="n">
        <v>0</v>
      </c>
      <c r="J3277" s="2165" t="n">
        <v>0</v>
      </c>
      <c r="K3277" s="2165" t="n"/>
    </row>
    <row r="3278" outlineLevel="3" ht="12.75" customHeight="1">
      <c r="A3278" s="82" t="n">
        <v>142</v>
      </c>
      <c r="B3278" s="82" t="inlineStr">
        <is>
          <t>Insumo</t>
        </is>
      </c>
      <c r="C3278" s="82" t="inlineStr">
        <is>
          <t>Revestimento de cerâmico em Piso, Placa 31 x 54cm com Junta de 2mm e rejunte acrilico</t>
        </is>
      </c>
      <c r="D3278" s="82" t="inlineStr">
        <is>
          <t>Espeçador junta piso 2mm</t>
        </is>
      </c>
      <c r="E3278" s="11">
        <f t="array" ref="E3278">_xlfn.XLOOKUP(D3278,Insumos!B:B,Insumos!C:$C)</f>
        <v/>
      </c>
      <c r="F3278" s="2164" t="n">
        <v>3</v>
      </c>
      <c r="G3278" s="92">
        <f t="array" ref="G3278">IF(B3278="insumo",_xlfn.XLOOKUP($D3278,Insumos!$B$1:$B$996,Insumos!$D$1:$D$996),"")</f>
        <v/>
      </c>
      <c r="H3278" s="92" t="n">
        <v>0.24</v>
      </c>
      <c r="I3278" s="2165" t="n">
        <v>0</v>
      </c>
      <c r="J3278" s="2165" t="n">
        <v>0</v>
      </c>
      <c r="K3278" s="2165" t="n"/>
    </row>
    <row r="3279" outlineLevel="3" ht="12.75" customHeight="1">
      <c r="A3279" s="82" t="n">
        <v>22</v>
      </c>
      <c r="B3279" s="82" t="inlineStr">
        <is>
          <t>Insumo</t>
        </is>
      </c>
      <c r="C3279" s="82" t="inlineStr">
        <is>
          <t>Revestimento de cerâmico em Piso, Placa 31 x 54cm com Junta de 2mm e rejunte acrilico</t>
        </is>
      </c>
      <c r="D3279" s="82" t="inlineStr">
        <is>
          <t>Rejunte acrilico</t>
        </is>
      </c>
      <c r="E3279" s="11">
        <f t="array" ref="E3279">_xlfn.XLOOKUP(D3279,Insumos!B:B,Insumos!C:$C)</f>
        <v/>
      </c>
      <c r="F3279" s="2164" t="n">
        <v>0.01</v>
      </c>
      <c r="G3279" s="92">
        <f t="array" ref="G3279">IF(B3279="insumo",_xlfn.XLOOKUP($D3279,Insumos!$B$1:$B$996,Insumos!$D$1:$D$996),"")</f>
        <v/>
      </c>
      <c r="H3279" s="92" t="n">
        <v>0.438</v>
      </c>
      <c r="I3279" s="2165" t="n">
        <v>0</v>
      </c>
      <c r="J3279" s="2165" t="n">
        <v>0</v>
      </c>
      <c r="K3279" s="2165" t="n"/>
    </row>
    <row r="3280" outlineLevel="2" ht="12.75" customHeight="1">
      <c r="A3280" s="1071" t="n">
        <v>1</v>
      </c>
      <c r="B3280" s="1071" t="inlineStr">
        <is>
          <t>Serviço</t>
        </is>
      </c>
      <c r="C3280" s="1071" t="inlineStr">
        <is>
          <t>Revestimento de cerâmico retificado em Piso, Placa 60 x 60cm com Junta de 2mm e rejunte acrilico</t>
        </is>
      </c>
      <c r="D3280" s="1071" t="inlineStr">
        <is>
          <t>Revestimento de cerâmico retificado em Piso, Placa 60 x 60cm com Junta de 2mm e rejunte acrilico</t>
        </is>
      </c>
      <c r="E3280" s="1072" t="inlineStr">
        <is>
          <t>M2</t>
        </is>
      </c>
      <c r="F3280" s="1071" t="n"/>
      <c r="G3280" s="1073">
        <f t="array" ref="G3280">IF(B3280="insumo",_xlfn.XLOOKUP($D3280,Insumos!$B$1:$B$996,Insumos!$D$1:$D$996),"")</f>
        <v/>
      </c>
      <c r="H3280" s="1073" t="n">
        <v>61.8386</v>
      </c>
      <c r="I3280" s="2163" t="e">
        <v>#REF!</v>
      </c>
      <c r="J3280" s="2163" t="e">
        <v>#REF!</v>
      </c>
      <c r="K3280" s="2163" t="n"/>
    </row>
    <row r="3281" outlineLevel="3" ht="12.75" customHeight="1">
      <c r="A3281" s="82" t="n">
        <v>6</v>
      </c>
      <c r="B3281" s="82" t="inlineStr">
        <is>
          <t>Insumo</t>
        </is>
      </c>
      <c r="C3281" s="89" t="inlineStr">
        <is>
          <t>Revestimento de cerâmico retificado em Piso, Placa 60 x 60cm com Junta de 2mm e rejunte acrilico</t>
        </is>
      </c>
      <c r="D3281" s="89" t="inlineStr">
        <is>
          <t>Cer. Karina Artisan 60305 Act. 60x60 Ret</t>
        </is>
      </c>
      <c r="E3281" s="11">
        <f t="array" ref="E3281">_xlfn.XLOOKUP(D3281,Insumos!B:B,Insumos!C:$C)</f>
        <v/>
      </c>
      <c r="F3281" s="2164" t="n">
        <v>1.1</v>
      </c>
      <c r="G3281" s="92">
        <f t="array" ref="G3281">IF(B3281="insumo",_xlfn.XLOOKUP($D3281,Insumos!$B$1:$B$996,Insumos!$D$1:$D$996),"")</f>
        <v/>
      </c>
      <c r="H3281" s="92" t="n">
        <v>51.953</v>
      </c>
      <c r="I3281" s="2165" t="e">
        <v>#REF!</v>
      </c>
      <c r="J3281" s="2165" t="e">
        <v>#REF!</v>
      </c>
      <c r="K3281" s="2165" t="n"/>
    </row>
    <row r="3282" outlineLevel="3" ht="12.75" customHeight="1">
      <c r="A3282" s="82" t="n">
        <v>191</v>
      </c>
      <c r="B3282" s="82" t="inlineStr">
        <is>
          <t>Insumo</t>
        </is>
      </c>
      <c r="C3282" s="82" t="inlineStr">
        <is>
          <t>Revestimento de cerâmico retificado em Piso, Placa 60 x 60cm com Junta de 2mm e rejunte acrilico</t>
        </is>
      </c>
      <c r="D3282" s="82" t="inlineStr">
        <is>
          <t>Argamassa ACIII</t>
        </is>
      </c>
      <c r="E3282" s="11">
        <f t="array" ref="E3282">_xlfn.XLOOKUP(D3282,Insumos!B:B,Insumos!C:$C)</f>
        <v/>
      </c>
      <c r="F3282" s="2164" t="n">
        <v>8.800000000000001</v>
      </c>
      <c r="G3282" s="92">
        <f t="array" ref="G3282">IF(B3282="insumo",_xlfn.XLOOKUP($D3282,Insumos!$B$1:$B$996,Insumos!$D$1:$D$996),"")</f>
        <v/>
      </c>
      <c r="H3282" s="92" t="n">
        <v>9.367599999999999</v>
      </c>
      <c r="I3282" s="2165" t="e">
        <v>#REF!</v>
      </c>
      <c r="J3282" s="2165" t="e">
        <v>#REF!</v>
      </c>
      <c r="K3282" s="2165" t="n"/>
    </row>
    <row r="3283" outlineLevel="3" ht="12.75" customHeight="1">
      <c r="A3283" s="82" t="n">
        <v>142</v>
      </c>
      <c r="B3283" s="82" t="inlineStr">
        <is>
          <t>Insumo</t>
        </is>
      </c>
      <c r="C3283" s="82" t="inlineStr">
        <is>
          <t>Revestimento de cerâmico retificado em Piso, Placa 60 x 60cm com Junta de 2mm e rejunte acrilico</t>
        </is>
      </c>
      <c r="D3283" s="82" t="inlineStr">
        <is>
          <t>Espeçador junta piso 2mm</t>
        </is>
      </c>
      <c r="E3283" s="11">
        <f t="array" ref="E3283">_xlfn.XLOOKUP(D3283,Insumos!B:B,Insumos!C:$C)</f>
        <v/>
      </c>
      <c r="F3283" s="2164" t="n">
        <v>1</v>
      </c>
      <c r="G3283" s="92">
        <f t="array" ref="G3283">IF(B3283="insumo",_xlfn.XLOOKUP($D3283,Insumos!$B$1:$B$996,Insumos!$D$1:$D$996),"")</f>
        <v/>
      </c>
      <c r="H3283" s="92" t="n">
        <v>0.08</v>
      </c>
      <c r="I3283" s="2165" t="e">
        <v>#REF!</v>
      </c>
      <c r="J3283" s="2165" t="e">
        <v>#REF!</v>
      </c>
      <c r="K3283" s="2165" t="n"/>
    </row>
    <row r="3284" outlineLevel="3" ht="12.75" customHeight="1">
      <c r="A3284" s="82" t="n">
        <v>22</v>
      </c>
      <c r="B3284" s="82" t="inlineStr">
        <is>
          <t>Insumo</t>
        </is>
      </c>
      <c r="C3284" s="82" t="inlineStr">
        <is>
          <t>Revestimento de cerâmico retificado em Piso, Placa 60 x 60cm com Junta de 2mm e rejunte acrilico</t>
        </is>
      </c>
      <c r="D3284" s="82" t="inlineStr">
        <is>
          <t>Rejunte acrilico</t>
        </is>
      </c>
      <c r="E3284" s="11">
        <f t="array" ref="E3284">_xlfn.XLOOKUP(D3284,Insumos!B:B,Insumos!C:$C)</f>
        <v/>
      </c>
      <c r="F3284" s="2164" t="n">
        <v>0.01</v>
      </c>
      <c r="G3284" s="92">
        <f t="array" ref="G3284">IF(B3284="insumo",_xlfn.XLOOKUP($D3284,Insumos!$B$1:$B$996,Insumos!$D$1:$D$996),"")</f>
        <v/>
      </c>
      <c r="H3284" s="92" t="n">
        <v>0.438</v>
      </c>
      <c r="I3284" s="2165" t="e">
        <v>#REF!</v>
      </c>
      <c r="J3284" s="2165" t="e">
        <v>#REF!</v>
      </c>
      <c r="K3284" s="2165" t="n"/>
    </row>
    <row r="3285" outlineLevel="2" ht="15.75" customHeight="1">
      <c r="A3285" s="1067" t="n">
        <v>1</v>
      </c>
      <c r="B3285" s="1067" t="inlineStr">
        <is>
          <t>Serviço</t>
        </is>
      </c>
      <c r="C3285" s="1067" t="inlineStr">
        <is>
          <t>Revestimento de Piso, Cerâmico Acetinado Imperial Mt 50X50Xcm</t>
        </is>
      </c>
      <c r="D3285" s="1067" t="inlineStr">
        <is>
          <t>Revestimento de Piso, Cerâmico Acetinado Imperial Mt 50X50Xcm</t>
        </is>
      </c>
      <c r="E3285" s="1068" t="inlineStr">
        <is>
          <t>M2</t>
        </is>
      </c>
      <c r="F3285" s="1067" t="n"/>
      <c r="G3285" s="1069">
        <f t="array" ref="G3285">IF(B3285="insumo",_xlfn.XLOOKUP($D3285,Insumos!$B$1:$B$996,Insumos!$D$1:$D$996),"")</f>
        <v/>
      </c>
      <c r="H3285" s="1069" t="n">
        <v>58.073</v>
      </c>
      <c r="I3285" s="2161" t="n">
        <v>0</v>
      </c>
      <c r="J3285" s="2161" t="n">
        <v>0</v>
      </c>
      <c r="K3285" s="2161" t="n"/>
    </row>
    <row r="3286" outlineLevel="3" ht="15.75" customHeight="1">
      <c r="A3286" s="10" t="n">
        <v>4</v>
      </c>
      <c r="B3286" s="10" t="inlineStr">
        <is>
          <t>Insumo</t>
        </is>
      </c>
      <c r="C3286" s="82" t="inlineStr">
        <is>
          <t>Revestimento de Piso, Cerâmico Acetinado Imperial Mt 50X50Xcm</t>
        </is>
      </c>
      <c r="D3286" s="82" t="inlineStr">
        <is>
          <t>Piso Cargo Plus 45x45cm White Eliane</t>
        </is>
      </c>
      <c r="E3286" s="11">
        <f t="array" ref="E3286">_xlfn.XLOOKUP(D3286,Insumos!B:B,Insumos!C:$C)</f>
        <v/>
      </c>
      <c r="F3286" s="14" t="n">
        <v>1.1</v>
      </c>
      <c r="G3286" s="92">
        <f t="array" ref="G3286">IF(B3286="insumo",_xlfn.XLOOKUP($D3286,Insumos!$B$1:$B$996,Insumos!$D$1:$D$996),"")</f>
        <v/>
      </c>
      <c r="H3286" s="92" t="n">
        <v>49.39</v>
      </c>
      <c r="I3286" s="2162" t="n">
        <v>0</v>
      </c>
      <c r="J3286" s="2162" t="n">
        <v>0</v>
      </c>
      <c r="K3286" s="2162" t="n"/>
    </row>
    <row r="3287" outlineLevel="3" ht="15.75" customHeight="1">
      <c r="A3287" s="10" t="n">
        <v>16</v>
      </c>
      <c r="B3287" s="10" t="inlineStr">
        <is>
          <t>Insumo</t>
        </is>
      </c>
      <c r="C3287" s="10" t="inlineStr">
        <is>
          <t>Revestimento de Piso, Cerâmico Acetinado Imperial Mt 50X50Xcm</t>
        </is>
      </c>
      <c r="D3287" s="10" t="inlineStr">
        <is>
          <t>Argamassa ACII</t>
        </is>
      </c>
      <c r="E3287" s="11">
        <f t="array" ref="E3287">_xlfn.XLOOKUP(D3287,Insumos!B:B,Insumos!C:$C)</f>
        <v/>
      </c>
      <c r="F3287" s="14" t="n">
        <v>8.800000000000001</v>
      </c>
      <c r="G3287" s="92">
        <f t="array" ref="G3287">IF(B3287="insumo",_xlfn.XLOOKUP($D3287,Insumos!$B$1:$B$996,Insumos!$D$1:$D$996),"")</f>
        <v/>
      </c>
      <c r="H3287" s="92" t="n">
        <v>8.359999999999999</v>
      </c>
      <c r="I3287" s="2162" t="n">
        <v>0</v>
      </c>
      <c r="J3287" s="2162" t="n">
        <v>0</v>
      </c>
      <c r="K3287" s="2162" t="n"/>
    </row>
    <row r="3288" outlineLevel="3" ht="15.75" customHeight="1">
      <c r="A3288" s="10" t="n">
        <v>17</v>
      </c>
      <c r="B3288" s="10" t="inlineStr">
        <is>
          <t>Insumo</t>
        </is>
      </c>
      <c r="C3288" s="10" t="inlineStr">
        <is>
          <t>Revestimento de Piso, Cerâmico Acetinado Imperial Mt 50X50Xcm</t>
        </is>
      </c>
      <c r="D3288" s="10" t="inlineStr">
        <is>
          <t>Espeçador junta piso 3mm</t>
        </is>
      </c>
      <c r="E3288" s="11">
        <f t="array" ref="E3288">_xlfn.XLOOKUP(D3288,Insumos!B:B,Insumos!C:$C)</f>
        <v/>
      </c>
      <c r="F3288" s="14" t="n">
        <v>2</v>
      </c>
      <c r="G3288" s="92">
        <f t="array" ref="G3288">IF(B3288="insumo",_xlfn.XLOOKUP($D3288,Insumos!$B$1:$B$996,Insumos!$D$1:$D$996),"")</f>
        <v/>
      </c>
      <c r="H3288" s="92" t="n">
        <v>0.1</v>
      </c>
      <c r="I3288" s="2162" t="n">
        <v>0</v>
      </c>
      <c r="J3288" s="2162" t="n">
        <v>0</v>
      </c>
      <c r="K3288" s="2162" t="n"/>
    </row>
    <row r="3289" outlineLevel="3" ht="15.75" customHeight="1">
      <c r="A3289" s="10" t="n">
        <v>101</v>
      </c>
      <c r="B3289" s="10" t="inlineStr">
        <is>
          <t>Insumo</t>
        </is>
      </c>
      <c r="C3289" s="10" t="inlineStr">
        <is>
          <t>Revestimento de Piso, Cerâmico Acetinado Imperial Mt 50X50Xcm</t>
        </is>
      </c>
      <c r="D3289" s="10" t="inlineStr">
        <is>
          <t>Rejunte Cimentício</t>
        </is>
      </c>
      <c r="E3289" s="11">
        <f t="array" ref="E3289">_xlfn.XLOOKUP(D3289,Insumos!B:B,Insumos!C:$C)</f>
        <v/>
      </c>
      <c r="F3289" s="14" t="n">
        <v>0.02</v>
      </c>
      <c r="G3289" s="92">
        <f t="array" ref="G3289">IF(B3289="insumo",_xlfn.XLOOKUP($D3289,Insumos!$B$1:$B$996,Insumos!$D$1:$D$996),"")</f>
        <v/>
      </c>
      <c r="H3289" s="92" t="n">
        <v>0.223</v>
      </c>
      <c r="I3289" s="2162" t="n">
        <v>0</v>
      </c>
      <c r="J3289" s="2162" t="n">
        <v>0</v>
      </c>
      <c r="K3289" s="2162" t="n"/>
    </row>
    <row r="3290" outlineLevel="2" ht="12.75" customHeight="1">
      <c r="A3290" s="1071" t="n">
        <v>1</v>
      </c>
      <c r="B3290" s="1071" t="inlineStr">
        <is>
          <t>Serviço</t>
        </is>
      </c>
      <c r="C3290" s="1071" t="inlineStr">
        <is>
          <t>Revestimento em Cerâmicas Vulcano Cinza Pisos Externos, 61x 61cm com Junta de 3mm</t>
        </is>
      </c>
      <c r="D3290" s="1071" t="inlineStr">
        <is>
          <t>Revestimento em Cerâmicas Vulcano Cinza Pisos Externos, 61x 61cm com Junta de 3mm</t>
        </is>
      </c>
      <c r="E3290" s="1072" t="inlineStr">
        <is>
          <t>M2</t>
        </is>
      </c>
      <c r="F3290" s="1071" t="n"/>
      <c r="G3290" s="1073">
        <f t="array" ref="G3290">IF(B3290="insumo",_xlfn.XLOOKUP($D3290,Insumos!$B$1:$B$996,Insumos!$D$1:$D$996),"")</f>
        <v/>
      </c>
      <c r="H3290" s="1073" t="n">
        <v>79.119</v>
      </c>
      <c r="I3290" s="2163" t="n">
        <v>0</v>
      </c>
      <c r="J3290" s="2163" t="n">
        <v>0</v>
      </c>
      <c r="K3290" s="2163" t="n"/>
    </row>
    <row r="3291" outlineLevel="3" ht="12.75" customHeight="1">
      <c r="A3291" s="82" t="n">
        <v>6</v>
      </c>
      <c r="B3291" s="82" t="inlineStr">
        <is>
          <t>Insumo</t>
        </is>
      </c>
      <c r="C3291" s="82" t="inlineStr">
        <is>
          <t>Revestimento em Cerâmicas Vulcano Cinza Pisos Externos, 61x 61cm com Junta de 3mm</t>
        </is>
      </c>
      <c r="D3291" s="82" t="inlineStr">
        <is>
          <t>Cerâmica Vulcano Cinza 61x61</t>
        </is>
      </c>
      <c r="E3291" s="11">
        <f t="array" ref="E3291">_xlfn.XLOOKUP(D3291,Insumos!B:B,Insumos!C:$C)</f>
        <v/>
      </c>
      <c r="F3291" s="2171" t="n">
        <v>1.1</v>
      </c>
      <c r="G3291" s="92">
        <f t="array" ref="G3291">IF(B3291="insumo",_xlfn.XLOOKUP($D3291,Insumos!$B$1:$B$996,Insumos!$D$1:$D$996),"")</f>
        <v/>
      </c>
      <c r="H3291" s="92" t="n">
        <v>69.949</v>
      </c>
      <c r="I3291" s="2165" t="n">
        <v>0</v>
      </c>
      <c r="J3291" s="2165" t="n">
        <v>0</v>
      </c>
      <c r="K3291" s="2165" t="n"/>
    </row>
    <row r="3292" outlineLevel="3" ht="12.75" customHeight="1">
      <c r="A3292" s="82" t="n">
        <v>16</v>
      </c>
      <c r="B3292" s="82" t="inlineStr">
        <is>
          <t>Insumo</t>
        </is>
      </c>
      <c r="C3292" s="82" t="inlineStr">
        <is>
          <t>Revestimento em Cerâmicas Vulcano Cinza Pisos Externos, 61x 61cm com Junta de 3mm</t>
        </is>
      </c>
      <c r="D3292" s="82" t="inlineStr">
        <is>
          <t>Argamassa ACII</t>
        </is>
      </c>
      <c r="E3292" s="11">
        <f t="array" ref="E3292">_xlfn.XLOOKUP(D3292,Insumos!B:B,Insumos!C:$C)</f>
        <v/>
      </c>
      <c r="F3292" s="2171" t="n">
        <v>8.800000000000001</v>
      </c>
      <c r="G3292" s="92">
        <f t="array" ref="G3292">IF(B3292="insumo",_xlfn.XLOOKUP($D3292,Insumos!$B$1:$B$996,Insumos!$D$1:$D$996),"")</f>
        <v/>
      </c>
      <c r="H3292" s="92" t="n">
        <v>8.359999999999999</v>
      </c>
      <c r="I3292" s="2165" t="n">
        <v>0</v>
      </c>
      <c r="J3292" s="2165" t="n">
        <v>0</v>
      </c>
      <c r="K3292" s="2165" t="n"/>
    </row>
    <row r="3293" outlineLevel="3" ht="12.75" customHeight="1">
      <c r="A3293" s="82" t="n">
        <v>17</v>
      </c>
      <c r="B3293" s="82" t="inlineStr">
        <is>
          <t>Insumo</t>
        </is>
      </c>
      <c r="C3293" s="82" t="inlineStr">
        <is>
          <t>Revestimento em Cerâmicas Vulcano Cinza Pisos Externos, 61x 61cm com Junta de 3mm</t>
        </is>
      </c>
      <c r="D3293" s="82" t="inlineStr">
        <is>
          <t>Espeçador junta piso 3mm</t>
        </is>
      </c>
      <c r="E3293" s="11">
        <f t="array" ref="E3293">_xlfn.XLOOKUP(D3293,Insumos!B:B,Insumos!C:$C)</f>
        <v/>
      </c>
      <c r="F3293" s="2171" t="n">
        <v>1</v>
      </c>
      <c r="G3293" s="92">
        <f t="array" ref="G3293">IF(B3293="insumo",_xlfn.XLOOKUP($D3293,Insumos!$B$1:$B$996,Insumos!$D$1:$D$996),"")</f>
        <v/>
      </c>
      <c r="H3293" s="92" t="n">
        <v>0.05</v>
      </c>
      <c r="I3293" s="2165" t="n">
        <v>0</v>
      </c>
      <c r="J3293" s="2165" t="n">
        <v>0</v>
      </c>
      <c r="K3293" s="2165" t="n"/>
    </row>
    <row r="3294" outlineLevel="3" ht="12.75" customHeight="1">
      <c r="A3294" s="82" t="n">
        <v>36</v>
      </c>
      <c r="B3294" s="82" t="inlineStr">
        <is>
          <t>Insumo</t>
        </is>
      </c>
      <c r="C3294" s="82" t="inlineStr">
        <is>
          <t>Revestimento em Cerâmicas Vulcano Cinza Pisos Externos, 61x 61cm com Junta de 3mm</t>
        </is>
      </c>
      <c r="D3294" s="82" t="inlineStr">
        <is>
          <t>Rejunte Acrilico cinza platina</t>
        </is>
      </c>
      <c r="E3294" s="11">
        <f t="array" ref="E3294">_xlfn.XLOOKUP(D3294,Insumos!B:B,Insumos!C:$C)</f>
        <v/>
      </c>
      <c r="F3294" s="2171" t="n">
        <v>0.02</v>
      </c>
      <c r="G3294" s="92">
        <f t="array" ref="G3294">IF(B3294="insumo",_xlfn.XLOOKUP($D3294,Insumos!$B$1:$B$996,Insumos!$D$1:$D$996),"")</f>
        <v/>
      </c>
      <c r="H3294" s="92" t="n">
        <v>0.76</v>
      </c>
      <c r="I3294" s="2165" t="n">
        <v>0</v>
      </c>
      <c r="J3294" s="2165" t="n">
        <v>0</v>
      </c>
      <c r="K3294" s="2165" t="n"/>
    </row>
    <row r="3295" outlineLevel="2" ht="12.75" customHeight="1">
      <c r="A3295" s="1071" t="n">
        <v>1</v>
      </c>
      <c r="B3295" s="1071" t="inlineStr">
        <is>
          <t>Serviço</t>
        </is>
      </c>
      <c r="C3295" s="1071" t="inlineStr">
        <is>
          <t>Revestimento em Cerâmicas Pisos Externos, 60x 60cm com Junta de 3mm</t>
        </is>
      </c>
      <c r="D3295" s="1071" t="inlineStr">
        <is>
          <t>Revestimento em Cerâmicas Pisos Externos, 60x 60cm com Junta de 3mm</t>
        </is>
      </c>
      <c r="E3295" s="1072" t="inlineStr">
        <is>
          <t>M2</t>
        </is>
      </c>
      <c r="F3295" s="1071" t="n"/>
      <c r="G3295" s="1073">
        <f t="array" ref="G3295">IF(B3295="insumo",_xlfn.XLOOKUP($D3295,Insumos!$B$1:$B$996,Insumos!$D$1:$D$996),"")</f>
        <v/>
      </c>
      <c r="H3295" s="1073" t="n">
        <v>52.237</v>
      </c>
      <c r="I3295" s="2163" t="n">
        <v>0</v>
      </c>
      <c r="J3295" s="2163" t="n">
        <v>0</v>
      </c>
      <c r="K3295" s="2163" t="n"/>
    </row>
    <row r="3296" outlineLevel="3" ht="12.75" customHeight="1">
      <c r="A3296" s="82" t="n">
        <v>2</v>
      </c>
      <c r="B3296" s="82" t="inlineStr">
        <is>
          <t>Insumo</t>
        </is>
      </c>
      <c r="C3296" s="82" t="inlineStr">
        <is>
          <t>Revestimento em Cerâmicas Pisos Externos, 60x 60cm com Junta de 3mm</t>
        </is>
      </c>
      <c r="D3296" s="82" t="inlineStr">
        <is>
          <t>Revestimento Cerâmico de Piso Interno 58x58</t>
        </is>
      </c>
      <c r="E3296" s="11">
        <f t="array" ref="E3296">_xlfn.XLOOKUP(D3296,Insumos!B:B,Insumos!C:$C)</f>
        <v/>
      </c>
      <c r="F3296" s="2171" t="n">
        <v>1.1</v>
      </c>
      <c r="G3296" s="92">
        <f t="array" ref="G3296">IF(B3296="insumo",_xlfn.XLOOKUP($D3296,Insumos!$B$1:$B$996,Insumos!$D$1:$D$996),"")</f>
        <v/>
      </c>
      <c r="H3296" s="92" t="n">
        <v>43.604</v>
      </c>
      <c r="I3296" s="2165" t="n">
        <v>0</v>
      </c>
      <c r="J3296" s="2165" t="n">
        <v>0</v>
      </c>
      <c r="K3296" s="2165" t="n"/>
    </row>
    <row r="3297" outlineLevel="3" ht="12.75" customHeight="1">
      <c r="A3297" s="82" t="n">
        <v>16</v>
      </c>
      <c r="B3297" s="82" t="inlineStr">
        <is>
          <t>Insumo</t>
        </is>
      </c>
      <c r="C3297" s="82" t="inlineStr">
        <is>
          <t>Revestimento em Cerâmicas Pisos Externos, 60x 60cm com Junta de 3mm</t>
        </is>
      </c>
      <c r="D3297" s="82" t="inlineStr">
        <is>
          <t>Argamassa ACII</t>
        </is>
      </c>
      <c r="E3297" s="11">
        <f t="array" ref="E3297">_xlfn.XLOOKUP(D3297,Insumos!B:B,Insumos!C:$C)</f>
        <v/>
      </c>
      <c r="F3297" s="2171" t="n">
        <v>8.800000000000001</v>
      </c>
      <c r="G3297" s="92">
        <f t="array" ref="G3297">IF(B3297="insumo",_xlfn.XLOOKUP($D3297,Insumos!$B$1:$B$996,Insumos!$D$1:$D$996),"")</f>
        <v/>
      </c>
      <c r="H3297" s="92" t="n">
        <v>8.359999999999999</v>
      </c>
      <c r="I3297" s="2165" t="n">
        <v>0</v>
      </c>
      <c r="J3297" s="2165" t="n">
        <v>0</v>
      </c>
      <c r="K3297" s="2165" t="n"/>
    </row>
    <row r="3298" outlineLevel="3" ht="12.75" customHeight="1">
      <c r="A3298" s="82" t="n">
        <v>17</v>
      </c>
      <c r="B3298" s="82" t="inlineStr">
        <is>
          <t>Insumo</t>
        </is>
      </c>
      <c r="C3298" s="82" t="inlineStr">
        <is>
          <t>Revestimento em Cerâmicas Pisos Externos, 60x 60cm com Junta de 3mm</t>
        </is>
      </c>
      <c r="D3298" s="82" t="inlineStr">
        <is>
          <t>Espeçador junta piso 3mm</t>
        </is>
      </c>
      <c r="E3298" s="11">
        <f t="array" ref="E3298">_xlfn.XLOOKUP(D3298,Insumos!B:B,Insumos!C:$C)</f>
        <v/>
      </c>
      <c r="F3298" s="2171" t="n">
        <v>1</v>
      </c>
      <c r="G3298" s="92">
        <f t="array" ref="G3298">IF(B3298="insumo",_xlfn.XLOOKUP($D3298,Insumos!$B$1:$B$996,Insumos!$D$1:$D$996),"")</f>
        <v/>
      </c>
      <c r="H3298" s="92" t="n">
        <v>0.05</v>
      </c>
      <c r="I3298" s="2165" t="n">
        <v>0</v>
      </c>
      <c r="J3298" s="2165" t="n">
        <v>0</v>
      </c>
      <c r="K3298" s="2165" t="n"/>
    </row>
    <row r="3299" outlineLevel="3" ht="12.75" customHeight="1">
      <c r="A3299" s="82" t="n">
        <v>101</v>
      </c>
      <c r="B3299" s="82" t="inlineStr">
        <is>
          <t>Insumo</t>
        </is>
      </c>
      <c r="C3299" s="82" t="inlineStr">
        <is>
          <t>Revestimento em Cerâmicas Pisos Externos, 60x 60cm com Junta de 3mm</t>
        </is>
      </c>
      <c r="D3299" s="82" t="inlineStr">
        <is>
          <t>Rejunte Cimentício</t>
        </is>
      </c>
      <c r="E3299" s="11">
        <f t="array" ref="E3299">_xlfn.XLOOKUP(D3299,Insumos!B:B,Insumos!C:$C)</f>
        <v/>
      </c>
      <c r="F3299" s="2171" t="n">
        <v>0.02</v>
      </c>
      <c r="G3299" s="92">
        <f t="array" ref="G3299">IF(B3299="insumo",_xlfn.XLOOKUP($D3299,Insumos!$B$1:$B$996,Insumos!$D$1:$D$996),"")</f>
        <v/>
      </c>
      <c r="H3299" s="92" t="n">
        <v>0.223</v>
      </c>
      <c r="I3299" s="2165" t="n">
        <v>0</v>
      </c>
      <c r="J3299" s="2165" t="n">
        <v>0</v>
      </c>
      <c r="K3299" s="2165" t="n"/>
    </row>
    <row r="3300" outlineLevel="2" ht="12.75" customHeight="1">
      <c r="A3300" s="1071" t="n">
        <v>1</v>
      </c>
      <c r="B3300" s="1071" t="inlineStr">
        <is>
          <t>Serviço</t>
        </is>
      </c>
      <c r="C3300" s="1071" t="inlineStr">
        <is>
          <t>Revestimento em Cerâmicas Pisos Internos, 45x 45cm com Junta de 3mm</t>
        </is>
      </c>
      <c r="D3300" s="1071" t="inlineStr">
        <is>
          <t>Revestimento em Cerâmicas Pisos Internos, 45x 45cm com Junta de 3mm</t>
        </is>
      </c>
      <c r="E3300" s="1072" t="inlineStr">
        <is>
          <t>M2</t>
        </is>
      </c>
      <c r="F3300" s="1071" t="n"/>
      <c r="G3300" s="1073">
        <f t="array" ref="G3300">IF(B3300="insumo",_xlfn.XLOOKUP($D3300,Insumos!$B$1:$B$996,Insumos!$D$1:$D$996),"")</f>
        <v/>
      </c>
      <c r="H3300" s="1073" t="n">
        <v>58.073</v>
      </c>
      <c r="I3300" s="2163" t="e">
        <v>#REF!</v>
      </c>
      <c r="J3300" s="2163" t="e">
        <v>#REF!</v>
      </c>
      <c r="K3300" s="2163" t="n"/>
    </row>
    <row r="3301" outlineLevel="3" ht="12.75" customHeight="1">
      <c r="A3301" s="82" t="n">
        <v>4</v>
      </c>
      <c r="B3301" s="82" t="inlineStr">
        <is>
          <t>Insumo</t>
        </is>
      </c>
      <c r="C3301" s="82" t="inlineStr">
        <is>
          <t>Revestimento em Cerâmicas Pisos Internos, 45x 45cm com Junta de 3mm</t>
        </is>
      </c>
      <c r="D3301" s="82" t="inlineStr">
        <is>
          <t>Piso Cargo Plus 45x45cm White Eliane</t>
        </is>
      </c>
      <c r="E3301" s="11">
        <f t="array" ref="E3301">_xlfn.XLOOKUP(D3301,Insumos!B:B,Insumos!C:$C)</f>
        <v/>
      </c>
      <c r="F3301" s="2171" t="n">
        <v>1.1</v>
      </c>
      <c r="G3301" s="92">
        <f t="array" ref="G3301">IF(B3301="insumo",_xlfn.XLOOKUP($D3301,Insumos!$B$1:$B$996,Insumos!$D$1:$D$996),"")</f>
        <v/>
      </c>
      <c r="H3301" s="92" t="n">
        <v>49.39</v>
      </c>
      <c r="I3301" s="2165" t="e">
        <v>#REF!</v>
      </c>
      <c r="J3301" s="2165" t="e">
        <v>#REF!</v>
      </c>
      <c r="K3301" s="2165" t="n"/>
    </row>
    <row r="3302" outlineLevel="3" ht="12.75" customHeight="1">
      <c r="A3302" s="82" t="n">
        <v>16</v>
      </c>
      <c r="B3302" s="82" t="inlineStr">
        <is>
          <t>Insumo</t>
        </is>
      </c>
      <c r="C3302" s="82" t="inlineStr">
        <is>
          <t>Revestimento em Cerâmicas Pisos Internos, 45x 45cm com Junta de 3mm</t>
        </is>
      </c>
      <c r="D3302" s="82" t="inlineStr">
        <is>
          <t>Argamassa ACII</t>
        </is>
      </c>
      <c r="E3302" s="11">
        <f t="array" ref="E3302">_xlfn.XLOOKUP(D3302,Insumos!B:B,Insumos!C:$C)</f>
        <v/>
      </c>
      <c r="F3302" s="2171" t="n">
        <v>8.800000000000001</v>
      </c>
      <c r="G3302" s="92">
        <f t="array" ref="G3302">IF(B3302="insumo",_xlfn.XLOOKUP($D3302,Insumos!$B$1:$B$996,Insumos!$D$1:$D$996),"")</f>
        <v/>
      </c>
      <c r="H3302" s="92" t="n">
        <v>8.359999999999999</v>
      </c>
      <c r="I3302" s="2165" t="e">
        <v>#REF!</v>
      </c>
      <c r="J3302" s="2165" t="e">
        <v>#REF!</v>
      </c>
      <c r="K3302" s="2165" t="n"/>
    </row>
    <row r="3303" outlineLevel="3" ht="12.75" customHeight="1">
      <c r="A3303" s="82" t="n">
        <v>17</v>
      </c>
      <c r="B3303" s="82" t="inlineStr">
        <is>
          <t>Insumo</t>
        </is>
      </c>
      <c r="C3303" s="82" t="inlineStr">
        <is>
          <t>Revestimento em Cerâmicas Pisos Internos, 45x 45cm com Junta de 3mm</t>
        </is>
      </c>
      <c r="D3303" s="82" t="inlineStr">
        <is>
          <t>Espeçador junta piso 3mm</t>
        </is>
      </c>
      <c r="E3303" s="11">
        <f t="array" ref="E3303">_xlfn.XLOOKUP(D3303,Insumos!B:B,Insumos!C:$C)</f>
        <v/>
      </c>
      <c r="F3303" s="2171" t="n">
        <v>2</v>
      </c>
      <c r="G3303" s="92">
        <f t="array" ref="G3303">IF(B3303="insumo",_xlfn.XLOOKUP($D3303,Insumos!$B$1:$B$996,Insumos!$D$1:$D$996),"")</f>
        <v/>
      </c>
      <c r="H3303" s="92" t="n">
        <v>0.1</v>
      </c>
      <c r="I3303" s="2165" t="e">
        <v>#REF!</v>
      </c>
      <c r="J3303" s="2165" t="e">
        <v>#REF!</v>
      </c>
      <c r="K3303" s="2165" t="n"/>
    </row>
    <row r="3304" outlineLevel="3" ht="12.75" customHeight="1">
      <c r="A3304" s="82" t="n">
        <v>101</v>
      </c>
      <c r="B3304" s="82" t="inlineStr">
        <is>
          <t>Insumo</t>
        </is>
      </c>
      <c r="C3304" s="82" t="inlineStr">
        <is>
          <t>Revestimento em Cerâmicas Pisos Internos, 45x 45cm com Junta de 3mm</t>
        </is>
      </c>
      <c r="D3304" s="82" t="inlineStr">
        <is>
          <t>Rejunte Cimentício</t>
        </is>
      </c>
      <c r="E3304" s="11">
        <f t="array" ref="E3304">_xlfn.XLOOKUP(D3304,Insumos!B:B,Insumos!C:$C)</f>
        <v/>
      </c>
      <c r="F3304" s="2171" t="n">
        <v>0.02</v>
      </c>
      <c r="G3304" s="92">
        <f t="array" ref="G3304">IF(B3304="insumo",_xlfn.XLOOKUP($D3304,Insumos!$B$1:$B$996,Insumos!$D$1:$D$996),"")</f>
        <v/>
      </c>
      <c r="H3304" s="92" t="n">
        <v>0.223</v>
      </c>
      <c r="I3304" s="2165" t="e">
        <v>#REF!</v>
      </c>
      <c r="J3304" s="2165" t="e">
        <v>#REF!</v>
      </c>
      <c r="K3304" s="2165" t="n"/>
    </row>
    <row r="3305" outlineLevel="2" ht="12.75" customHeight="1">
      <c r="A3305" s="1071" t="n">
        <v>1</v>
      </c>
      <c r="B3305" s="1071" t="inlineStr">
        <is>
          <t>Serviço</t>
        </is>
      </c>
      <c r="C3305" s="1071" t="inlineStr">
        <is>
          <t>Revestimento em Pisos cerâmico, 61x 61cm com Junta de 3mm</t>
        </is>
      </c>
      <c r="D3305" s="1071" t="inlineStr">
        <is>
          <t>Revestimento em Pisos cerâmico, 61x 61cm com Junta de 3mm</t>
        </is>
      </c>
      <c r="E3305" s="1072" t="inlineStr">
        <is>
          <t>M2</t>
        </is>
      </c>
      <c r="F3305" s="1071" t="n"/>
      <c r="G3305" s="1073">
        <f t="array" ref="G3305">IF(B3305="insumo",_xlfn.XLOOKUP($D3305,Insumos!$B$1:$B$996,Insumos!$D$1:$D$996),"")</f>
        <v/>
      </c>
      <c r="H3305" s="1073" t="n">
        <v>78.58199999999999</v>
      </c>
      <c r="I3305" s="2163" t="n">
        <v>0</v>
      </c>
      <c r="J3305" s="2163" t="n">
        <v>0</v>
      </c>
      <c r="K3305" s="2163" t="n"/>
    </row>
    <row r="3306" outlineLevel="3" ht="12.75" customHeight="1">
      <c r="A3306" s="82" t="n">
        <v>6</v>
      </c>
      <c r="B3306" s="82" t="inlineStr">
        <is>
          <t>Insumo</t>
        </is>
      </c>
      <c r="C3306" s="82" t="inlineStr">
        <is>
          <t>Revestimento em Pisos cerâmico, 61x 61cm com Junta de 3mm</t>
        </is>
      </c>
      <c r="D3306" s="82" t="inlineStr">
        <is>
          <t>Cerâmica Vulcano Cinza 61x61</t>
        </is>
      </c>
      <c r="E3306" s="11">
        <f t="array" ref="E3306">_xlfn.XLOOKUP(D3306,Insumos!B:B,Insumos!C:$C)</f>
        <v/>
      </c>
      <c r="F3306" s="2171" t="n">
        <v>1.1</v>
      </c>
      <c r="G3306" s="92">
        <f t="array" ref="G3306">IF(B3306="insumo",_xlfn.XLOOKUP($D3306,Insumos!$B$1:$B$996,Insumos!$D$1:$D$996),"")</f>
        <v/>
      </c>
      <c r="H3306" s="92" t="n">
        <v>69.949</v>
      </c>
      <c r="I3306" s="2165" t="n">
        <v>0</v>
      </c>
      <c r="J3306" s="2165" t="n">
        <v>0</v>
      </c>
      <c r="K3306" s="2165" t="n"/>
    </row>
    <row r="3307" outlineLevel="3" ht="12.75" customHeight="1">
      <c r="A3307" s="82" t="n">
        <v>16</v>
      </c>
      <c r="B3307" s="82" t="inlineStr">
        <is>
          <t>Insumo</t>
        </is>
      </c>
      <c r="C3307" s="82" t="inlineStr">
        <is>
          <t>Revestimento em Pisos cerâmico, 61x 61cm com Junta de 3mm</t>
        </is>
      </c>
      <c r="D3307" s="82" t="inlineStr">
        <is>
          <t>Argamassa ACII</t>
        </is>
      </c>
      <c r="E3307" s="11">
        <f t="array" ref="E3307">_xlfn.XLOOKUP(D3307,Insumos!B:B,Insumos!C:$C)</f>
        <v/>
      </c>
      <c r="F3307" s="2171" t="n">
        <v>8.800000000000001</v>
      </c>
      <c r="G3307" s="92">
        <f t="array" ref="G3307">IF(B3307="insumo",_xlfn.XLOOKUP($D3307,Insumos!$B$1:$B$996,Insumos!$D$1:$D$996),"")</f>
        <v/>
      </c>
      <c r="H3307" s="92" t="n">
        <v>8.359999999999999</v>
      </c>
      <c r="I3307" s="2165" t="n">
        <v>0</v>
      </c>
      <c r="J3307" s="2165" t="n">
        <v>0</v>
      </c>
      <c r="K3307" s="2165" t="n"/>
    </row>
    <row r="3308" outlineLevel="3" ht="12.75" customHeight="1">
      <c r="A3308" s="82" t="n">
        <v>17</v>
      </c>
      <c r="B3308" s="82" t="inlineStr">
        <is>
          <t>Insumo</t>
        </is>
      </c>
      <c r="C3308" s="82" t="inlineStr">
        <is>
          <t>Revestimento em Pisos cerâmico, 61x 61cm com Junta de 3mm</t>
        </is>
      </c>
      <c r="D3308" s="82" t="inlineStr">
        <is>
          <t>Espeçador junta piso 3mm</t>
        </is>
      </c>
      <c r="E3308" s="11">
        <f t="array" ref="E3308">_xlfn.XLOOKUP(D3308,Insumos!B:B,Insumos!C:$C)</f>
        <v/>
      </c>
      <c r="F3308" s="2171" t="n">
        <v>1</v>
      </c>
      <c r="G3308" s="92">
        <f t="array" ref="G3308">IF(B3308="insumo",_xlfn.XLOOKUP($D3308,Insumos!$B$1:$B$996,Insumos!$D$1:$D$996),"")</f>
        <v/>
      </c>
      <c r="H3308" s="92" t="n">
        <v>0.05</v>
      </c>
      <c r="I3308" s="2165" t="n">
        <v>0</v>
      </c>
      <c r="J3308" s="2165" t="n">
        <v>0</v>
      </c>
      <c r="K3308" s="2165" t="n"/>
    </row>
    <row r="3309" outlineLevel="3" ht="12.75" customHeight="1">
      <c r="A3309" s="82" t="n">
        <v>101</v>
      </c>
      <c r="B3309" s="82" t="inlineStr">
        <is>
          <t>Insumo</t>
        </is>
      </c>
      <c r="C3309" s="82" t="inlineStr">
        <is>
          <t>Revestimento em Pisos cerâmico, 61x 61cm com Junta de 3mm</t>
        </is>
      </c>
      <c r="D3309" s="82" t="inlineStr">
        <is>
          <t>Rejunte Cimentício</t>
        </is>
      </c>
      <c r="E3309" s="11">
        <f t="array" ref="E3309">_xlfn.XLOOKUP(D3309,Insumos!B:B,Insumos!C:$C)</f>
        <v/>
      </c>
      <c r="F3309" s="2171" t="n">
        <v>0.02</v>
      </c>
      <c r="G3309" s="92">
        <f t="array" ref="G3309">IF(B3309="insumo",_xlfn.XLOOKUP($D3309,Insumos!$B$1:$B$996,Insumos!$D$1:$D$996),"")</f>
        <v/>
      </c>
      <c r="H3309" s="92" t="n">
        <v>0.223</v>
      </c>
      <c r="I3309" s="2165" t="n">
        <v>0</v>
      </c>
      <c r="J3309" s="2165" t="n">
        <v>0</v>
      </c>
      <c r="K3309" s="2165" t="n"/>
    </row>
    <row r="3310" outlineLevel="1" ht="15.75" customHeight="1">
      <c r="A3310" s="1090" t="n">
        <v>1</v>
      </c>
      <c r="B3310" s="1090" t="inlineStr">
        <is>
          <t>Subetapa</t>
        </is>
      </c>
      <c r="C3310" s="1090" t="inlineStr">
        <is>
          <t>Revestimento em Pisos cerâmico, 61x 61cm com Junta de 3mm</t>
        </is>
      </c>
      <c r="D3310" s="1090" t="inlineStr">
        <is>
          <t>ACABAMENTOS PORCELANATO</t>
        </is>
      </c>
      <c r="E3310" s="1091" t="n"/>
      <c r="F3310" s="2160" t="n"/>
      <c r="G3310" s="1091" t="n"/>
      <c r="H3310" s="1091" t="n">
        <v>0</v>
      </c>
      <c r="I3310" s="2160" t="n">
        <v>0</v>
      </c>
      <c r="J3310" s="2160" t="n">
        <v>0</v>
      </c>
      <c r="K3310" s="2160" t="n"/>
    </row>
    <row r="3311" outlineLevel="2" ht="15.75" customHeight="1">
      <c r="A3311" s="1067" t="n">
        <v>1</v>
      </c>
      <c r="B3311" s="1067" t="inlineStr">
        <is>
          <t>Serviço</t>
        </is>
      </c>
      <c r="C3311" s="1067" t="inlineStr">
        <is>
          <t xml:space="preserve">Revestimento De Piso, Cimenticio Tecnogran 60X60Cm Linha Lavaggio  </t>
        </is>
      </c>
      <c r="D3311" s="1067" t="inlineStr">
        <is>
          <t xml:space="preserve">Revestimento De Piso, Cimenticio Tecnogran 60X60Cm Linha Lavaggio  </t>
        </is>
      </c>
      <c r="E3311" s="1068" t="inlineStr">
        <is>
          <t>M2</t>
        </is>
      </c>
      <c r="F3311" s="1067" t="n"/>
      <c r="G3311" s="1069">
        <f t="array" ref="G3311">IF(B3311="insumo",_xlfn.XLOOKUP($D3311,Insumos!$B$1:$B$996,Insumos!$D$1:$D$996),"")</f>
        <v/>
      </c>
      <c r="H3311" s="1069" t="n">
        <v>59.0606</v>
      </c>
      <c r="I3311" s="2161" t="n">
        <v>0</v>
      </c>
      <c r="J3311" s="2161" t="n">
        <v>0</v>
      </c>
      <c r="K3311" s="2161" t="n"/>
    </row>
    <row r="3312" outlineLevel="3" ht="13.5" customHeight="1">
      <c r="A3312" s="10" t="n">
        <v>1</v>
      </c>
      <c r="B3312" s="10" t="inlineStr">
        <is>
          <t>Insumo</t>
        </is>
      </c>
      <c r="C3312" s="10" t="inlineStr">
        <is>
          <t xml:space="preserve">Revestimento De Piso, Cimenticio Tecnogran 60X60Cm Linha Lavaggio  </t>
        </is>
      </c>
      <c r="D3312" s="10" t="inlineStr">
        <is>
          <t xml:space="preserve">Piso Cimenticio Tecnogran 60X60Cm Linha Lavaggio  </t>
        </is>
      </c>
      <c r="E3312" s="11">
        <f t="array" ref="E3312">_xlfn.XLOOKUP(D3312,Insumos!B:B,Insumos!C:$C)</f>
        <v/>
      </c>
      <c r="F3312" s="14" t="n">
        <v>1.1</v>
      </c>
      <c r="G3312" s="92">
        <f t="array" ref="G3312">IF(B3312="insumo",_xlfn.XLOOKUP($D3312,Insumos!$B$1:$B$996,Insumos!$D$1:$D$996),"")</f>
        <v/>
      </c>
      <c r="H3312" s="92" t="n">
        <v>49.39</v>
      </c>
      <c r="I3312" s="2162" t="n">
        <v>0</v>
      </c>
      <c r="J3312" s="2162" t="n">
        <v>0</v>
      </c>
      <c r="K3312" s="2162" t="n"/>
    </row>
    <row r="3313" outlineLevel="3" ht="15.75" customHeight="1">
      <c r="A3313" s="10" t="n">
        <v>191</v>
      </c>
      <c r="B3313" s="10" t="inlineStr">
        <is>
          <t>Insumo</t>
        </is>
      </c>
      <c r="C3313" s="10" t="inlineStr">
        <is>
          <t xml:space="preserve">Revestimento De Piso, Cimenticio Tecnogran 60X60Cm Linha Lavaggio  </t>
        </is>
      </c>
      <c r="D3313" s="10" t="inlineStr">
        <is>
          <t>Argamassa ACIII</t>
        </is>
      </c>
      <c r="E3313" s="11">
        <f t="array" ref="E3313">_xlfn.XLOOKUP(D3313,Insumos!B:B,Insumos!C:$C)</f>
        <v/>
      </c>
      <c r="F3313" s="14" t="n">
        <v>8.800000000000001</v>
      </c>
      <c r="G3313" s="92">
        <f t="array" ref="G3313">IF(B3313="insumo",_xlfn.XLOOKUP($D3313,Insumos!$B$1:$B$996,Insumos!$D$1:$D$996),"")</f>
        <v/>
      </c>
      <c r="H3313" s="92" t="n">
        <v>9.367599999999999</v>
      </c>
      <c r="I3313" s="2162" t="n">
        <v>0</v>
      </c>
      <c r="J3313" s="2162" t="n">
        <v>0</v>
      </c>
      <c r="K3313" s="2162" t="n"/>
    </row>
    <row r="3314" outlineLevel="3" ht="15.75" customHeight="1">
      <c r="A3314" s="10" t="n">
        <v>142</v>
      </c>
      <c r="B3314" s="10" t="inlineStr">
        <is>
          <t>Insumo</t>
        </is>
      </c>
      <c r="C3314" s="10" t="inlineStr">
        <is>
          <t xml:space="preserve">Revestimento De Piso, Cimenticio Tecnogran 60X60Cm Linha Lavaggio  </t>
        </is>
      </c>
      <c r="D3314" s="10" t="inlineStr">
        <is>
          <t>Espeçador junta piso 2mm</t>
        </is>
      </c>
      <c r="E3314" s="11">
        <f t="array" ref="E3314">_xlfn.XLOOKUP(D3314,Insumos!B:B,Insumos!C:$C)</f>
        <v/>
      </c>
      <c r="F3314" s="14" t="n">
        <v>1</v>
      </c>
      <c r="G3314" s="92">
        <f t="array" ref="G3314">IF(B3314="insumo",_xlfn.XLOOKUP($D3314,Insumos!$B$1:$B$996,Insumos!$D$1:$D$996),"")</f>
        <v/>
      </c>
      <c r="H3314" s="92" t="n">
        <v>0.08</v>
      </c>
      <c r="I3314" s="2162" t="n">
        <v>0</v>
      </c>
      <c r="J3314" s="2162" t="n">
        <v>0</v>
      </c>
      <c r="K3314" s="2162" t="n"/>
    </row>
    <row r="3315" outlineLevel="3" ht="15.75" customHeight="1">
      <c r="A3315" s="10" t="n">
        <v>101</v>
      </c>
      <c r="B3315" s="10" t="inlineStr">
        <is>
          <t>Insumo</t>
        </is>
      </c>
      <c r="C3315" s="10" t="inlineStr">
        <is>
          <t xml:space="preserve">Revestimento De Piso, Cimenticio Tecnogran 60X60Cm Linha Lavaggio  </t>
        </is>
      </c>
      <c r="D3315" s="10" t="inlineStr">
        <is>
          <t>Rejunte Cimentício</t>
        </is>
      </c>
      <c r="E3315" s="11">
        <f t="array" ref="E3315">_xlfn.XLOOKUP(D3315,Insumos!B:B,Insumos!C:$C)</f>
        <v/>
      </c>
      <c r="F3315" s="14" t="n">
        <v>0.02</v>
      </c>
      <c r="G3315" s="92">
        <f t="array" ref="G3315">IF(B3315="insumo",_xlfn.XLOOKUP($D3315,Insumos!$B$1:$B$996,Insumos!$D$1:$D$996),"")</f>
        <v/>
      </c>
      <c r="H3315" s="92" t="n">
        <v>0.223</v>
      </c>
      <c r="I3315" s="2162" t="n">
        <v>0</v>
      </c>
      <c r="J3315" s="2162" t="n">
        <v>0</v>
      </c>
      <c r="K3315" s="2162" t="n"/>
    </row>
    <row r="3316" outlineLevel="2" ht="15.75" customHeight="1">
      <c r="A3316" s="1067" t="n">
        <v>1</v>
      </c>
      <c r="B3316" s="1067" t="inlineStr">
        <is>
          <t>Serviço</t>
        </is>
      </c>
      <c r="C3316" s="1067" t="inlineStr">
        <is>
          <t>Revestimento em Porcelanato amadeirado 19x117cm para Piso, rejunte cimentício, aplicação em áreas comuns internas</t>
        </is>
      </c>
      <c r="D3316" s="1067" t="inlineStr">
        <is>
          <t>Revestimento em Porcelanato amadeirado 19x117cm para Piso, rejunte cimentício, aplicação em áreas comuns internas</t>
        </is>
      </c>
      <c r="E3316" s="1068" t="inlineStr">
        <is>
          <t>M2</t>
        </is>
      </c>
      <c r="F3316" s="1067" t="n"/>
      <c r="G3316" s="1069">
        <f t="array" ref="G3316">IF(B3316="insumo",_xlfn.XLOOKUP($D3316,Insumos!$B$1:$B$996,Insumos!$D$1:$D$996),"")</f>
        <v/>
      </c>
      <c r="H3316" s="1069" t="n">
        <v>130.4066</v>
      </c>
      <c r="I3316" s="2161" t="n">
        <v>0</v>
      </c>
      <c r="J3316" s="2161" t="n">
        <v>0</v>
      </c>
      <c r="K3316" s="2161" t="n"/>
    </row>
    <row r="3317" outlineLevel="3" ht="15.75" customHeight="1">
      <c r="A3317" s="10" t="n">
        <v>2</v>
      </c>
      <c r="B3317" s="10" t="inlineStr">
        <is>
          <t>Insumo</t>
        </is>
      </c>
      <c r="C3317" s="10" t="inlineStr">
        <is>
          <t>Revestimento em Porcelanato amadeirado 19x117cm para Piso, rejunte cimentício, aplicação em áreas comuns internas</t>
        </is>
      </c>
      <c r="D3317" s="10" t="inlineStr">
        <is>
          <t>Porcelanato Amadeirado Acetinado 19x117cm</t>
        </is>
      </c>
      <c r="E3317" s="11">
        <f t="array" ref="E3317">_xlfn.XLOOKUP(D3317,Insumos!B:B,Insumos!C:$C)</f>
        <v/>
      </c>
      <c r="F3317" s="14" t="n">
        <v>1.1</v>
      </c>
      <c r="G3317" s="92">
        <f t="array" ref="G3317">IF(B3317="insumo",_xlfn.XLOOKUP($D3317,Insumos!$B$1:$B$996,Insumos!$D$1:$D$996),"")</f>
        <v/>
      </c>
      <c r="H3317" s="92" t="n">
        <v>120.879</v>
      </c>
      <c r="I3317" s="2162" t="n">
        <v>0</v>
      </c>
      <c r="J3317" s="2162" t="n">
        <v>0</v>
      </c>
      <c r="K3317" s="2162" t="n"/>
    </row>
    <row r="3318" outlineLevel="3" ht="15.75" customHeight="1">
      <c r="A3318" s="10" t="n">
        <v>191</v>
      </c>
      <c r="B3318" s="10" t="inlineStr">
        <is>
          <t>Insumo</t>
        </is>
      </c>
      <c r="C3318" s="10" t="inlineStr">
        <is>
          <t>Revestimento em Porcelanato amadeirado 19x117cm para Piso, rejunte cimentício, aplicação em áreas comuns internas</t>
        </is>
      </c>
      <c r="D3318" s="10" t="inlineStr">
        <is>
          <t>Argamassa ACIII</t>
        </is>
      </c>
      <c r="E3318" s="11">
        <f t="array" ref="E3318">_xlfn.XLOOKUP(D3318,Insumos!B:B,Insumos!C:$C)</f>
        <v/>
      </c>
      <c r="F3318" s="14" t="n">
        <v>8.800000000000001</v>
      </c>
      <c r="G3318" s="92">
        <f t="array" ref="G3318">IF(B3318="insumo",_xlfn.XLOOKUP($D3318,Insumos!$B$1:$B$996,Insumos!$D$1:$D$996),"")</f>
        <v/>
      </c>
      <c r="H3318" s="92" t="n">
        <v>9.367599999999999</v>
      </c>
      <c r="I3318" s="2162" t="n">
        <v>0</v>
      </c>
      <c r="J3318" s="2162" t="n">
        <v>0</v>
      </c>
      <c r="K3318" s="2162" t="n"/>
    </row>
    <row r="3319" outlineLevel="3" ht="15.75" customHeight="1">
      <c r="A3319" s="10" t="n">
        <v>142</v>
      </c>
      <c r="B3319" s="10" t="inlineStr">
        <is>
          <t>Insumo</t>
        </is>
      </c>
      <c r="C3319" s="10" t="inlineStr">
        <is>
          <t>Revestimento em Porcelanato amadeirado 19x117cm para Piso, rejunte cimentício, aplicação em áreas comuns internas</t>
        </is>
      </c>
      <c r="D3319" s="10" t="inlineStr">
        <is>
          <t>Espeçador junta piso 2mm</t>
        </is>
      </c>
      <c r="E3319" s="11">
        <f t="array" ref="E3319">_xlfn.XLOOKUP(D3319,Insumos!B:B,Insumos!C:$C)</f>
        <v/>
      </c>
      <c r="F3319" s="14" t="n">
        <v>2</v>
      </c>
      <c r="G3319" s="92">
        <f t="array" ref="G3319">IF(B3319="insumo",_xlfn.XLOOKUP($D3319,Insumos!$B$1:$B$996,Insumos!$D$1:$D$996),"")</f>
        <v/>
      </c>
      <c r="H3319" s="92" t="n">
        <v>0.16</v>
      </c>
      <c r="I3319" s="2162" t="n">
        <v>0</v>
      </c>
      <c r="J3319" s="2162" t="n">
        <v>0</v>
      </c>
      <c r="K3319" s="2162" t="n"/>
    </row>
    <row r="3320" outlineLevel="2" ht="15.75" customHeight="1">
      <c r="A3320" s="1067" t="n">
        <v>1</v>
      </c>
      <c r="B3320" s="1067" t="inlineStr">
        <is>
          <t>Serviço</t>
        </is>
      </c>
      <c r="C3320" s="1067" t="inlineStr">
        <is>
          <t xml:space="preserve">Revestimento de Piso, Porcelanato Botanique Melisse Mate Portobello 29X30Cm    </t>
        </is>
      </c>
      <c r="D3320" s="1067" t="inlineStr">
        <is>
          <t xml:space="preserve">Revestimento de Piso, Porcelanato Botanique Melisse Mate Portobello 29X30Cm    </t>
        </is>
      </c>
      <c r="E3320" s="1068" t="inlineStr">
        <is>
          <t>M2</t>
        </is>
      </c>
      <c r="F3320" s="1067" t="n"/>
      <c r="G3320" s="1069">
        <f t="array" ref="G3320">IF(B3320="insumo",_xlfn.XLOOKUP($D3320,Insumos!$B$1:$B$996,Insumos!$D$1:$D$996),"")</f>
        <v/>
      </c>
      <c r="H3320" s="1069" t="n">
        <v>100.373</v>
      </c>
      <c r="I3320" s="2161" t="n">
        <v>0</v>
      </c>
      <c r="J3320" s="2161" t="n">
        <v>0</v>
      </c>
      <c r="K3320" s="2161" t="n"/>
    </row>
    <row r="3321" outlineLevel="3" ht="15.75" customHeight="1">
      <c r="A3321" s="10" t="n">
        <v>1</v>
      </c>
      <c r="B3321" s="10" t="inlineStr">
        <is>
          <t>Insumo</t>
        </is>
      </c>
      <c r="C3321" s="10" t="inlineStr">
        <is>
          <t xml:space="preserve">Revestimento de Piso, Porcelanato Botanique Melisse Mate Portobello 29X30Cm    </t>
        </is>
      </c>
      <c r="D3321" s="10" t="inlineStr">
        <is>
          <t xml:space="preserve">Porcelanato Botanique Melisse Mate Portobello 29X30Cm    </t>
        </is>
      </c>
      <c r="E3321" s="11">
        <f t="array" ref="E3321">_xlfn.XLOOKUP(D3321,Insumos!B:B,Insumos!C:$C)</f>
        <v/>
      </c>
      <c r="F3321" s="14" t="n">
        <v>1.1</v>
      </c>
      <c r="G3321" s="92">
        <f t="array" ref="G3321">IF(B3321="insumo",_xlfn.XLOOKUP($D3321,Insumos!$B$1:$B$996,Insumos!$D$1:$D$996),"")</f>
        <v/>
      </c>
      <c r="H3321" s="92" t="n">
        <v>91.73999999999999</v>
      </c>
      <c r="I3321" s="2162" t="n">
        <v>0</v>
      </c>
      <c r="J3321" s="2162" t="n">
        <v>0</v>
      </c>
      <c r="K3321" s="2162" t="n"/>
    </row>
    <row r="3322" outlineLevel="3" ht="15.75" customHeight="1">
      <c r="A3322" s="10" t="n">
        <v>16</v>
      </c>
      <c r="B3322" s="10" t="inlineStr">
        <is>
          <t>Insumo</t>
        </is>
      </c>
      <c r="C3322" s="10" t="inlineStr">
        <is>
          <t xml:space="preserve">Revestimento de Piso, Porcelanato Botanique Melisse Mate Portobello 29X30Cm    </t>
        </is>
      </c>
      <c r="D3322" s="10" t="inlineStr">
        <is>
          <t>Argamassa ACII</t>
        </is>
      </c>
      <c r="E3322" s="11">
        <f t="array" ref="E3322">_xlfn.XLOOKUP(D3322,Insumos!B:B,Insumos!C:$C)</f>
        <v/>
      </c>
      <c r="F3322" s="14" t="n">
        <v>8.800000000000001</v>
      </c>
      <c r="G3322" s="92">
        <f t="array" ref="G3322">IF(B3322="insumo",_xlfn.XLOOKUP($D3322,Insumos!$B$1:$B$996,Insumos!$D$1:$D$996),"")</f>
        <v/>
      </c>
      <c r="H3322" s="92" t="n">
        <v>8.359999999999999</v>
      </c>
      <c r="I3322" s="2162" t="n">
        <v>0</v>
      </c>
      <c r="J3322" s="2162" t="n">
        <v>0</v>
      </c>
      <c r="K3322" s="2162" t="n"/>
    </row>
    <row r="3323" outlineLevel="3" ht="15.75" customHeight="1">
      <c r="A3323" s="10" t="n">
        <v>17</v>
      </c>
      <c r="B3323" s="10" t="inlineStr">
        <is>
          <t>Insumo</t>
        </is>
      </c>
      <c r="C3323" s="10" t="inlineStr">
        <is>
          <t xml:space="preserve">Revestimento de Piso, Porcelanato Botanique Melisse Mate Portobello 29X30Cm    </t>
        </is>
      </c>
      <c r="D3323" s="10" t="inlineStr">
        <is>
          <t>Espeçador junta piso 3mm</t>
        </is>
      </c>
      <c r="E3323" s="11">
        <f t="array" ref="E3323">_xlfn.XLOOKUP(D3323,Insumos!B:B,Insumos!C:$C)</f>
        <v/>
      </c>
      <c r="F3323" s="14" t="n">
        <v>1</v>
      </c>
      <c r="G3323" s="92">
        <f t="array" ref="G3323">IF(B3323="insumo",_xlfn.XLOOKUP($D3323,Insumos!$B$1:$B$996,Insumos!$D$1:$D$996),"")</f>
        <v/>
      </c>
      <c r="H3323" s="92" t="n">
        <v>0.05</v>
      </c>
      <c r="I3323" s="2162" t="n">
        <v>0</v>
      </c>
      <c r="J3323" s="2162" t="n">
        <v>0</v>
      </c>
      <c r="K3323" s="2162" t="n"/>
    </row>
    <row r="3324" outlineLevel="3" ht="15.75" customHeight="1">
      <c r="A3324" s="10" t="n">
        <v>101</v>
      </c>
      <c r="B3324" s="10" t="inlineStr">
        <is>
          <t>Insumo</t>
        </is>
      </c>
      <c r="C3324" s="10" t="inlineStr">
        <is>
          <t xml:space="preserve">Revestimento de Piso, Porcelanato Botanique Melisse Mate Portobello 29X30Cm    </t>
        </is>
      </c>
      <c r="D3324" s="10" t="inlineStr">
        <is>
          <t>Rejunte Cimentício</t>
        </is>
      </c>
      <c r="E3324" s="11">
        <f t="array" ref="E3324">_xlfn.XLOOKUP(D3324,Insumos!B:B,Insumos!C:$C)</f>
        <v/>
      </c>
      <c r="F3324" s="14" t="n">
        <v>0.02</v>
      </c>
      <c r="G3324" s="92">
        <f t="array" ref="G3324">IF(B3324="insumo",_xlfn.XLOOKUP($D3324,Insumos!$B$1:$B$996,Insumos!$D$1:$D$996),"")</f>
        <v/>
      </c>
      <c r="H3324" s="92" t="n">
        <v>0.223</v>
      </c>
      <c r="I3324" s="2162" t="n">
        <v>0</v>
      </c>
      <c r="J3324" s="2162" t="n">
        <v>0</v>
      </c>
      <c r="K3324" s="2162" t="n"/>
    </row>
    <row r="3325" outlineLevel="2" ht="15.75" customHeight="1">
      <c r="A3325" s="1067" t="n">
        <v>1</v>
      </c>
      <c r="B3325" s="1067" t="inlineStr">
        <is>
          <t>Serviço</t>
        </is>
      </c>
      <c r="C3325" s="1067" t="inlineStr">
        <is>
          <t>Revestimento de Piso, Porcelanato Portobello –  90x90 - Padrão Econômico</t>
        </is>
      </c>
      <c r="D3325" s="1067" t="inlineStr">
        <is>
          <t>Revestimento de Piso, Porcelanato Portobello –  90x90 - Padrão Econômico</t>
        </is>
      </c>
      <c r="E3325" s="1068" t="inlineStr">
        <is>
          <t>M2</t>
        </is>
      </c>
      <c r="F3325" s="1067" t="n"/>
      <c r="G3325" s="1069">
        <f t="array" ref="G3325">IF(B3325="insumo",_xlfn.XLOOKUP($D3325,Insumos!$B$1:$B$996,Insumos!$D$1:$D$996),"")</f>
        <v/>
      </c>
      <c r="H3325" s="1069" t="n">
        <v>117.6276</v>
      </c>
      <c r="I3325" s="2161" t="e">
        <v>#REF!</v>
      </c>
      <c r="J3325" s="2161" t="e">
        <v>#REF!</v>
      </c>
      <c r="K3325" s="2161" t="n"/>
    </row>
    <row r="3326" outlineLevel="3" ht="15.75" customHeight="1">
      <c r="A3326" s="10" t="n">
        <v>2</v>
      </c>
      <c r="B3326" s="10" t="inlineStr">
        <is>
          <t>Insumo</t>
        </is>
      </c>
      <c r="C3326" s="10" t="inlineStr">
        <is>
          <t>Revestimento de Piso, Porcelanato Portobello –  90x90 - Padrão Econômico</t>
        </is>
      </c>
      <c r="D3326" s="10" t="inlineStr">
        <is>
          <t>Porcelanato Portobello –  90x90 - Padrão Econômico</t>
        </is>
      </c>
      <c r="E3326" s="11">
        <f t="array" ref="E3326">_xlfn.XLOOKUP(D3326,Insumos!B:B,Insumos!C:$C)</f>
        <v/>
      </c>
      <c r="F3326" s="14" t="n">
        <v>1.1</v>
      </c>
      <c r="G3326" s="92">
        <f t="array" ref="G3326">IF(B3326="insumo",_xlfn.XLOOKUP($D3326,Insumos!$B$1:$B$996,Insumos!$D$1:$D$996),"")</f>
        <v/>
      </c>
      <c r="H3326" s="92" t="n">
        <v>107.8</v>
      </c>
      <c r="I3326" s="2162" t="e">
        <v>#REF!</v>
      </c>
      <c r="J3326" s="2162" t="e">
        <v>#REF!</v>
      </c>
      <c r="K3326" s="2162" t="n"/>
    </row>
    <row r="3327" outlineLevel="3" ht="15.75" customHeight="1">
      <c r="A3327" s="10" t="n">
        <v>191</v>
      </c>
      <c r="B3327" s="10" t="inlineStr">
        <is>
          <t>Insumo</t>
        </is>
      </c>
      <c r="C3327" s="10" t="inlineStr">
        <is>
          <t>Revestimento de Piso, Porcelanato Portobello –  90x90 - Padrão Econômico</t>
        </is>
      </c>
      <c r="D3327" s="10" t="inlineStr">
        <is>
          <t>Argamassa ACIII</t>
        </is>
      </c>
      <c r="E3327" s="11">
        <f t="array" ref="E3327">_xlfn.XLOOKUP(D3327,Insumos!B:B,Insumos!C:$C)</f>
        <v/>
      </c>
      <c r="F3327" s="14" t="n">
        <v>8.800000000000001</v>
      </c>
      <c r="G3327" s="92">
        <f t="array" ref="G3327">IF(B3327="insumo",_xlfn.XLOOKUP($D3327,Insumos!$B$1:$B$996,Insumos!$D$1:$D$996),"")</f>
        <v/>
      </c>
      <c r="H3327" s="92" t="n">
        <v>9.367599999999999</v>
      </c>
      <c r="I3327" s="2162" t="e">
        <v>#REF!</v>
      </c>
      <c r="J3327" s="2162" t="e">
        <v>#REF!</v>
      </c>
      <c r="K3327" s="2162" t="n"/>
    </row>
    <row r="3328" outlineLevel="3" ht="15.75" customHeight="1">
      <c r="A3328" s="10" t="n">
        <v>142</v>
      </c>
      <c r="B3328" s="10" t="inlineStr">
        <is>
          <t>Insumo</t>
        </is>
      </c>
      <c r="C3328" s="10" t="inlineStr">
        <is>
          <t>Revestimento de Piso, Porcelanato Portobello –  90x90 - Padrão Econômico</t>
        </is>
      </c>
      <c r="D3328" s="10" t="inlineStr">
        <is>
          <t>Espeçador junta piso 2mm</t>
        </is>
      </c>
      <c r="E3328" s="11">
        <f t="array" ref="E3328">_xlfn.XLOOKUP(D3328,Insumos!B:B,Insumos!C:$C)</f>
        <v/>
      </c>
      <c r="F3328" s="14" t="n">
        <v>1</v>
      </c>
      <c r="G3328" s="92">
        <f t="array" ref="G3328">IF(B3328="insumo",_xlfn.XLOOKUP($D3328,Insumos!$B$1:$B$996,Insumos!$D$1:$D$996),"")</f>
        <v/>
      </c>
      <c r="H3328" s="92" t="n">
        <v>0.08</v>
      </c>
      <c r="I3328" s="2162" t="e">
        <v>#REF!</v>
      </c>
      <c r="J3328" s="2162" t="e">
        <v>#REF!</v>
      </c>
      <c r="K3328" s="2162" t="n"/>
    </row>
    <row r="3329" outlineLevel="3" ht="15.75" customHeight="1">
      <c r="A3329" s="10" t="n">
        <v>36</v>
      </c>
      <c r="B3329" s="10" t="inlineStr">
        <is>
          <t>Insumo</t>
        </is>
      </c>
      <c r="C3329" s="82" t="inlineStr">
        <is>
          <t>Revestimento de Piso, Porcelanato Portobello –  90x90 - Padrão Econômico</t>
        </is>
      </c>
      <c r="D3329" s="82" t="inlineStr">
        <is>
          <t>Rejunte Acrilico cinza platina</t>
        </is>
      </c>
      <c r="E3329" s="11">
        <f t="array" ref="E3329">_xlfn.XLOOKUP(D3329,Insumos!B:B,Insumos!C:$C)</f>
        <v/>
      </c>
      <c r="F3329" s="14" t="n">
        <v>0.01</v>
      </c>
      <c r="G3329" s="92">
        <f t="array" ref="G3329">IF(B3329="insumo",_xlfn.XLOOKUP($D3329,Insumos!$B$1:$B$996,Insumos!$D$1:$D$996),"")</f>
        <v/>
      </c>
      <c r="H3329" s="92" t="n">
        <v>0.38</v>
      </c>
      <c r="I3329" s="2162" t="e">
        <v>#REF!</v>
      </c>
      <c r="J3329" s="2162" t="e">
        <v>#REF!</v>
      </c>
      <c r="K3329" s="2162" t="n"/>
    </row>
    <row r="3330" outlineLevel="2" ht="15.75" customHeight="1">
      <c r="A3330" s="1067" t="n">
        <v>1</v>
      </c>
      <c r="B3330" s="1067" t="inlineStr">
        <is>
          <t>Serviço</t>
        </is>
      </c>
      <c r="C3330" s="1067" t="inlineStr">
        <is>
          <t>Revestimento de Piso, Porcelanato Portobello – Posto 10 90x90 Externo Retificado - Linha Ipanema - Padrão Alto</t>
        </is>
      </c>
      <c r="D3330" s="1067" t="inlineStr">
        <is>
          <t>Revestimento de Piso, Porcelanato Portobello – Posto 10 90x90 Externo Retificado - Linha Ipanema - Padrão Alto</t>
        </is>
      </c>
      <c r="E3330" s="1068" t="inlineStr">
        <is>
          <t>M2</t>
        </is>
      </c>
      <c r="F3330" s="1067" t="n"/>
      <c r="G3330" s="1069">
        <f t="array" ref="G3330">IF(B3330="insumo",_xlfn.XLOOKUP($D3330,Insumos!$B$1:$B$996,Insumos!$D$1:$D$996),"")</f>
        <v/>
      </c>
      <c r="H3330" s="1069" t="n">
        <v>229.8276</v>
      </c>
      <c r="I3330" s="2161" t="e">
        <v>#REF!</v>
      </c>
      <c r="J3330" s="2161" t="e">
        <v>#REF!</v>
      </c>
      <c r="K3330" s="2161" t="n"/>
    </row>
    <row r="3331" outlineLevel="3" ht="15.75" customHeight="1">
      <c r="A3331" s="10" t="n">
        <v>2</v>
      </c>
      <c r="B3331" s="10" t="inlineStr">
        <is>
          <t>Insumo</t>
        </is>
      </c>
      <c r="C3331" s="10" t="inlineStr">
        <is>
          <t>Revestimento de Piso, Porcelanato Portobello – Posto 10 90x90 Externo Retificado - Linha Ipanema - Padrão Alto</t>
        </is>
      </c>
      <c r="D3331" s="10" t="inlineStr">
        <is>
          <t>Porcelanato Portobello – Posto 10 90x90 Externo Retificado - Linha Ipanema - Padrão Alto</t>
        </is>
      </c>
      <c r="E3331" s="11">
        <f t="array" ref="E3331">_xlfn.XLOOKUP(D3331,Insumos!B:B,Insumos!C:$C)</f>
        <v/>
      </c>
      <c r="F3331" s="14" t="n">
        <v>1.1</v>
      </c>
      <c r="G3331" s="92">
        <f t="array" ref="G3331">IF(B3331="insumo",_xlfn.XLOOKUP($D3331,Insumos!$B$1:$B$996,Insumos!$D$1:$D$996),"")</f>
        <v/>
      </c>
      <c r="H3331" s="92" t="n">
        <v>220</v>
      </c>
      <c r="I3331" s="2162" t="e">
        <v>#REF!</v>
      </c>
      <c r="J3331" s="2162" t="e">
        <v>#REF!</v>
      </c>
      <c r="K3331" s="2162" t="n"/>
    </row>
    <row r="3332" outlineLevel="3" ht="15.75" customHeight="1">
      <c r="A3332" s="10" t="n">
        <v>191</v>
      </c>
      <c r="B3332" s="10" t="inlineStr">
        <is>
          <t>Insumo</t>
        </is>
      </c>
      <c r="C3332" s="10" t="inlineStr">
        <is>
          <t>Revestimento de Piso, Porcelanato Portobello – Posto 10 90x90 Externo Retificado - Linha Ipanema - Padrão Alto</t>
        </is>
      </c>
      <c r="D3332" s="10" t="inlineStr">
        <is>
          <t>Argamassa ACIII</t>
        </is>
      </c>
      <c r="E3332" s="11">
        <f t="array" ref="E3332">_xlfn.XLOOKUP(D3332,Insumos!B:B,Insumos!C:$C)</f>
        <v/>
      </c>
      <c r="F3332" s="14" t="n">
        <v>8.800000000000001</v>
      </c>
      <c r="G3332" s="92">
        <f t="array" ref="G3332">IF(B3332="insumo",_xlfn.XLOOKUP($D3332,Insumos!$B$1:$B$996,Insumos!$D$1:$D$996),"")</f>
        <v/>
      </c>
      <c r="H3332" s="92" t="n">
        <v>9.367599999999999</v>
      </c>
      <c r="I3332" s="2162" t="e">
        <v>#REF!</v>
      </c>
      <c r="J3332" s="2162" t="e">
        <v>#REF!</v>
      </c>
      <c r="K3332" s="2162" t="n"/>
    </row>
    <row r="3333" outlineLevel="3" ht="15.75" customHeight="1">
      <c r="A3333" s="10" t="n">
        <v>142</v>
      </c>
      <c r="B3333" s="10" t="inlineStr">
        <is>
          <t>Insumo</t>
        </is>
      </c>
      <c r="C3333" s="10" t="inlineStr">
        <is>
          <t>Revestimento de Piso, Porcelanato Portobello – Posto 10 90x90 Externo Retificado - Linha Ipanema - Padrão Alto</t>
        </is>
      </c>
      <c r="D3333" s="10" t="inlineStr">
        <is>
          <t>Espeçador junta piso 2mm</t>
        </is>
      </c>
      <c r="E3333" s="11">
        <f t="array" ref="E3333">_xlfn.XLOOKUP(D3333,Insumos!B:B,Insumos!C:$C)</f>
        <v/>
      </c>
      <c r="F3333" s="14" t="n">
        <v>1</v>
      </c>
      <c r="G3333" s="92">
        <f t="array" ref="G3333">IF(B3333="insumo",_xlfn.XLOOKUP($D3333,Insumos!$B$1:$B$996,Insumos!$D$1:$D$996),"")</f>
        <v/>
      </c>
      <c r="H3333" s="92" t="n">
        <v>0.08</v>
      </c>
      <c r="I3333" s="2162" t="e">
        <v>#REF!</v>
      </c>
      <c r="J3333" s="2162" t="e">
        <v>#REF!</v>
      </c>
      <c r="K3333" s="2162" t="n"/>
    </row>
    <row r="3334" outlineLevel="3" ht="15.75" customHeight="1">
      <c r="A3334" s="10" t="n">
        <v>36</v>
      </c>
      <c r="B3334" s="10" t="inlineStr">
        <is>
          <t>Insumo</t>
        </is>
      </c>
      <c r="C3334" s="82" t="inlineStr">
        <is>
          <t>Revestimento de Piso, Porcelanato Portobello – Posto 10 90x90 Externo Retificado - Linha Ipanema - Padrão Alto</t>
        </is>
      </c>
      <c r="D3334" s="82" t="inlineStr">
        <is>
          <t>Rejunte Acrilico cinza platina</t>
        </is>
      </c>
      <c r="E3334" s="11">
        <f t="array" ref="E3334">_xlfn.XLOOKUP(D3334,Insumos!B:B,Insumos!C:$C)</f>
        <v/>
      </c>
      <c r="F3334" s="14" t="n">
        <v>0.01</v>
      </c>
      <c r="G3334" s="92">
        <f t="array" ref="G3334">IF(B3334="insumo",_xlfn.XLOOKUP($D3334,Insumos!$B$1:$B$996,Insumos!$D$1:$D$996),"")</f>
        <v/>
      </c>
      <c r="H3334" s="92" t="n">
        <v>0.38</v>
      </c>
      <c r="I3334" s="2162" t="e">
        <v>#REF!</v>
      </c>
      <c r="J3334" s="2162" t="e">
        <v>#REF!</v>
      </c>
      <c r="K3334" s="2162" t="n"/>
    </row>
    <row r="3335" outlineLevel="2" ht="15.75" customHeight="1">
      <c r="A3335" s="1067" t="n">
        <v>1</v>
      </c>
      <c r="B3335" s="1067" t="inlineStr">
        <is>
          <t>Serviço</t>
        </is>
      </c>
      <c r="C3335" s="1067" t="inlineStr">
        <is>
          <t>Revestimento de Piso, Porcelanato Portobello –  90x90 - Padrão Alto</t>
        </is>
      </c>
      <c r="D3335" s="1067" t="inlineStr">
        <is>
          <t>Revestimento de Piso, Porcelanato Portobello –  90x90 - Padrão Alto</t>
        </is>
      </c>
      <c r="E3335" s="1068" t="inlineStr">
        <is>
          <t>M2</t>
        </is>
      </c>
      <c r="F3335" s="1067" t="n"/>
      <c r="G3335" s="1069">
        <f t="array" ref="G3335">IF(B3335="insumo",_xlfn.XLOOKUP($D3335,Insumos!$B$1:$B$996,Insumos!$D$1:$D$996),"")</f>
        <v/>
      </c>
      <c r="H3335" s="1069" t="n">
        <v>141.8276</v>
      </c>
      <c r="I3335" s="2161" t="e">
        <v>#REF!</v>
      </c>
      <c r="J3335" s="2161" t="e">
        <v>#REF!</v>
      </c>
      <c r="K3335" s="2161" t="n"/>
    </row>
    <row r="3336" outlineLevel="3" ht="15.75" customHeight="1">
      <c r="A3336" s="10" t="n">
        <v>3</v>
      </c>
      <c r="B3336" s="10" t="inlineStr">
        <is>
          <t>Insumo</t>
        </is>
      </c>
      <c r="C3336" s="10" t="inlineStr">
        <is>
          <t>Revestimento de Piso, Porcelanato Portobello –  90x90 - Padrão Alto</t>
        </is>
      </c>
      <c r="D3336" s="10" t="inlineStr">
        <is>
          <t>Porcelanato Portobello –  90x90 - Padrão Alto</t>
        </is>
      </c>
      <c r="E3336" s="11">
        <f t="array" ref="E3336">_xlfn.XLOOKUP(D3336,Insumos!B:B,Insumos!C:$C)</f>
        <v/>
      </c>
      <c r="F3336" s="14" t="n">
        <v>1.1</v>
      </c>
      <c r="G3336" s="92">
        <f t="array" ref="G3336">IF(B3336="insumo",_xlfn.XLOOKUP($D3336,Insumos!$B$1:$B$996,Insumos!$D$1:$D$996),"")</f>
        <v/>
      </c>
      <c r="H3336" s="92" t="n">
        <v>132</v>
      </c>
      <c r="I3336" s="2162" t="e">
        <v>#REF!</v>
      </c>
      <c r="J3336" s="2162" t="e">
        <v>#REF!</v>
      </c>
      <c r="K3336" s="2162" t="n"/>
    </row>
    <row r="3337" outlineLevel="3" ht="15.75" customHeight="1">
      <c r="A3337" s="10" t="n">
        <v>191</v>
      </c>
      <c r="B3337" s="10" t="inlineStr">
        <is>
          <t>Insumo</t>
        </is>
      </c>
      <c r="C3337" s="10" t="inlineStr">
        <is>
          <t>Revestimento de Piso, Porcelanato Portobello –  90x90 - Padrão Alto</t>
        </is>
      </c>
      <c r="D3337" s="10" t="inlineStr">
        <is>
          <t>Argamassa ACIII</t>
        </is>
      </c>
      <c r="E3337" s="11">
        <f t="array" ref="E3337">_xlfn.XLOOKUP(D3337,Insumos!B:B,Insumos!C:$C)</f>
        <v/>
      </c>
      <c r="F3337" s="14" t="n">
        <v>8.800000000000001</v>
      </c>
      <c r="G3337" s="92">
        <f t="array" ref="G3337">IF(B3337="insumo",_xlfn.XLOOKUP($D3337,Insumos!$B$1:$B$996,Insumos!$D$1:$D$996),"")</f>
        <v/>
      </c>
      <c r="H3337" s="92" t="n">
        <v>9.367599999999999</v>
      </c>
      <c r="I3337" s="2162" t="e">
        <v>#REF!</v>
      </c>
      <c r="J3337" s="2162" t="e">
        <v>#REF!</v>
      </c>
      <c r="K3337" s="2162" t="n"/>
    </row>
    <row r="3338" outlineLevel="3" ht="15.75" customHeight="1">
      <c r="A3338" s="10" t="n">
        <v>142</v>
      </c>
      <c r="B3338" s="10" t="inlineStr">
        <is>
          <t>Insumo</t>
        </is>
      </c>
      <c r="C3338" s="10" t="inlineStr">
        <is>
          <t>Revestimento de Piso, Porcelanato Portobello –  90x90 - Padrão Alto</t>
        </is>
      </c>
      <c r="D3338" s="10" t="inlineStr">
        <is>
          <t>Espeçador junta piso 2mm</t>
        </is>
      </c>
      <c r="E3338" s="11">
        <f t="array" ref="E3338">_xlfn.XLOOKUP(D3338,Insumos!B:B,Insumos!C:$C)</f>
        <v/>
      </c>
      <c r="F3338" s="14" t="n">
        <v>1</v>
      </c>
      <c r="G3338" s="92">
        <f t="array" ref="G3338">IF(B3338="insumo",_xlfn.XLOOKUP($D3338,Insumos!$B$1:$B$996,Insumos!$D$1:$D$996),"")</f>
        <v/>
      </c>
      <c r="H3338" s="92" t="n">
        <v>0.08</v>
      </c>
      <c r="I3338" s="2162" t="e">
        <v>#REF!</v>
      </c>
      <c r="J3338" s="2162" t="e">
        <v>#REF!</v>
      </c>
      <c r="K3338" s="2162" t="n"/>
    </row>
    <row r="3339" outlineLevel="3" ht="15.75" customHeight="1">
      <c r="A3339" s="10" t="n">
        <v>36</v>
      </c>
      <c r="B3339" s="10" t="inlineStr">
        <is>
          <t>Insumo</t>
        </is>
      </c>
      <c r="C3339" s="82" t="inlineStr">
        <is>
          <t>Revestimento de Piso, Porcelanato Portobello –  90x90 - Padrão Alto</t>
        </is>
      </c>
      <c r="D3339" s="82" t="inlineStr">
        <is>
          <t>Rejunte Acrilico cinza platina</t>
        </is>
      </c>
      <c r="E3339" s="11">
        <f t="array" ref="E3339">_xlfn.XLOOKUP(D3339,Insumos!B:B,Insumos!C:$C)</f>
        <v/>
      </c>
      <c r="F3339" s="14" t="n">
        <v>0.01</v>
      </c>
      <c r="G3339" s="92">
        <f t="array" ref="G3339">IF(B3339="insumo",_xlfn.XLOOKUP($D3339,Insumos!$B$1:$B$996,Insumos!$D$1:$D$996),"")</f>
        <v/>
      </c>
      <c r="H3339" s="92" t="n">
        <v>0.38</v>
      </c>
      <c r="I3339" s="2162" t="e">
        <v>#REF!</v>
      </c>
      <c r="J3339" s="2162" t="e">
        <v>#REF!</v>
      </c>
      <c r="K3339" s="2162" t="n"/>
    </row>
    <row r="3340" outlineLevel="2" ht="15.75" customHeight="1">
      <c r="A3340" s="1067" t="n">
        <v>1</v>
      </c>
      <c r="B3340" s="1067" t="inlineStr">
        <is>
          <t>Serviço</t>
        </is>
      </c>
      <c r="C3340" s="1067" t="inlineStr">
        <is>
          <t>Revestimento de Piso Externo de Porcelanato Polido, Placa 60x60cm</t>
        </is>
      </c>
      <c r="D3340" s="1067" t="inlineStr">
        <is>
          <t>Revestimento de Piso Externo de Porcelanato Polido, Placa 60x60cm</t>
        </is>
      </c>
      <c r="E3340" s="1068" t="inlineStr">
        <is>
          <t>M2</t>
        </is>
      </c>
      <c r="F3340" s="1067" t="n"/>
      <c r="G3340" s="1069">
        <f t="array" ref="G3340">IF(B3340="insumo",_xlfn.XLOOKUP($D3340,Insumos!$B$1:$B$996,Insumos!$D$1:$D$996),"")</f>
        <v/>
      </c>
      <c r="H3340" s="1069" t="n">
        <v>108.5606</v>
      </c>
      <c r="I3340" s="2161" t="n">
        <v>0</v>
      </c>
      <c r="J3340" s="2161" t="n">
        <v>0</v>
      </c>
      <c r="K3340" s="2161" t="n"/>
    </row>
    <row r="3341" outlineLevel="3" ht="15.75" customHeight="1">
      <c r="A3341" s="10" t="n">
        <v>2</v>
      </c>
      <c r="B3341" s="10" t="inlineStr">
        <is>
          <t>Insumo</t>
        </is>
      </c>
      <c r="C3341" s="10" t="inlineStr">
        <is>
          <t>Revestimento de Piso Externo de Porcelanato Polido, Placa 60x60cm</t>
        </is>
      </c>
      <c r="D3341" s="10" t="inlineStr">
        <is>
          <t>Porcelanato "A" 60x60 Place Polido 8058873 Eliane</t>
        </is>
      </c>
      <c r="E3341" s="11">
        <f t="array" ref="E3341">_xlfn.XLOOKUP(D3341,Insumos!B:B,Insumos!C:$C)</f>
        <v/>
      </c>
      <c r="F3341" s="14" t="n">
        <v>1.1</v>
      </c>
      <c r="G3341" s="92">
        <f t="array" ref="G3341">IF(B3341="insumo",_xlfn.XLOOKUP($D3341,Insumos!$B$1:$B$996,Insumos!$D$1:$D$996),"")</f>
        <v/>
      </c>
      <c r="H3341" s="92" t="n">
        <v>98.89</v>
      </c>
      <c r="I3341" s="2162" t="n">
        <v>0</v>
      </c>
      <c r="J3341" s="2162" t="n">
        <v>0</v>
      </c>
      <c r="K3341" s="2162" t="n"/>
    </row>
    <row r="3342" outlineLevel="3" ht="15.75" customHeight="1">
      <c r="A3342" s="10" t="n">
        <v>191</v>
      </c>
      <c r="B3342" s="10" t="inlineStr">
        <is>
          <t>Insumo</t>
        </is>
      </c>
      <c r="C3342" s="10" t="inlineStr">
        <is>
          <t>Revestimento de Piso Externo de Porcelanato Polido, Placa 60x60cm</t>
        </is>
      </c>
      <c r="D3342" s="10" t="inlineStr">
        <is>
          <t>Argamassa ACIII</t>
        </is>
      </c>
      <c r="E3342" s="11">
        <f t="array" ref="E3342">_xlfn.XLOOKUP(D3342,Insumos!B:B,Insumos!C:$C)</f>
        <v/>
      </c>
      <c r="F3342" s="14" t="n">
        <v>8.800000000000001</v>
      </c>
      <c r="G3342" s="92">
        <f t="array" ref="G3342">IF(B3342="insumo",_xlfn.XLOOKUP($D3342,Insumos!$B$1:$B$996,Insumos!$D$1:$D$996),"")</f>
        <v/>
      </c>
      <c r="H3342" s="92" t="n">
        <v>9.367599999999999</v>
      </c>
      <c r="I3342" s="2162" t="n">
        <v>0</v>
      </c>
      <c r="J3342" s="2162" t="n">
        <v>0</v>
      </c>
      <c r="K3342" s="2162" t="n"/>
    </row>
    <row r="3343" outlineLevel="3" ht="15.75" customHeight="1">
      <c r="A3343" s="10" t="n">
        <v>142</v>
      </c>
      <c r="B3343" s="10" t="inlineStr">
        <is>
          <t>Insumo</t>
        </is>
      </c>
      <c r="C3343" s="10" t="inlineStr">
        <is>
          <t>Revestimento de Piso Externo de Porcelanato Polido, Placa 60x60cm</t>
        </is>
      </c>
      <c r="D3343" s="10" t="inlineStr">
        <is>
          <t>Espeçador junta piso 2mm</t>
        </is>
      </c>
      <c r="E3343" s="11">
        <f t="array" ref="E3343">_xlfn.XLOOKUP(D3343,Insumos!B:B,Insumos!C:$C)</f>
        <v/>
      </c>
      <c r="F3343" s="14" t="n">
        <v>1</v>
      </c>
      <c r="G3343" s="92">
        <f t="array" ref="G3343">IF(B3343="insumo",_xlfn.XLOOKUP($D3343,Insumos!$B$1:$B$996,Insumos!$D$1:$D$996),"")</f>
        <v/>
      </c>
      <c r="H3343" s="92" t="n">
        <v>0.08</v>
      </c>
      <c r="I3343" s="2162" t="n">
        <v>0</v>
      </c>
      <c r="J3343" s="2162" t="n">
        <v>0</v>
      </c>
      <c r="K3343" s="2162" t="n"/>
    </row>
    <row r="3344" outlineLevel="3" ht="15.75" customHeight="1">
      <c r="A3344" s="10" t="n">
        <v>101</v>
      </c>
      <c r="B3344" s="10" t="inlineStr">
        <is>
          <t>Insumo</t>
        </is>
      </c>
      <c r="C3344" s="10" t="inlineStr">
        <is>
          <t>Revestimento de Piso Externo de Porcelanato Polido, Placa 60x60cm</t>
        </is>
      </c>
      <c r="D3344" s="10" t="inlineStr">
        <is>
          <t>Rejunte Cimentício</t>
        </is>
      </c>
      <c r="E3344" s="11">
        <f t="array" ref="E3344">_xlfn.XLOOKUP(D3344,Insumos!B:B,Insumos!C:$C)</f>
        <v/>
      </c>
      <c r="F3344" s="14" t="n">
        <v>0.02</v>
      </c>
      <c r="G3344" s="92">
        <f t="array" ref="G3344">IF(B3344="insumo",_xlfn.XLOOKUP($D3344,Insumos!$B$1:$B$996,Insumos!$D$1:$D$996),"")</f>
        <v/>
      </c>
      <c r="H3344" s="92" t="n">
        <v>0.223</v>
      </c>
      <c r="I3344" s="2162" t="n">
        <v>0</v>
      </c>
      <c r="J3344" s="2162" t="n">
        <v>0</v>
      </c>
      <c r="K3344" s="2162" t="n"/>
    </row>
    <row r="3345" outlineLevel="2" ht="15.75" customHeight="1">
      <c r="A3345" s="1067" t="n">
        <v>1</v>
      </c>
      <c r="B3345" s="1067" t="inlineStr">
        <is>
          <t>Serviço</t>
        </is>
      </c>
      <c r="C3345" s="1067" t="inlineStr">
        <is>
          <t>Revestimento em Piso,  Porcelanato Pp Pro Nude Gp 60X60Cm Retificado</t>
        </is>
      </c>
      <c r="D3345" s="1067" t="inlineStr">
        <is>
          <t>Revestimento em Piso,  Porcelanato Pp Pro Nude Gp 60X60Cm Retificado</t>
        </is>
      </c>
      <c r="E3345" s="1068" t="inlineStr">
        <is>
          <t>M2</t>
        </is>
      </c>
      <c r="F3345" s="1067" t="n"/>
      <c r="G3345" s="1069">
        <f t="array" ref="G3345">IF(B3345="insumo",_xlfn.XLOOKUP($D3345,Insumos!$B$1:$B$996,Insumos!$D$1:$D$996),"")</f>
        <v/>
      </c>
      <c r="H3345" s="1069" t="n">
        <v>57.8051</v>
      </c>
      <c r="I3345" s="2161" t="n">
        <v>0</v>
      </c>
      <c r="J3345" s="2161" t="n">
        <v>0</v>
      </c>
      <c r="K3345" s="2161" t="n"/>
    </row>
    <row r="3346" outlineLevel="3" ht="15.75" customHeight="1">
      <c r="A3346" s="10" t="n">
        <v>3</v>
      </c>
      <c r="B3346" s="10" t="inlineStr">
        <is>
          <t>Insumo</t>
        </is>
      </c>
      <c r="C3346" s="10" t="inlineStr">
        <is>
          <t>Revestimento em Piso,  Porcelanato Pp Pro Nude Gp 60X60Cm Retificado</t>
        </is>
      </c>
      <c r="D3346" s="10" t="inlineStr">
        <is>
          <t>Porcelanato Pp Pro Nude Gp 60X60Cm Retificado</t>
        </is>
      </c>
      <c r="E3346" s="11">
        <f t="array" ref="E3346">_xlfn.XLOOKUP(D3346,Insumos!B:B,Insumos!C:$C)</f>
        <v/>
      </c>
      <c r="F3346" s="14" t="n">
        <v>1.1</v>
      </c>
      <c r="G3346" s="92">
        <f t="array" ref="G3346">IF(B3346="insumo",_xlfn.XLOOKUP($D3346,Insumos!$B$1:$B$996,Insumos!$D$1:$D$996),"")</f>
        <v/>
      </c>
      <c r="H3346" s="92" t="n">
        <v>48.246</v>
      </c>
      <c r="I3346" s="2162" t="n">
        <v>0</v>
      </c>
      <c r="J3346" s="2162" t="n">
        <v>0</v>
      </c>
      <c r="K3346" s="2162" t="n"/>
    </row>
    <row r="3347" outlineLevel="3" ht="15.75" customHeight="1">
      <c r="A3347" s="10" t="n">
        <v>191</v>
      </c>
      <c r="B3347" s="10" t="inlineStr">
        <is>
          <t>Insumo</t>
        </is>
      </c>
      <c r="C3347" s="10" t="inlineStr">
        <is>
          <t>Revestimento em Piso,  Porcelanato Pp Pro Nude Gp 60X60Cm Retificado</t>
        </is>
      </c>
      <c r="D3347" s="10" t="inlineStr">
        <is>
          <t>Argamassa ACIII</t>
        </is>
      </c>
      <c r="E3347" s="11">
        <f t="array" ref="E3347">_xlfn.XLOOKUP(D3347,Insumos!B:B,Insumos!C:$C)</f>
        <v/>
      </c>
      <c r="F3347" s="14" t="n">
        <v>8.800000000000001</v>
      </c>
      <c r="G3347" s="92">
        <f t="array" ref="G3347">IF(B3347="insumo",_xlfn.XLOOKUP($D3347,Insumos!$B$1:$B$996,Insumos!$D$1:$D$996),"")</f>
        <v/>
      </c>
      <c r="H3347" s="92" t="n">
        <v>9.367599999999999</v>
      </c>
      <c r="I3347" s="2162" t="n">
        <v>0</v>
      </c>
      <c r="J3347" s="2162" t="n">
        <v>0</v>
      </c>
      <c r="K3347" s="2162" t="n"/>
    </row>
    <row r="3348" outlineLevel="3" ht="15.75" customHeight="1">
      <c r="A3348" s="10" t="n">
        <v>142</v>
      </c>
      <c r="B3348" s="10" t="inlineStr">
        <is>
          <t>Insumo</t>
        </is>
      </c>
      <c r="C3348" s="10" t="inlineStr">
        <is>
          <t>Revestimento em Piso,  Porcelanato Pp Pro Nude Gp 60X60Cm Retificado</t>
        </is>
      </c>
      <c r="D3348" s="10" t="inlineStr">
        <is>
          <t>Espeçador junta piso 2mm</t>
        </is>
      </c>
      <c r="E3348" s="11">
        <f t="array" ref="E3348">_xlfn.XLOOKUP(D3348,Insumos!B:B,Insumos!C:$C)</f>
        <v/>
      </c>
      <c r="F3348" s="14" t="n">
        <v>1</v>
      </c>
      <c r="G3348" s="92">
        <f t="array" ref="G3348">IF(B3348="insumo",_xlfn.XLOOKUP($D3348,Insumos!$B$1:$B$996,Insumos!$D$1:$D$996),"")</f>
        <v/>
      </c>
      <c r="H3348" s="92" t="n">
        <v>0.08</v>
      </c>
      <c r="I3348" s="2162" t="n">
        <v>0</v>
      </c>
      <c r="J3348" s="2162" t="n">
        <v>0</v>
      </c>
      <c r="K3348" s="2162" t="n"/>
    </row>
    <row r="3349" outlineLevel="3" ht="15.75" customHeight="1">
      <c r="A3349" s="10" t="n">
        <v>101</v>
      </c>
      <c r="B3349" s="10" t="inlineStr">
        <is>
          <t>Insumo</t>
        </is>
      </c>
      <c r="C3349" s="10" t="inlineStr">
        <is>
          <t>Revestimento em Piso,  Porcelanato Pp Pro Nude Gp 60X60Cm Retificado</t>
        </is>
      </c>
      <c r="D3349" s="10" t="inlineStr">
        <is>
          <t>Rejunte Cimentício</t>
        </is>
      </c>
      <c r="E3349" s="11">
        <f t="array" ref="E3349">_xlfn.XLOOKUP(D3349,Insumos!B:B,Insumos!C:$C)</f>
        <v/>
      </c>
      <c r="F3349" s="14" t="n">
        <v>0.01</v>
      </c>
      <c r="G3349" s="92">
        <f t="array" ref="G3349">IF(B3349="insumo",_xlfn.XLOOKUP($D3349,Insumos!$B$1:$B$996,Insumos!$D$1:$D$996),"")</f>
        <v/>
      </c>
      <c r="H3349" s="92" t="n">
        <v>0.1115</v>
      </c>
      <c r="I3349" s="2162" t="n">
        <v>0</v>
      </c>
      <c r="J3349" s="2162" t="n">
        <v>0</v>
      </c>
      <c r="K3349" s="2162" t="n"/>
    </row>
    <row r="3350" outlineLevel="2" ht="15.75" customHeight="1">
      <c r="A3350" s="1067" t="n">
        <v>1</v>
      </c>
      <c r="B3350" s="1067" t="inlineStr">
        <is>
          <t>Serviço</t>
        </is>
      </c>
      <c r="C3350" s="1067" t="inlineStr">
        <is>
          <t>Revestimento de Piso Porcelanato Polido, Placa 60x60cm</t>
        </is>
      </c>
      <c r="D3350" s="1067" t="inlineStr">
        <is>
          <t>Revestimento de Piso Porcelanato Polido, Placa 60x60cm</t>
        </is>
      </c>
      <c r="E3350" s="1068" t="inlineStr">
        <is>
          <t>M2</t>
        </is>
      </c>
      <c r="F3350" s="1067" t="n"/>
      <c r="G3350" s="1069">
        <f t="array" ref="G3350">IF(B3350="insumo",_xlfn.XLOOKUP($D3350,Insumos!$B$1:$B$996,Insumos!$D$1:$D$996),"")</f>
        <v/>
      </c>
      <c r="H3350" s="1069" t="n">
        <v>108.5606</v>
      </c>
      <c r="I3350" s="2161" t="n">
        <v>0</v>
      </c>
      <c r="J3350" s="2161" t="n">
        <v>0</v>
      </c>
      <c r="K3350" s="2161" t="n"/>
    </row>
    <row r="3351" outlineLevel="3" ht="15.75" customHeight="1">
      <c r="A3351" s="10" t="n">
        <v>2</v>
      </c>
      <c r="B3351" s="10" t="inlineStr">
        <is>
          <t>Insumo</t>
        </is>
      </c>
      <c r="C3351" s="10" t="inlineStr">
        <is>
          <t>Revestimento de Piso Porcelanato Polido, Placa 60x60cm</t>
        </is>
      </c>
      <c r="D3351" s="10" t="inlineStr">
        <is>
          <t>Porcelanato "A" 60x60 Place Polido 8058873 Eliane</t>
        </is>
      </c>
      <c r="E3351" s="11">
        <f t="array" ref="E3351">_xlfn.XLOOKUP(D3351,Insumos!B:B,Insumos!C:$C)</f>
        <v/>
      </c>
      <c r="F3351" s="14" t="n">
        <v>1.1</v>
      </c>
      <c r="G3351" s="92">
        <f t="array" ref="G3351">IF(B3351="insumo",_xlfn.XLOOKUP($D3351,Insumos!$B$1:$B$996,Insumos!$D$1:$D$996),"")</f>
        <v/>
      </c>
      <c r="H3351" s="92" t="n">
        <v>98.89</v>
      </c>
      <c r="I3351" s="2162" t="n">
        <v>0</v>
      </c>
      <c r="J3351" s="2162" t="n">
        <v>0</v>
      </c>
      <c r="K3351" s="2162" t="n"/>
    </row>
    <row r="3352" outlineLevel="3" ht="15.75" customHeight="1">
      <c r="A3352" s="10" t="n">
        <v>191</v>
      </c>
      <c r="B3352" s="10" t="inlineStr">
        <is>
          <t>Insumo</t>
        </is>
      </c>
      <c r="C3352" s="10" t="inlineStr">
        <is>
          <t>Revestimento de Piso Porcelanato Polido, Placa 60x60cm</t>
        </is>
      </c>
      <c r="D3352" s="10" t="inlineStr">
        <is>
          <t>Argamassa ACIII</t>
        </is>
      </c>
      <c r="E3352" s="11">
        <f t="array" ref="E3352">_xlfn.XLOOKUP(D3352,Insumos!B:B,Insumos!C:$C)</f>
        <v/>
      </c>
      <c r="F3352" s="14" t="n">
        <v>8.800000000000001</v>
      </c>
      <c r="G3352" s="92">
        <f t="array" ref="G3352">IF(B3352="insumo",_xlfn.XLOOKUP($D3352,Insumos!$B$1:$B$996,Insumos!$D$1:$D$996),"")</f>
        <v/>
      </c>
      <c r="H3352" s="92" t="n">
        <v>9.367599999999999</v>
      </c>
      <c r="I3352" s="2162" t="n">
        <v>0</v>
      </c>
      <c r="J3352" s="2162" t="n">
        <v>0</v>
      </c>
      <c r="K3352" s="2162" t="n"/>
    </row>
    <row r="3353" outlineLevel="3" ht="15.75" customHeight="1">
      <c r="A3353" s="10" t="n">
        <v>142</v>
      </c>
      <c r="B3353" s="10" t="inlineStr">
        <is>
          <t>Insumo</t>
        </is>
      </c>
      <c r="C3353" s="10" t="inlineStr">
        <is>
          <t>Revestimento de Piso Porcelanato Polido, Placa 60x60cm</t>
        </is>
      </c>
      <c r="D3353" s="10" t="inlineStr">
        <is>
          <t>Espeçador junta piso 2mm</t>
        </is>
      </c>
      <c r="E3353" s="11">
        <f t="array" ref="E3353">_xlfn.XLOOKUP(D3353,Insumos!B:B,Insumos!C:$C)</f>
        <v/>
      </c>
      <c r="F3353" s="14" t="n">
        <v>1</v>
      </c>
      <c r="G3353" s="92">
        <f t="array" ref="G3353">IF(B3353="insumo",_xlfn.XLOOKUP($D3353,Insumos!$B$1:$B$996,Insumos!$D$1:$D$996),"")</f>
        <v/>
      </c>
      <c r="H3353" s="92" t="n">
        <v>0.08</v>
      </c>
      <c r="I3353" s="2162" t="n">
        <v>0</v>
      </c>
      <c r="J3353" s="2162" t="n">
        <v>0</v>
      </c>
      <c r="K3353" s="2162" t="n"/>
    </row>
    <row r="3354" outlineLevel="3" ht="15.75" customHeight="1">
      <c r="A3354" s="10" t="n">
        <v>101</v>
      </c>
      <c r="B3354" s="10" t="inlineStr">
        <is>
          <t>Insumo</t>
        </is>
      </c>
      <c r="C3354" s="10" t="inlineStr">
        <is>
          <t>Revestimento de Piso Porcelanato Polido, Placa 60x60cm</t>
        </is>
      </c>
      <c r="D3354" s="10" t="inlineStr">
        <is>
          <t>Rejunte Cimentício</t>
        </is>
      </c>
      <c r="E3354" s="11">
        <f t="array" ref="E3354">_xlfn.XLOOKUP(D3354,Insumos!B:B,Insumos!C:$C)</f>
        <v/>
      </c>
      <c r="F3354" s="14" t="n">
        <v>0.02</v>
      </c>
      <c r="G3354" s="92">
        <f t="array" ref="G3354">IF(B3354="insumo",_xlfn.XLOOKUP($D3354,Insumos!$B$1:$B$996,Insumos!$D$1:$D$996),"")</f>
        <v/>
      </c>
      <c r="H3354" s="92" t="n">
        <v>0.223</v>
      </c>
      <c r="I3354" s="2162" t="n">
        <v>0</v>
      </c>
      <c r="J3354" s="2162" t="n">
        <v>0</v>
      </c>
      <c r="K3354" s="2162" t="n"/>
    </row>
    <row r="3355" outlineLevel="2" ht="15.75" customHeight="1">
      <c r="A3355" s="1067" t="n">
        <v>1</v>
      </c>
      <c r="B3355" s="1067" t="inlineStr">
        <is>
          <t>Serviço</t>
        </is>
      </c>
      <c r="C3355" s="1067" t="inlineStr">
        <is>
          <t>Revestimento de Piso Porcelanato Acetinado, Placa 60x60cm</t>
        </is>
      </c>
      <c r="D3355" s="1067" t="inlineStr">
        <is>
          <t>Revestimento de Piso Porcelanato Acetinado, Placa 60x60cm</t>
        </is>
      </c>
      <c r="E3355" s="1068" t="inlineStr">
        <is>
          <t>M2</t>
        </is>
      </c>
      <c r="F3355" s="1067" t="n"/>
      <c r="G3355" s="1069">
        <f t="array" ref="G3355">IF(B3355="insumo",_xlfn.XLOOKUP($D3355,Insumos!$B$1:$B$996,Insumos!$D$1:$D$996),"")</f>
        <v/>
      </c>
      <c r="H3355" s="1069" t="n">
        <v>93.0506</v>
      </c>
      <c r="I3355" s="2161" t="n">
        <v>0</v>
      </c>
      <c r="J3355" s="2161" t="n">
        <v>0</v>
      </c>
      <c r="K3355" s="2161" t="n"/>
    </row>
    <row r="3356" outlineLevel="3" ht="15.75" customHeight="1">
      <c r="A3356" s="10" t="n">
        <v>2</v>
      </c>
      <c r="B3356" s="10" t="inlineStr">
        <is>
          <t>Insumo</t>
        </is>
      </c>
      <c r="C3356" s="10" t="inlineStr">
        <is>
          <t>Revestimento de Piso Porcelanato Acetinado, Placa 60x60cm</t>
        </is>
      </c>
      <c r="D3356" s="10" t="inlineStr">
        <is>
          <t xml:space="preserve">Porcelanato A 90x90cm acetinado </t>
        </is>
      </c>
      <c r="E3356" s="11">
        <f t="array" ref="E3356">_xlfn.XLOOKUP(D3356,Insumos!B:B,Insumos!C:$C)</f>
        <v/>
      </c>
      <c r="F3356" s="14" t="n">
        <v>1.1</v>
      </c>
      <c r="G3356" s="92">
        <f t="array" ref="G3356">IF(B3356="insumo",_xlfn.XLOOKUP($D3356,Insumos!$B$1:$B$996,Insumos!$D$1:$D$996),"")</f>
        <v/>
      </c>
      <c r="H3356" s="92" t="n">
        <v>83.38</v>
      </c>
      <c r="I3356" s="2162" t="n">
        <v>0</v>
      </c>
      <c r="J3356" s="2162" t="n">
        <v>0</v>
      </c>
      <c r="K3356" s="2162" t="n"/>
    </row>
    <row r="3357" outlineLevel="3" ht="15.75" customHeight="1">
      <c r="A3357" s="10" t="n">
        <v>191</v>
      </c>
      <c r="B3357" s="10" t="inlineStr">
        <is>
          <t>Insumo</t>
        </is>
      </c>
      <c r="C3357" s="10" t="inlineStr">
        <is>
          <t>Revestimento de Piso Porcelanato Acetinado, Placa 60x60cm</t>
        </is>
      </c>
      <c r="D3357" s="10" t="inlineStr">
        <is>
          <t>Argamassa ACIII</t>
        </is>
      </c>
      <c r="E3357" s="11">
        <f t="array" ref="E3357">_xlfn.XLOOKUP(D3357,Insumos!B:B,Insumos!C:$C)</f>
        <v/>
      </c>
      <c r="F3357" s="14" t="n">
        <v>8.800000000000001</v>
      </c>
      <c r="G3357" s="92">
        <f t="array" ref="G3357">IF(B3357="insumo",_xlfn.XLOOKUP($D3357,Insumos!$B$1:$B$996,Insumos!$D$1:$D$996),"")</f>
        <v/>
      </c>
      <c r="H3357" s="92" t="n">
        <v>9.367599999999999</v>
      </c>
      <c r="I3357" s="2162" t="n">
        <v>0</v>
      </c>
      <c r="J3357" s="2162" t="n">
        <v>0</v>
      </c>
      <c r="K3357" s="2162" t="n"/>
    </row>
    <row r="3358" outlineLevel="3" ht="15.75" customHeight="1">
      <c r="A3358" s="10" t="n">
        <v>142</v>
      </c>
      <c r="B3358" s="10" t="inlineStr">
        <is>
          <t>Insumo</t>
        </is>
      </c>
      <c r="C3358" s="10" t="inlineStr">
        <is>
          <t>Revestimento de Piso Porcelanato Acetinado, Placa 60x60cm</t>
        </is>
      </c>
      <c r="D3358" s="10" t="inlineStr">
        <is>
          <t>Espeçador junta piso 2mm</t>
        </is>
      </c>
      <c r="E3358" s="11">
        <f t="array" ref="E3358">_xlfn.XLOOKUP(D3358,Insumos!B:B,Insumos!C:$C)</f>
        <v/>
      </c>
      <c r="F3358" s="14" t="n">
        <v>1</v>
      </c>
      <c r="G3358" s="92">
        <f t="array" ref="G3358">IF(B3358="insumo",_xlfn.XLOOKUP($D3358,Insumos!$B$1:$B$996,Insumos!$D$1:$D$996),"")</f>
        <v/>
      </c>
      <c r="H3358" s="92" t="n">
        <v>0.08</v>
      </c>
      <c r="I3358" s="2162" t="n">
        <v>0</v>
      </c>
      <c r="J3358" s="2162" t="n">
        <v>0</v>
      </c>
      <c r="K3358" s="2162" t="n"/>
    </row>
    <row r="3359" outlineLevel="3" ht="15.75" customHeight="1">
      <c r="A3359" s="10" t="n">
        <v>101</v>
      </c>
      <c r="B3359" s="10" t="inlineStr">
        <is>
          <t>Insumo</t>
        </is>
      </c>
      <c r="C3359" s="10" t="inlineStr">
        <is>
          <t>Revestimento de Piso Porcelanato Acetinado, Placa 60x60cm</t>
        </is>
      </c>
      <c r="D3359" s="10" t="inlineStr">
        <is>
          <t>Rejunte Cimentício</t>
        </is>
      </c>
      <c r="E3359" s="11">
        <f t="array" ref="E3359">_xlfn.XLOOKUP(D3359,Insumos!B:B,Insumos!C:$C)</f>
        <v/>
      </c>
      <c r="F3359" s="14" t="n">
        <v>0.02</v>
      </c>
      <c r="G3359" s="92">
        <f t="array" ref="G3359">IF(B3359="insumo",_xlfn.XLOOKUP($D3359,Insumos!$B$1:$B$996,Insumos!$D$1:$D$996),"")</f>
        <v/>
      </c>
      <c r="H3359" s="92" t="n">
        <v>0.223</v>
      </c>
      <c r="I3359" s="2162" t="n">
        <v>0</v>
      </c>
      <c r="J3359" s="2162" t="n">
        <v>0</v>
      </c>
      <c r="K3359" s="2162" t="n"/>
    </row>
    <row r="3360" outlineLevel="2" ht="15.75" customHeight="1">
      <c r="A3360" s="1067" t="n">
        <v>1</v>
      </c>
      <c r="B3360" s="1067" t="inlineStr">
        <is>
          <t>Serviço</t>
        </is>
      </c>
      <c r="C3360" s="1067" t="inlineStr">
        <is>
          <t>Revestimento em Porcelanato Piso Externo, 60x 60cm com Junta de 3mm</t>
        </is>
      </c>
      <c r="D3360" s="1067" t="inlineStr">
        <is>
          <t>Revestimento em Porcelanato Piso Externo, 60x 60cm com Junta de 3mm</t>
        </is>
      </c>
      <c r="E3360" s="1068" t="inlineStr">
        <is>
          <t>M2</t>
        </is>
      </c>
      <c r="F3360" s="1067" t="n"/>
      <c r="G3360" s="1069">
        <f t="array" ref="G3360">IF(B3360="insumo",_xlfn.XLOOKUP($D3360,Insumos!$B$1:$B$996,Insumos!$D$1:$D$996),"")</f>
        <v/>
      </c>
      <c r="H3360" s="1069" t="n">
        <v>133.175</v>
      </c>
      <c r="I3360" s="2161" t="n">
        <v>0</v>
      </c>
      <c r="J3360" s="2161" t="n">
        <v>0</v>
      </c>
      <c r="K3360" s="2161" t="n"/>
    </row>
    <row r="3361" outlineLevel="3" ht="15.75" customHeight="1">
      <c r="A3361" s="10" t="n">
        <v>1</v>
      </c>
      <c r="B3361" s="10" t="inlineStr">
        <is>
          <t>Insumo</t>
        </is>
      </c>
      <c r="C3361" s="10" t="inlineStr">
        <is>
          <t>Revestimento em Porcelanato Piso Externo, 60x 60cm com Junta de 3mm</t>
        </is>
      </c>
      <c r="D3361" s="10" t="inlineStr">
        <is>
          <t>Porcelanato Arena Cinza Bold Externo 60x60 Eliane</t>
        </is>
      </c>
      <c r="E3361" s="11">
        <f t="array" ref="E3361">_xlfn.XLOOKUP(D3361,Insumos!B:B,Insumos!C:$C)</f>
        <v/>
      </c>
      <c r="F3361" s="14" t="n">
        <v>1.1</v>
      </c>
      <c r="G3361" s="92">
        <f t="array" ref="G3361">IF(B3361="insumo",_xlfn.XLOOKUP($D3361,Insumos!$B$1:$B$996,Insumos!$D$1:$D$996),"")</f>
        <v/>
      </c>
      <c r="H3361" s="92" t="n">
        <v>124.542</v>
      </c>
      <c r="I3361" s="2162" t="n">
        <v>0</v>
      </c>
      <c r="J3361" s="2162" t="n">
        <v>0</v>
      </c>
      <c r="K3361" s="2162" t="n"/>
    </row>
    <row r="3362" outlineLevel="3" ht="15.75" customHeight="1">
      <c r="A3362" s="10" t="n">
        <v>16</v>
      </c>
      <c r="B3362" s="10" t="inlineStr">
        <is>
          <t>Insumo</t>
        </is>
      </c>
      <c r="C3362" s="10" t="inlineStr">
        <is>
          <t>Revestimento em Porcelanato Piso Externo, 60x 60cm com Junta de 3mm</t>
        </is>
      </c>
      <c r="D3362" s="10" t="inlineStr">
        <is>
          <t>Argamassa ACII</t>
        </is>
      </c>
      <c r="E3362" s="11">
        <f t="array" ref="E3362">_xlfn.XLOOKUP(D3362,Insumos!B:B,Insumos!C:$C)</f>
        <v/>
      </c>
      <c r="F3362" s="14" t="n">
        <v>8.800000000000001</v>
      </c>
      <c r="G3362" s="92">
        <f t="array" ref="G3362">IF(B3362="insumo",_xlfn.XLOOKUP($D3362,Insumos!$B$1:$B$996,Insumos!$D$1:$D$996),"")</f>
        <v/>
      </c>
      <c r="H3362" s="92" t="n">
        <v>8.359999999999999</v>
      </c>
      <c r="I3362" s="2162" t="n">
        <v>0</v>
      </c>
      <c r="J3362" s="2162" t="n">
        <v>0</v>
      </c>
      <c r="K3362" s="2162" t="n"/>
    </row>
    <row r="3363" outlineLevel="3" ht="15.75" customHeight="1">
      <c r="A3363" s="10" t="n">
        <v>17</v>
      </c>
      <c r="B3363" s="10" t="inlineStr">
        <is>
          <t>Insumo</t>
        </is>
      </c>
      <c r="C3363" s="10" t="inlineStr">
        <is>
          <t>Revestimento em Porcelanato Piso Externo, 60x 60cm com Junta de 3mm</t>
        </is>
      </c>
      <c r="D3363" s="10" t="inlineStr">
        <is>
          <t>Espeçador junta piso 3mm</t>
        </is>
      </c>
      <c r="E3363" s="11">
        <f t="array" ref="E3363">_xlfn.XLOOKUP(D3363,Insumos!B:B,Insumos!C:$C)</f>
        <v/>
      </c>
      <c r="F3363" s="14" t="n">
        <v>1</v>
      </c>
      <c r="G3363" s="92">
        <f t="array" ref="G3363">IF(B3363="insumo",_xlfn.XLOOKUP($D3363,Insumos!$B$1:$B$996,Insumos!$D$1:$D$996),"")</f>
        <v/>
      </c>
      <c r="H3363" s="92" t="n">
        <v>0.05</v>
      </c>
      <c r="I3363" s="2162" t="n">
        <v>0</v>
      </c>
      <c r="J3363" s="2162" t="n">
        <v>0</v>
      </c>
      <c r="K3363" s="2162" t="n"/>
    </row>
    <row r="3364" outlineLevel="3" ht="15.75" customHeight="1">
      <c r="A3364" s="10" t="n">
        <v>101</v>
      </c>
      <c r="B3364" s="10" t="inlineStr">
        <is>
          <t>Insumo</t>
        </is>
      </c>
      <c r="C3364" s="10" t="inlineStr">
        <is>
          <t>Revestimento em Porcelanato Piso Externo, 60x 60cm com Junta de 3mm</t>
        </is>
      </c>
      <c r="D3364" s="10" t="inlineStr">
        <is>
          <t>Rejunte Cimentício</t>
        </is>
      </c>
      <c r="E3364" s="11">
        <f t="array" ref="E3364">_xlfn.XLOOKUP(D3364,Insumos!B:B,Insumos!C:$C)</f>
        <v/>
      </c>
      <c r="F3364" s="14" t="n">
        <v>0.02</v>
      </c>
      <c r="G3364" s="92">
        <f t="array" ref="G3364">IF(B3364="insumo",_xlfn.XLOOKUP($D3364,Insumos!$B$1:$B$996,Insumos!$D$1:$D$996),"")</f>
        <v/>
      </c>
      <c r="H3364" s="92" t="n">
        <v>0.223</v>
      </c>
      <c r="I3364" s="2162" t="n">
        <v>0</v>
      </c>
      <c r="J3364" s="2162" t="n">
        <v>0</v>
      </c>
      <c r="K3364" s="2162" t="n"/>
    </row>
    <row r="3365" outlineLevel="2" ht="15.75" customHeight="1">
      <c r="A3365" s="1067" t="n">
        <v>1</v>
      </c>
      <c r="B3365" s="1067" t="inlineStr">
        <is>
          <t>Serviço</t>
        </is>
      </c>
      <c r="C3365" s="1067" t="inlineStr">
        <is>
          <t>Revestimento em Porcelanato Piso Interno,ELIANE 60X60 BOLD ACETINADO BLEND PLUS GREY, com Junta de 3mm</t>
        </is>
      </c>
      <c r="D3365" s="1067" t="inlineStr">
        <is>
          <t>Revestimento em Porcelanato Piso Interno,ELIANE 60X60 BOLD ACETINADO BLEND PLUS GREY, com Junta de 3mm</t>
        </is>
      </c>
      <c r="E3365" s="1068" t="inlineStr">
        <is>
          <t>M2</t>
        </is>
      </c>
      <c r="F3365" s="1067" t="n"/>
      <c r="G3365" s="1069">
        <f t="array" ref="G3365">IF(B3365="insumo",_xlfn.XLOOKUP($D3365,Insumos!$B$1:$B$996,Insumos!$D$1:$D$996),"")</f>
        <v/>
      </c>
      <c r="H3365" s="1069" t="n">
        <v>127.323</v>
      </c>
      <c r="I3365" s="2161" t="n">
        <v>0</v>
      </c>
      <c r="J3365" s="2161" t="n">
        <v>0</v>
      </c>
      <c r="K3365" s="2161" t="n"/>
    </row>
    <row r="3366" outlineLevel="3" ht="15.75" customHeight="1">
      <c r="A3366" s="10" t="n">
        <v>2</v>
      </c>
      <c r="B3366" s="10" t="inlineStr">
        <is>
          <t>Insumo</t>
        </is>
      </c>
      <c r="C3366" s="10" t="inlineStr">
        <is>
          <t>Revestimento em Porcelanato Piso Interno,ELIANE 60X60 BOLD ACETINADO BLEND PLUS GREY, com Junta de 3mm</t>
        </is>
      </c>
      <c r="D3366" s="10" t="inlineStr">
        <is>
          <t>Porcelanato ELIANE 60X60 BOLD ACETINADO BLEND PLUS GREY</t>
        </is>
      </c>
      <c r="E3366" s="11">
        <f t="array" ref="E3366">_xlfn.XLOOKUP(D3366,Insumos!B:B,Insumos!C:$C)</f>
        <v/>
      </c>
      <c r="F3366" s="14" t="n">
        <v>1.1</v>
      </c>
      <c r="G3366" s="92">
        <f t="array" ref="G3366">IF(B3366="insumo",_xlfn.XLOOKUP($D3366,Insumos!$B$1:$B$996,Insumos!$D$1:$D$996),"")</f>
        <v/>
      </c>
      <c r="H3366" s="92" t="n">
        <v>118.69</v>
      </c>
      <c r="I3366" s="2162" t="n">
        <v>0</v>
      </c>
      <c r="J3366" s="2162" t="n">
        <v>0</v>
      </c>
      <c r="K3366" s="2162" t="n"/>
    </row>
    <row r="3367" outlineLevel="3" ht="15.75" customHeight="1">
      <c r="A3367" s="10" t="n">
        <v>16</v>
      </c>
      <c r="B3367" s="10" t="inlineStr">
        <is>
          <t>Insumo</t>
        </is>
      </c>
      <c r="C3367" s="10" t="inlineStr">
        <is>
          <t>Revestimento em Porcelanato Piso Interno,ELIANE 60X60 BOLD ACETINADO BLEND PLUS GREY, com Junta de 3mm</t>
        </is>
      </c>
      <c r="D3367" s="10" t="inlineStr">
        <is>
          <t>Argamassa ACII</t>
        </is>
      </c>
      <c r="E3367" s="11">
        <f t="array" ref="E3367">_xlfn.XLOOKUP(D3367,Insumos!B:B,Insumos!C:$C)</f>
        <v/>
      </c>
      <c r="F3367" s="14" t="n">
        <v>8.800000000000001</v>
      </c>
      <c r="G3367" s="92">
        <f t="array" ref="G3367">IF(B3367="insumo",_xlfn.XLOOKUP($D3367,Insumos!$B$1:$B$996,Insumos!$D$1:$D$996),"")</f>
        <v/>
      </c>
      <c r="H3367" s="92" t="n">
        <v>8.359999999999999</v>
      </c>
      <c r="I3367" s="2162" t="n">
        <v>0</v>
      </c>
      <c r="J3367" s="2162" t="n">
        <v>0</v>
      </c>
      <c r="K3367" s="2162" t="n"/>
    </row>
    <row r="3368" outlineLevel="3" ht="15.75" customHeight="1">
      <c r="A3368" s="10" t="n">
        <v>17</v>
      </c>
      <c r="B3368" s="10" t="inlineStr">
        <is>
          <t>Insumo</t>
        </is>
      </c>
      <c r="C3368" s="10" t="inlineStr">
        <is>
          <t>Revestimento em Porcelanato Piso Interno,ELIANE 60X60 BOLD ACETINADO BLEND PLUS GREY, com Junta de 3mm</t>
        </is>
      </c>
      <c r="D3368" s="10" t="inlineStr">
        <is>
          <t>Espeçador junta piso 3mm</t>
        </is>
      </c>
      <c r="E3368" s="11">
        <f t="array" ref="E3368">_xlfn.XLOOKUP(D3368,Insumos!B:B,Insumos!C:$C)</f>
        <v/>
      </c>
      <c r="F3368" s="14" t="n">
        <v>1</v>
      </c>
      <c r="G3368" s="92">
        <f t="array" ref="G3368">IF(B3368="insumo",_xlfn.XLOOKUP($D3368,Insumos!$B$1:$B$996,Insumos!$D$1:$D$996),"")</f>
        <v/>
      </c>
      <c r="H3368" s="92" t="n">
        <v>0.05</v>
      </c>
      <c r="I3368" s="2162" t="n">
        <v>0</v>
      </c>
      <c r="J3368" s="2162" t="n">
        <v>0</v>
      </c>
      <c r="K3368" s="2162" t="n"/>
    </row>
    <row r="3369" outlineLevel="3" ht="15.75" customHeight="1">
      <c r="A3369" s="10" t="n">
        <v>101</v>
      </c>
      <c r="B3369" s="10" t="inlineStr">
        <is>
          <t>Insumo</t>
        </is>
      </c>
      <c r="C3369" s="10" t="inlineStr">
        <is>
          <t>Revestimento em Porcelanato Piso Interno,ELIANE 60X60 BOLD ACETINADO BLEND PLUS GREY, com Junta de 3mm</t>
        </is>
      </c>
      <c r="D3369" s="10" t="inlineStr">
        <is>
          <t>Rejunte Cimentício</t>
        </is>
      </c>
      <c r="E3369" s="11">
        <f t="array" ref="E3369">_xlfn.XLOOKUP(D3369,Insumos!B:B,Insumos!C:$C)</f>
        <v/>
      </c>
      <c r="F3369" s="14" t="n">
        <v>0.02</v>
      </c>
      <c r="G3369" s="92">
        <f t="array" ref="G3369">IF(B3369="insumo",_xlfn.XLOOKUP($D3369,Insumos!$B$1:$B$996,Insumos!$D$1:$D$996),"")</f>
        <v/>
      </c>
      <c r="H3369" s="92" t="n">
        <v>0.223</v>
      </c>
      <c r="I3369" s="2162" t="n">
        <v>0</v>
      </c>
      <c r="J3369" s="2162" t="n">
        <v>0</v>
      </c>
      <c r="K3369" s="2162" t="n"/>
    </row>
    <row r="3370" outlineLevel="2" ht="15.75" customHeight="1">
      <c r="A3370" s="1067" t="n">
        <v>1</v>
      </c>
      <c r="B3370" s="1067" t="inlineStr">
        <is>
          <t>Serviço</t>
        </is>
      </c>
      <c r="C3370" s="1067" t="inlineStr">
        <is>
          <t>Revestimento em Porcelanato Piso Externo,ELIANE 60X60 BOLD ACETINADO BLEND PLUS GREY, com Junta de 3mm</t>
        </is>
      </c>
      <c r="D3370" s="1067" t="inlineStr">
        <is>
          <t>Revestimento em Porcelanato Piso Externo,ELIANE 60X60 BOLD ACETINADO BLEND PLUS GREY, com Junta de 3mm</t>
        </is>
      </c>
      <c r="E3370" s="1068" t="inlineStr">
        <is>
          <t>M2</t>
        </is>
      </c>
      <c r="F3370" s="1067" t="n"/>
      <c r="G3370" s="1069">
        <f t="array" ref="G3370">IF(B3370="insumo",_xlfn.XLOOKUP($D3370,Insumos!$B$1:$B$996,Insumos!$D$1:$D$996),"")</f>
        <v/>
      </c>
      <c r="H3370" s="1069" t="n">
        <v>127.323</v>
      </c>
      <c r="I3370" s="2161" t="n">
        <v>0</v>
      </c>
      <c r="J3370" s="2161" t="n">
        <v>0</v>
      </c>
      <c r="K3370" s="2161" t="n"/>
    </row>
    <row r="3371" outlineLevel="3" ht="15.75" customHeight="1">
      <c r="A3371" s="10" t="n">
        <v>2</v>
      </c>
      <c r="B3371" s="10" t="inlineStr">
        <is>
          <t>Insumo</t>
        </is>
      </c>
      <c r="C3371" s="10" t="inlineStr">
        <is>
          <t>Revestimento em Porcelanato Piso Externo,ELIANE 60X60 BOLD ACETINADO BLEND PLUS GREY, com Junta de 3mm</t>
        </is>
      </c>
      <c r="D3371" s="10" t="inlineStr">
        <is>
          <t>Porcelanato ELIANE 60X60 BOLD ACETINADO BLEND PLUS GREY</t>
        </is>
      </c>
      <c r="E3371" s="11">
        <f t="array" ref="E3371">_xlfn.XLOOKUP(D3371,Insumos!B:B,Insumos!C:$C)</f>
        <v/>
      </c>
      <c r="F3371" s="14" t="n">
        <v>1.1</v>
      </c>
      <c r="G3371" s="92">
        <f t="array" ref="G3371">IF(B3371="insumo",_xlfn.XLOOKUP($D3371,Insumos!$B$1:$B$996,Insumos!$D$1:$D$996),"")</f>
        <v/>
      </c>
      <c r="H3371" s="92" t="n">
        <v>118.69</v>
      </c>
      <c r="I3371" s="2162" t="n">
        <v>0</v>
      </c>
      <c r="J3371" s="2162" t="n">
        <v>0</v>
      </c>
      <c r="K3371" s="2162" t="n"/>
    </row>
    <row r="3372" outlineLevel="3" ht="15.75" customHeight="1">
      <c r="A3372" s="10" t="n">
        <v>16</v>
      </c>
      <c r="B3372" s="10" t="inlineStr">
        <is>
          <t>Insumo</t>
        </is>
      </c>
      <c r="C3372" s="10" t="inlineStr">
        <is>
          <t>Revestimento em Porcelanato Piso Externo,ELIANE 60X60 BOLD ACETINADO BLEND PLUS GREY, com Junta de 3mm</t>
        </is>
      </c>
      <c r="D3372" s="10" t="inlineStr">
        <is>
          <t>Argamassa ACII</t>
        </is>
      </c>
      <c r="E3372" s="11">
        <f t="array" ref="E3372">_xlfn.XLOOKUP(D3372,Insumos!B:B,Insumos!C:$C)</f>
        <v/>
      </c>
      <c r="F3372" s="14" t="n">
        <v>8.800000000000001</v>
      </c>
      <c r="G3372" s="92">
        <f t="array" ref="G3372">IF(B3372="insumo",_xlfn.XLOOKUP($D3372,Insumos!$B$1:$B$996,Insumos!$D$1:$D$996),"")</f>
        <v/>
      </c>
      <c r="H3372" s="92" t="n">
        <v>8.359999999999999</v>
      </c>
      <c r="I3372" s="2162" t="n">
        <v>0</v>
      </c>
      <c r="J3372" s="2162" t="n">
        <v>0</v>
      </c>
      <c r="K3372" s="2162" t="n"/>
    </row>
    <row r="3373" outlineLevel="3" ht="15.75" customHeight="1">
      <c r="A3373" s="10" t="n">
        <v>17</v>
      </c>
      <c r="B3373" s="10" t="inlineStr">
        <is>
          <t>Insumo</t>
        </is>
      </c>
      <c r="C3373" s="10" t="inlineStr">
        <is>
          <t>Revestimento em Porcelanato Piso Externo,ELIANE 60X60 BOLD ACETINADO BLEND PLUS GREY, com Junta de 3mm</t>
        </is>
      </c>
      <c r="D3373" s="10" t="inlineStr">
        <is>
          <t>Espeçador junta piso 3mm</t>
        </is>
      </c>
      <c r="E3373" s="11">
        <f t="array" ref="E3373">_xlfn.XLOOKUP(D3373,Insumos!B:B,Insumos!C:$C)</f>
        <v/>
      </c>
      <c r="F3373" s="14" t="n">
        <v>1</v>
      </c>
      <c r="G3373" s="92">
        <f t="array" ref="G3373">IF(B3373="insumo",_xlfn.XLOOKUP($D3373,Insumos!$B$1:$B$996,Insumos!$D$1:$D$996),"")</f>
        <v/>
      </c>
      <c r="H3373" s="92" t="n">
        <v>0.05</v>
      </c>
      <c r="I3373" s="2162" t="n">
        <v>0</v>
      </c>
      <c r="J3373" s="2162" t="n">
        <v>0</v>
      </c>
      <c r="K3373" s="2162" t="n"/>
    </row>
    <row r="3374" outlineLevel="3" ht="15.75" customHeight="1">
      <c r="A3374" s="10" t="n">
        <v>101</v>
      </c>
      <c r="B3374" s="10" t="inlineStr">
        <is>
          <t>Insumo</t>
        </is>
      </c>
      <c r="C3374" s="10" t="inlineStr">
        <is>
          <t>Revestimento em Porcelanato Piso Externo,ELIANE 60X60 BOLD ACETINADO BLEND PLUS GREY, com Junta de 3mm</t>
        </is>
      </c>
      <c r="D3374" s="10" t="inlineStr">
        <is>
          <t>Rejunte Cimentício</t>
        </is>
      </c>
      <c r="E3374" s="11">
        <f t="array" ref="E3374">_xlfn.XLOOKUP(D3374,Insumos!B:B,Insumos!C:$C)</f>
        <v/>
      </c>
      <c r="F3374" s="14" t="n">
        <v>0.02</v>
      </c>
      <c r="G3374" s="92">
        <f t="array" ref="G3374">IF(B3374="insumo",_xlfn.XLOOKUP($D3374,Insumos!$B$1:$B$996,Insumos!$D$1:$D$996),"")</f>
        <v/>
      </c>
      <c r="H3374" s="92" t="n">
        <v>0.223</v>
      </c>
      <c r="I3374" s="2162" t="n">
        <v>0</v>
      </c>
      <c r="J3374" s="2162" t="n">
        <v>0</v>
      </c>
      <c r="K3374" s="2162" t="n"/>
    </row>
    <row r="3375" outlineLevel="2" ht="15.75" customHeight="1">
      <c r="A3375" s="1067" t="n">
        <v>1</v>
      </c>
      <c r="B3375" s="1067" t="inlineStr">
        <is>
          <t>Serviço</t>
        </is>
      </c>
      <c r="C3375" s="1067" t="inlineStr">
        <is>
          <t>Revestimento em Piso ,  Porcelanato Pp Pro Nude Gp 60X60Cm Retificado</t>
        </is>
      </c>
      <c r="D3375" s="1067" t="inlineStr">
        <is>
          <t>Revestimento em Piso ,  Porcelanato Pp Pro Nude Gp 60X60Cm Retificado</t>
        </is>
      </c>
      <c r="E3375" s="1068" t="inlineStr">
        <is>
          <t>M2</t>
        </is>
      </c>
      <c r="F3375" s="1067" t="n"/>
      <c r="G3375" s="1069">
        <f t="array" ref="G3375">IF(B3375="insumo",_xlfn.XLOOKUP($D3375,Insumos!$B$1:$B$996,Insumos!$D$1:$D$996),"")</f>
        <v/>
      </c>
      <c r="H3375" s="1069" t="n">
        <v>57.8051</v>
      </c>
      <c r="I3375" s="2161" t="n">
        <v>0</v>
      </c>
      <c r="J3375" s="2161" t="n">
        <v>0</v>
      </c>
      <c r="K3375" s="2161" t="n"/>
    </row>
    <row r="3376" outlineLevel="3" ht="15.75" customHeight="1">
      <c r="A3376" s="10" t="n">
        <v>3</v>
      </c>
      <c r="B3376" s="10" t="inlineStr">
        <is>
          <t>Insumo</t>
        </is>
      </c>
      <c r="C3376" s="10" t="inlineStr">
        <is>
          <t>Revestimento em Piso ,  Porcelanato Pp Pro Nude Gp 60X60Cm Retificado</t>
        </is>
      </c>
      <c r="D3376" s="10" t="inlineStr">
        <is>
          <t>Porcelanato Pp Pro Nude Gp 60X60Cm Retificado</t>
        </is>
      </c>
      <c r="E3376" s="11">
        <f t="array" ref="E3376">_xlfn.XLOOKUP(D3376,Insumos!B:B,Insumos!C:$C)</f>
        <v/>
      </c>
      <c r="F3376" s="14" t="n">
        <v>1.1</v>
      </c>
      <c r="G3376" s="92">
        <f t="array" ref="G3376">IF(B3376="insumo",_xlfn.XLOOKUP($D3376,Insumos!$B$1:$B$996,Insumos!$D$1:$D$996),"")</f>
        <v/>
      </c>
      <c r="H3376" s="92" t="n">
        <v>48.246</v>
      </c>
      <c r="I3376" s="2162" t="n">
        <v>0</v>
      </c>
      <c r="J3376" s="2162" t="n">
        <v>0</v>
      </c>
      <c r="K3376" s="2162" t="n"/>
    </row>
    <row r="3377" outlineLevel="3" ht="15.75" customHeight="1">
      <c r="A3377" s="10" t="n">
        <v>191</v>
      </c>
      <c r="B3377" s="10" t="inlineStr">
        <is>
          <t>Insumo</t>
        </is>
      </c>
      <c r="C3377" s="10" t="inlineStr">
        <is>
          <t>Revestimento em Piso ,  Porcelanato Pp Pro Nude Gp 60X60Cm Retificado</t>
        </is>
      </c>
      <c r="D3377" s="10" t="inlineStr">
        <is>
          <t>Argamassa ACIII</t>
        </is>
      </c>
      <c r="E3377" s="11">
        <f t="array" ref="E3377">_xlfn.XLOOKUP(D3377,Insumos!B:B,Insumos!C:$C)</f>
        <v/>
      </c>
      <c r="F3377" s="14" t="n">
        <v>8.800000000000001</v>
      </c>
      <c r="G3377" s="92">
        <f t="array" ref="G3377">IF(B3377="insumo",_xlfn.XLOOKUP($D3377,Insumos!$B$1:$B$996,Insumos!$D$1:$D$996),"")</f>
        <v/>
      </c>
      <c r="H3377" s="92" t="n">
        <v>9.367599999999999</v>
      </c>
      <c r="I3377" s="2162" t="n">
        <v>0</v>
      </c>
      <c r="J3377" s="2162" t="n">
        <v>0</v>
      </c>
      <c r="K3377" s="2162" t="n"/>
    </row>
    <row r="3378" outlineLevel="3" ht="15.75" customHeight="1">
      <c r="A3378" s="10" t="n">
        <v>142</v>
      </c>
      <c r="B3378" s="10" t="inlineStr">
        <is>
          <t>Insumo</t>
        </is>
      </c>
      <c r="C3378" s="10" t="inlineStr">
        <is>
          <t>Revestimento em Piso ,  Porcelanato Pp Pro Nude Gp 60X60Cm Retificado</t>
        </is>
      </c>
      <c r="D3378" s="10" t="inlineStr">
        <is>
          <t>Espeçador junta piso 2mm</t>
        </is>
      </c>
      <c r="E3378" s="11">
        <f t="array" ref="E3378">_xlfn.XLOOKUP(D3378,Insumos!B:B,Insumos!C:$C)</f>
        <v/>
      </c>
      <c r="F3378" s="14" t="n">
        <v>1</v>
      </c>
      <c r="G3378" s="92">
        <f t="array" ref="G3378">IF(B3378="insumo",_xlfn.XLOOKUP($D3378,Insumos!$B$1:$B$996,Insumos!$D$1:$D$996),"")</f>
        <v/>
      </c>
      <c r="H3378" s="92" t="n">
        <v>0.08</v>
      </c>
      <c r="I3378" s="2162" t="n">
        <v>0</v>
      </c>
      <c r="J3378" s="2162" t="n">
        <v>0</v>
      </c>
      <c r="K3378" s="2162" t="n"/>
    </row>
    <row r="3379" outlineLevel="3" ht="15.75" customHeight="1">
      <c r="A3379" s="10" t="n">
        <v>101</v>
      </c>
      <c r="B3379" s="10" t="inlineStr">
        <is>
          <t>Insumo</t>
        </is>
      </c>
      <c r="C3379" s="10" t="inlineStr">
        <is>
          <t>Revestimento em Piso ,  Porcelanato Pp Pro Nude Gp 60X60Cm Retificado</t>
        </is>
      </c>
      <c r="D3379" s="10" t="inlineStr">
        <is>
          <t>Rejunte Cimentício</t>
        </is>
      </c>
      <c r="E3379" s="11">
        <f t="array" ref="E3379">_xlfn.XLOOKUP(D3379,Insumos!B:B,Insumos!C:$C)</f>
        <v/>
      </c>
      <c r="F3379" s="14" t="n">
        <v>0.01</v>
      </c>
      <c r="G3379" s="92">
        <f t="array" ref="G3379">IF(B3379="insumo",_xlfn.XLOOKUP($D3379,Insumos!$B$1:$B$996,Insumos!$D$1:$D$996),"")</f>
        <v/>
      </c>
      <c r="H3379" s="92" t="n">
        <v>0.1115</v>
      </c>
      <c r="I3379" s="2162" t="n">
        <v>0</v>
      </c>
      <c r="J3379" s="2162" t="n">
        <v>0</v>
      </c>
      <c r="K3379" s="2162" t="n"/>
    </row>
    <row r="3380" outlineLevel="2" ht="15.75" customHeight="1">
      <c r="A3380" s="1067" t="n">
        <v>1</v>
      </c>
      <c r="B3380" s="1067" t="inlineStr">
        <is>
          <t>Serviço</t>
        </is>
      </c>
      <c r="C3380" s="1067" t="inlineStr">
        <is>
          <t>Revestimento de Piso Externo PORCELANATO VILLAGRES 71X71 RETIFICADO ACETINADO MONTREAL FENDI</t>
        </is>
      </c>
      <c r="D3380" s="1067" t="inlineStr">
        <is>
          <t>Revestimento de Piso Externo PORCELANATO VILLAGRES 71X71 RETIFICADO ACETINADO MONTREAL FENDI</t>
        </is>
      </c>
      <c r="E3380" s="1068" t="inlineStr">
        <is>
          <t>M2</t>
        </is>
      </c>
      <c r="F3380" s="1067" t="n"/>
      <c r="G3380" s="1069">
        <f t="array" ref="G3380">IF(B3380="insumo",_xlfn.XLOOKUP($D3380,Insumos!$B$1:$B$996,Insumos!$D$1:$D$996),"")</f>
        <v/>
      </c>
      <c r="H3380" s="1069" t="n">
        <v>93.48909999999999</v>
      </c>
      <c r="I3380" s="2161" t="n">
        <v>0</v>
      </c>
      <c r="J3380" s="2161" t="n">
        <v>0</v>
      </c>
      <c r="K3380" s="2161" t="n"/>
    </row>
    <row r="3381" outlineLevel="3" ht="15.75" customHeight="1">
      <c r="A3381" s="10" t="n">
        <v>1</v>
      </c>
      <c r="B3381" s="10" t="inlineStr">
        <is>
          <t>Insumo</t>
        </is>
      </c>
      <c r="C3381" s="10" t="inlineStr">
        <is>
          <t>Revestimento de Piso Externo PORCELANATO VILLAGRES 71X71 RETIFICADO ACETINADO MONTREAL FENDI</t>
        </is>
      </c>
      <c r="D3381" s="10" t="inlineStr">
        <is>
          <t>PORCELANATO VILLAGRES 71X71 RETIFICADO ACETINADO MONTREAL FENDI</t>
        </is>
      </c>
      <c r="E3381" s="11">
        <f t="array" ref="E3381">_xlfn.XLOOKUP(D3381,Insumos!B:B,Insumos!C:$C)</f>
        <v/>
      </c>
      <c r="F3381" s="14" t="n">
        <v>1.1</v>
      </c>
      <c r="G3381" s="92">
        <f t="array" ref="G3381">IF(B3381="insumo",_xlfn.XLOOKUP($D3381,Insumos!$B$1:$B$996,Insumos!$D$1:$D$996),"")</f>
        <v/>
      </c>
      <c r="H3381" s="92" t="n">
        <v>83.93000000000001</v>
      </c>
      <c r="I3381" s="2162" t="n">
        <v>0</v>
      </c>
      <c r="J3381" s="2162" t="n">
        <v>0</v>
      </c>
      <c r="K3381" s="2162" t="n"/>
    </row>
    <row r="3382" outlineLevel="3" ht="15.75" customHeight="1">
      <c r="A3382" s="10" t="n">
        <v>191</v>
      </c>
      <c r="B3382" s="10" t="inlineStr">
        <is>
          <t>Insumo</t>
        </is>
      </c>
      <c r="C3382" s="10" t="inlineStr">
        <is>
          <t>Revestimento de Piso Externo PORCELANATO VILLAGRES 71X71 RETIFICADO ACETINADO MONTREAL FENDI</t>
        </is>
      </c>
      <c r="D3382" s="10" t="inlineStr">
        <is>
          <t>Argamassa ACIII</t>
        </is>
      </c>
      <c r="E3382" s="11">
        <f t="array" ref="E3382">_xlfn.XLOOKUP(D3382,Insumos!B:B,Insumos!C:$C)</f>
        <v/>
      </c>
      <c r="F3382" s="14" t="n">
        <v>8.800000000000001</v>
      </c>
      <c r="G3382" s="92">
        <f t="array" ref="G3382">IF(B3382="insumo",_xlfn.XLOOKUP($D3382,Insumos!$B$1:$B$996,Insumos!$D$1:$D$996),"")</f>
        <v/>
      </c>
      <c r="H3382" s="92" t="n">
        <v>9.367599999999999</v>
      </c>
      <c r="I3382" s="2162" t="n">
        <v>0</v>
      </c>
      <c r="J3382" s="2162" t="n">
        <v>0</v>
      </c>
      <c r="K3382" s="2162" t="n"/>
    </row>
    <row r="3383" outlineLevel="3" ht="15.75" customHeight="1">
      <c r="A3383" s="10" t="n">
        <v>142</v>
      </c>
      <c r="B3383" s="10" t="inlineStr">
        <is>
          <t>Insumo</t>
        </is>
      </c>
      <c r="C3383" s="10" t="inlineStr">
        <is>
          <t>Revestimento de Piso Externo PORCELANATO VILLAGRES 71X71 RETIFICADO ACETINADO MONTREAL FENDI</t>
        </is>
      </c>
      <c r="D3383" s="10" t="inlineStr">
        <is>
          <t>Espeçador junta piso 2mm</t>
        </is>
      </c>
      <c r="E3383" s="11">
        <f t="array" ref="E3383">_xlfn.XLOOKUP(D3383,Insumos!B:B,Insumos!C:$C)</f>
        <v/>
      </c>
      <c r="F3383" s="14" t="n">
        <v>1</v>
      </c>
      <c r="G3383" s="92">
        <f t="array" ref="G3383">IF(B3383="insumo",_xlfn.XLOOKUP($D3383,Insumos!$B$1:$B$996,Insumos!$D$1:$D$996),"")</f>
        <v/>
      </c>
      <c r="H3383" s="92" t="n">
        <v>0.08</v>
      </c>
      <c r="I3383" s="2162" t="n">
        <v>0</v>
      </c>
      <c r="J3383" s="2162" t="n">
        <v>0</v>
      </c>
      <c r="K3383" s="2162" t="n"/>
    </row>
    <row r="3384" outlineLevel="3" ht="15.75" customHeight="1">
      <c r="A3384" s="10" t="n">
        <v>101</v>
      </c>
      <c r="B3384" s="10" t="inlineStr">
        <is>
          <t>Insumo</t>
        </is>
      </c>
      <c r="C3384" s="10" t="inlineStr">
        <is>
          <t>Revestimento de Piso Externo PORCELANATO VILLAGRES 71X71 RETIFICADO ACETINADO MONTREAL FENDI</t>
        </is>
      </c>
      <c r="D3384" s="10" t="inlineStr">
        <is>
          <t>Rejunte Cimentício</t>
        </is>
      </c>
      <c r="E3384" s="11">
        <f t="array" ref="E3384">_xlfn.XLOOKUP(D3384,Insumos!B:B,Insumos!C:$C)</f>
        <v/>
      </c>
      <c r="F3384" s="14" t="n">
        <v>0.01</v>
      </c>
      <c r="G3384" s="92">
        <f t="array" ref="G3384">IF(B3384="insumo",_xlfn.XLOOKUP($D3384,Insumos!$B$1:$B$996,Insumos!$D$1:$D$996),"")</f>
        <v/>
      </c>
      <c r="H3384" s="92" t="n">
        <v>0.1115</v>
      </c>
      <c r="I3384" s="2162" t="n">
        <v>0</v>
      </c>
      <c r="J3384" s="2162" t="n">
        <v>0</v>
      </c>
      <c r="K3384" s="2162" t="n"/>
    </row>
    <row r="3385" outlineLevel="2" ht="15.75" customHeight="1">
      <c r="A3385" s="1067" t="n">
        <v>1</v>
      </c>
      <c r="B3385" s="1067" t="inlineStr">
        <is>
          <t>Serviço</t>
        </is>
      </c>
      <c r="C3385" s="1067" t="inlineStr">
        <is>
          <t>Revestimento de Piso Externo PORCELANATO DELTA 73X73 RETIFICADO ACETINADO JUA CLARO 2280-A</t>
        </is>
      </c>
      <c r="D3385" s="1067" t="inlineStr">
        <is>
          <t>Revestimento de Piso Externo PORCELANATO DELTA 73X73 RETIFICADO ACETINADO JUA CLARO 2280-A</t>
        </is>
      </c>
      <c r="E3385" s="1068" t="inlineStr">
        <is>
          <t>M2</t>
        </is>
      </c>
      <c r="F3385" s="1067" t="n"/>
      <c r="G3385" s="1069">
        <f t="array" ref="G3385">IF(B3385="insumo",_xlfn.XLOOKUP($D3385,Insumos!$B$1:$B$996,Insumos!$D$1:$D$996),"")</f>
        <v/>
      </c>
      <c r="H3385" s="1069" t="n">
        <v>85.34910000000001</v>
      </c>
      <c r="I3385" s="2161" t="n">
        <v>0</v>
      </c>
      <c r="J3385" s="2161" t="n">
        <v>0</v>
      </c>
      <c r="K3385" s="2161" t="n"/>
    </row>
    <row r="3386" outlineLevel="3" ht="15.75" customHeight="1">
      <c r="A3386" s="10" t="n">
        <v>1</v>
      </c>
      <c r="B3386" s="10" t="inlineStr">
        <is>
          <t>Insumo</t>
        </is>
      </c>
      <c r="C3386" s="10" t="inlineStr">
        <is>
          <t>Revestimento de Piso Externo PORCELANATO DELTA 73X73 RETIFICADO ACETINADO JUA CLARO 2280-A</t>
        </is>
      </c>
      <c r="D3386" s="10" t="inlineStr">
        <is>
          <t>PORCELANATO DELTA 73X73 RETIFICADO ACETINADO JUA CLARO 2280-A</t>
        </is>
      </c>
      <c r="E3386" s="11">
        <f t="array" ref="E3386">_xlfn.XLOOKUP(D3386,Insumos!B:B,Insumos!C:$C)</f>
        <v/>
      </c>
      <c r="F3386" s="14" t="n">
        <v>1.1</v>
      </c>
      <c r="G3386" s="92">
        <f t="array" ref="G3386">IF(B3386="insumo",_xlfn.XLOOKUP($D3386,Insumos!$B$1:$B$996,Insumos!$D$1:$D$996),"")</f>
        <v/>
      </c>
      <c r="H3386" s="92" t="n">
        <v>75.79000000000001</v>
      </c>
      <c r="I3386" s="2162" t="n">
        <v>0</v>
      </c>
      <c r="J3386" s="2162" t="n">
        <v>0</v>
      </c>
      <c r="K3386" s="2162" t="n"/>
    </row>
    <row r="3387" outlineLevel="3" ht="15.75" customHeight="1">
      <c r="A3387" s="10" t="n">
        <v>191</v>
      </c>
      <c r="B3387" s="10" t="inlineStr">
        <is>
          <t>Insumo</t>
        </is>
      </c>
      <c r="C3387" s="10" t="inlineStr">
        <is>
          <t>Revestimento de Piso Externo PORCELANATO DELTA 73X73 RETIFICADO ACETINADO JUA CLARO 2280-A</t>
        </is>
      </c>
      <c r="D3387" s="10" t="inlineStr">
        <is>
          <t>Argamassa ACIII</t>
        </is>
      </c>
      <c r="E3387" s="11">
        <f t="array" ref="E3387">_xlfn.XLOOKUP(D3387,Insumos!B:B,Insumos!C:$C)</f>
        <v/>
      </c>
      <c r="F3387" s="14" t="n">
        <v>8.800000000000001</v>
      </c>
      <c r="G3387" s="92">
        <f t="array" ref="G3387">IF(B3387="insumo",_xlfn.XLOOKUP($D3387,Insumos!$B$1:$B$996,Insumos!$D$1:$D$996),"")</f>
        <v/>
      </c>
      <c r="H3387" s="92" t="n">
        <v>9.367599999999999</v>
      </c>
      <c r="I3387" s="2162" t="n">
        <v>0</v>
      </c>
      <c r="J3387" s="2162" t="n">
        <v>0</v>
      </c>
      <c r="K3387" s="2162" t="n"/>
    </row>
    <row r="3388" outlineLevel="3" ht="15.75" customHeight="1">
      <c r="A3388" s="10" t="n">
        <v>142</v>
      </c>
      <c r="B3388" s="10" t="inlineStr">
        <is>
          <t>Insumo</t>
        </is>
      </c>
      <c r="C3388" s="10" t="inlineStr">
        <is>
          <t>Revestimento de Piso Externo PORCELANATO DELTA 73X73 RETIFICADO ACETINADO JUA CLARO 2280-A</t>
        </is>
      </c>
      <c r="D3388" s="10" t="inlineStr">
        <is>
          <t>Espeçador junta piso 2mm</t>
        </is>
      </c>
      <c r="E3388" s="11">
        <f t="array" ref="E3388">_xlfn.XLOOKUP(D3388,Insumos!B:B,Insumos!C:$C)</f>
        <v/>
      </c>
      <c r="F3388" s="14" t="n">
        <v>1</v>
      </c>
      <c r="G3388" s="92">
        <f t="array" ref="G3388">IF(B3388="insumo",_xlfn.XLOOKUP($D3388,Insumos!$B$1:$B$996,Insumos!$D$1:$D$996),"")</f>
        <v/>
      </c>
      <c r="H3388" s="92" t="n">
        <v>0.08</v>
      </c>
      <c r="I3388" s="2162" t="n">
        <v>0</v>
      </c>
      <c r="J3388" s="2162" t="n">
        <v>0</v>
      </c>
      <c r="K3388" s="2162" t="n"/>
    </row>
    <row r="3389" outlineLevel="3" ht="15.75" customHeight="1">
      <c r="A3389" s="10" t="n">
        <v>101</v>
      </c>
      <c r="B3389" s="10" t="inlineStr">
        <is>
          <t>Insumo</t>
        </is>
      </c>
      <c r="C3389" s="10" t="inlineStr">
        <is>
          <t>Revestimento de Piso Externo PORCELANATO DELTA 73X73 RETIFICADO ACETINADO JUA CLARO 2280-A</t>
        </is>
      </c>
      <c r="D3389" s="10" t="inlineStr">
        <is>
          <t>Rejunte Cimentício</t>
        </is>
      </c>
      <c r="E3389" s="11">
        <f t="array" ref="E3389">_xlfn.XLOOKUP(D3389,Insumos!B:B,Insumos!C:$C)</f>
        <v/>
      </c>
      <c r="F3389" s="14" t="n">
        <v>0.01</v>
      </c>
      <c r="G3389" s="92">
        <f t="array" ref="G3389">IF(B3389="insumo",_xlfn.XLOOKUP($D3389,Insumos!$B$1:$B$996,Insumos!$D$1:$D$996),"")</f>
        <v/>
      </c>
      <c r="H3389" s="92" t="n">
        <v>0.1115</v>
      </c>
      <c r="I3389" s="2162" t="n">
        <v>0</v>
      </c>
      <c r="J3389" s="2162" t="n">
        <v>0</v>
      </c>
      <c r="K3389" s="2162" t="n"/>
    </row>
    <row r="3390" outlineLevel="2" ht="15.75" customHeight="1">
      <c r="A3390" s="1067" t="n">
        <v>1</v>
      </c>
      <c r="B3390" s="1067" t="inlineStr">
        <is>
          <t>Serviço</t>
        </is>
      </c>
      <c r="C3390" s="1067" t="inlineStr">
        <is>
          <t>Revestimento de Piso Porcelanato Interno ELIZABETH EGEU SAND 74x74 A</t>
        </is>
      </c>
      <c r="D3390" s="1067" t="inlineStr">
        <is>
          <t>Revestimento de Piso Porcelanato Interno ELIZABETH EGEU SAND 74x74 A</t>
        </is>
      </c>
      <c r="E3390" s="1068" t="inlineStr">
        <is>
          <t>M2</t>
        </is>
      </c>
      <c r="F3390" s="1067" t="n"/>
      <c r="G3390" s="1069">
        <f t="array" ref="G3390">IF(B3390="insumo",_xlfn.XLOOKUP($D3390,Insumos!$B$1:$B$996,Insumos!$D$1:$D$996),"")</f>
        <v/>
      </c>
      <c r="H3390" s="1069" t="n">
        <v>108.4491</v>
      </c>
      <c r="I3390" s="2161" t="n">
        <v>0</v>
      </c>
      <c r="J3390" s="2161" t="n">
        <v>0</v>
      </c>
      <c r="K3390" s="2161" t="n"/>
    </row>
    <row r="3391" outlineLevel="3" ht="15.75" customHeight="1">
      <c r="A3391" s="10" t="n">
        <v>1</v>
      </c>
      <c r="B3391" s="10" t="inlineStr">
        <is>
          <t>Insumo</t>
        </is>
      </c>
      <c r="C3391" s="10" t="inlineStr">
        <is>
          <t>Revestimento de Piso Porcelanato Interno ELIZABETH EGEU SAND 74x74 A</t>
        </is>
      </c>
      <c r="D3391" s="10" t="inlineStr">
        <is>
          <t>PORCELANATO ELIZABETH EGEU SAND 74x74 A</t>
        </is>
      </c>
      <c r="E3391" s="11">
        <f t="array" ref="E3391">_xlfn.XLOOKUP(D3391,Insumos!B:B,Insumos!C:$C)</f>
        <v/>
      </c>
      <c r="F3391" s="14" t="n">
        <v>1.1</v>
      </c>
      <c r="G3391" s="92">
        <f t="array" ref="G3391">IF(B3391="insumo",_xlfn.XLOOKUP($D3391,Insumos!$B$1:$B$996,Insumos!$D$1:$D$996),"")</f>
        <v/>
      </c>
      <c r="H3391" s="92" t="n">
        <v>98.89</v>
      </c>
      <c r="I3391" s="2162" t="n">
        <v>0</v>
      </c>
      <c r="J3391" s="2162" t="n">
        <v>0</v>
      </c>
      <c r="K3391" s="2162" t="n"/>
    </row>
    <row r="3392" outlineLevel="3" ht="15.75" customHeight="1">
      <c r="A3392" s="10" t="n">
        <v>191</v>
      </c>
      <c r="B3392" s="10" t="inlineStr">
        <is>
          <t>Insumo</t>
        </is>
      </c>
      <c r="C3392" s="10" t="inlineStr">
        <is>
          <t>Revestimento de Piso Porcelanato Interno ELIZABETH EGEU SAND 74x74 A</t>
        </is>
      </c>
      <c r="D3392" s="10" t="inlineStr">
        <is>
          <t>Argamassa ACIII</t>
        </is>
      </c>
      <c r="E3392" s="11">
        <f t="array" ref="E3392">_xlfn.XLOOKUP(D3392,Insumos!B:B,Insumos!C:$C)</f>
        <v/>
      </c>
      <c r="F3392" s="14" t="n">
        <v>8.800000000000001</v>
      </c>
      <c r="G3392" s="92">
        <f t="array" ref="G3392">IF(B3392="insumo",_xlfn.XLOOKUP($D3392,Insumos!$B$1:$B$996,Insumos!$D$1:$D$996),"")</f>
        <v/>
      </c>
      <c r="H3392" s="92" t="n">
        <v>9.367599999999999</v>
      </c>
      <c r="I3392" s="2162" t="n">
        <v>0</v>
      </c>
      <c r="J3392" s="2162" t="n">
        <v>0</v>
      </c>
      <c r="K3392" s="2162" t="n"/>
    </row>
    <row r="3393" outlineLevel="3" ht="15.75" customHeight="1">
      <c r="A3393" s="10" t="n">
        <v>142</v>
      </c>
      <c r="B3393" s="10" t="inlineStr">
        <is>
          <t>Insumo</t>
        </is>
      </c>
      <c r="C3393" s="10" t="inlineStr">
        <is>
          <t>Revestimento de Piso Porcelanato Interno ELIZABETH EGEU SAND 74x74 A</t>
        </is>
      </c>
      <c r="D3393" s="10" t="inlineStr">
        <is>
          <t>Espeçador junta piso 2mm</t>
        </is>
      </c>
      <c r="E3393" s="11">
        <f t="array" ref="E3393">_xlfn.XLOOKUP(D3393,Insumos!B:B,Insumos!C:$C)</f>
        <v/>
      </c>
      <c r="F3393" s="14" t="n">
        <v>1</v>
      </c>
      <c r="G3393" s="92">
        <f t="array" ref="G3393">IF(B3393="insumo",_xlfn.XLOOKUP($D3393,Insumos!$B$1:$B$996,Insumos!$D$1:$D$996),"")</f>
        <v/>
      </c>
      <c r="H3393" s="92" t="n">
        <v>0.08</v>
      </c>
      <c r="I3393" s="2162" t="n">
        <v>0</v>
      </c>
      <c r="J3393" s="2162" t="n">
        <v>0</v>
      </c>
      <c r="K3393" s="2162" t="n"/>
    </row>
    <row r="3394" outlineLevel="3" ht="15.75" customHeight="1">
      <c r="A3394" s="10" t="n">
        <v>101</v>
      </c>
      <c r="B3394" s="10" t="inlineStr">
        <is>
          <t>Insumo</t>
        </is>
      </c>
      <c r="C3394" s="10" t="inlineStr">
        <is>
          <t>Revestimento de Piso Porcelanato Interno ELIZABETH EGEU SAND 74x74 A</t>
        </is>
      </c>
      <c r="D3394" s="10" t="inlineStr">
        <is>
          <t>Rejunte Cimentício</t>
        </is>
      </c>
      <c r="E3394" s="11">
        <f t="array" ref="E3394">_xlfn.XLOOKUP(D3394,Insumos!B:B,Insumos!C:$C)</f>
        <v/>
      </c>
      <c r="F3394" s="14" t="n">
        <v>0.01</v>
      </c>
      <c r="G3394" s="92">
        <f t="array" ref="G3394">IF(B3394="insumo",_xlfn.XLOOKUP($D3394,Insumos!$B$1:$B$996,Insumos!$D$1:$D$996),"")</f>
        <v/>
      </c>
      <c r="H3394" s="92" t="n">
        <v>0.1115</v>
      </c>
      <c r="I3394" s="2162" t="n">
        <v>0</v>
      </c>
      <c r="J3394" s="2162" t="n">
        <v>0</v>
      </c>
      <c r="K3394" s="2162" t="n"/>
    </row>
    <row r="3395" outlineLevel="2" ht="15.75" customHeight="1">
      <c r="A3395" s="1067" t="n">
        <v>1</v>
      </c>
      <c r="B3395" s="1067" t="inlineStr">
        <is>
          <t>Serviço</t>
        </is>
      </c>
      <c r="C3395" s="1067" t="inlineStr">
        <is>
          <t>Revestimento de Piso Porcelanato Interno Piso 75x75cm Cedasa Retificado Evidence Polido</t>
        </is>
      </c>
      <c r="D3395" s="1067" t="inlineStr">
        <is>
          <t>Revestimento de Piso Porcelanato Interno Piso 75x75cm Cedasa Retificado Evidence Polido</t>
        </is>
      </c>
      <c r="E3395" s="1068" t="inlineStr">
        <is>
          <t>M2</t>
        </is>
      </c>
      <c r="F3395" s="1067" t="n"/>
      <c r="G3395" s="1069">
        <f t="array" ref="G3395">IF(B3395="insumo",_xlfn.XLOOKUP($D3395,Insumos!$B$1:$B$996,Insumos!$D$1:$D$996),"")</f>
        <v/>
      </c>
      <c r="H3395" s="1069" t="n">
        <v>167.4641</v>
      </c>
      <c r="I3395" s="2161" t="n">
        <v>0</v>
      </c>
      <c r="J3395" s="2161" t="n">
        <v>0</v>
      </c>
      <c r="K3395" s="2161" t="n"/>
    </row>
    <row r="3396" outlineLevel="3" ht="15.75" customHeight="1">
      <c r="A3396" s="10" t="n">
        <v>2</v>
      </c>
      <c r="B3396" s="10" t="inlineStr">
        <is>
          <t>Insumo</t>
        </is>
      </c>
      <c r="C3396" s="10" t="inlineStr">
        <is>
          <t>Revestimento de Piso Porcelanato Interno Piso 75x75cm Cedasa Retificado Evidence Polido</t>
        </is>
      </c>
      <c r="D3396" s="10" t="inlineStr">
        <is>
          <t>Piso 75x75cm Cedasa Retificado Evidence Polido</t>
        </is>
      </c>
      <c r="E3396" s="11">
        <f t="array" ref="E3396">_xlfn.XLOOKUP(D3396,Insumos!B:B,Insumos!C:$C)</f>
        <v/>
      </c>
      <c r="F3396" s="14" t="n">
        <v>1.1</v>
      </c>
      <c r="G3396" s="92">
        <f t="array" ref="G3396">IF(B3396="insumo",_xlfn.XLOOKUP($D3396,Insumos!$B$1:$B$996,Insumos!$D$1:$D$996),"")</f>
        <v/>
      </c>
      <c r="H3396" s="92" t="n">
        <v>157.905</v>
      </c>
      <c r="I3396" s="2162" t="n">
        <v>0</v>
      </c>
      <c r="J3396" s="2162" t="n">
        <v>0</v>
      </c>
      <c r="K3396" s="2162" t="n"/>
    </row>
    <row r="3397" outlineLevel="3" ht="15.75" customHeight="1">
      <c r="A3397" s="10" t="n">
        <v>191</v>
      </c>
      <c r="B3397" s="10" t="inlineStr">
        <is>
          <t>Insumo</t>
        </is>
      </c>
      <c r="C3397" s="10" t="inlineStr">
        <is>
          <t>Revestimento de Piso Porcelanato Interno Piso 75x75cm Cedasa Retificado Evidence Polido</t>
        </is>
      </c>
      <c r="D3397" s="10" t="inlineStr">
        <is>
          <t>Argamassa ACIII</t>
        </is>
      </c>
      <c r="E3397" s="11">
        <f t="array" ref="E3397">_xlfn.XLOOKUP(D3397,Insumos!B:B,Insumos!C:$C)</f>
        <v/>
      </c>
      <c r="F3397" s="14" t="n">
        <v>8.800000000000001</v>
      </c>
      <c r="G3397" s="92">
        <f t="array" ref="G3397">IF(B3397="insumo",_xlfn.XLOOKUP($D3397,Insumos!$B$1:$B$996,Insumos!$D$1:$D$996),"")</f>
        <v/>
      </c>
      <c r="H3397" s="92" t="n">
        <v>9.367599999999999</v>
      </c>
      <c r="I3397" s="2162" t="n">
        <v>0</v>
      </c>
      <c r="J3397" s="2162" t="n">
        <v>0</v>
      </c>
      <c r="K3397" s="2162" t="n"/>
    </row>
    <row r="3398" outlineLevel="3" ht="15.75" customHeight="1">
      <c r="A3398" s="10" t="n">
        <v>142</v>
      </c>
      <c r="B3398" s="10" t="inlineStr">
        <is>
          <t>Insumo</t>
        </is>
      </c>
      <c r="C3398" s="10" t="inlineStr">
        <is>
          <t>Revestimento de Piso Porcelanato Interno Piso 75x75cm Cedasa Retificado Evidence Polido</t>
        </is>
      </c>
      <c r="D3398" s="10" t="inlineStr">
        <is>
          <t>Espeçador junta piso 2mm</t>
        </is>
      </c>
      <c r="E3398" s="11">
        <f t="array" ref="E3398">_xlfn.XLOOKUP(D3398,Insumos!B:B,Insumos!C:$C)</f>
        <v/>
      </c>
      <c r="F3398" s="14" t="n">
        <v>1</v>
      </c>
      <c r="G3398" s="92">
        <f t="array" ref="G3398">IF(B3398="insumo",_xlfn.XLOOKUP($D3398,Insumos!$B$1:$B$996,Insumos!$D$1:$D$996),"")</f>
        <v/>
      </c>
      <c r="H3398" s="92" t="n">
        <v>0.08</v>
      </c>
      <c r="I3398" s="2162" t="n">
        <v>0</v>
      </c>
      <c r="J3398" s="2162" t="n">
        <v>0</v>
      </c>
      <c r="K3398" s="2162" t="n"/>
    </row>
    <row r="3399" outlineLevel="3" ht="15.75" customHeight="1">
      <c r="A3399" s="10" t="n">
        <v>101</v>
      </c>
      <c r="B3399" s="10" t="inlineStr">
        <is>
          <t>Insumo</t>
        </is>
      </c>
      <c r="C3399" s="10" t="inlineStr">
        <is>
          <t>Revestimento de Piso Porcelanato Interno Piso 75x75cm Cedasa Retificado Evidence Polido</t>
        </is>
      </c>
      <c r="D3399" s="10" t="inlineStr">
        <is>
          <t>Rejunte Cimentício</t>
        </is>
      </c>
      <c r="E3399" s="11">
        <f t="array" ref="E3399">_xlfn.XLOOKUP(D3399,Insumos!B:B,Insumos!C:$C)</f>
        <v/>
      </c>
      <c r="F3399" s="14" t="n">
        <v>0.01</v>
      </c>
      <c r="G3399" s="92">
        <f t="array" ref="G3399">IF(B3399="insumo",_xlfn.XLOOKUP($D3399,Insumos!$B$1:$B$996,Insumos!$D$1:$D$996),"")</f>
        <v/>
      </c>
      <c r="H3399" s="92" t="n">
        <v>0.1115</v>
      </c>
      <c r="I3399" s="2162" t="n">
        <v>0</v>
      </c>
      <c r="J3399" s="2162" t="n">
        <v>0</v>
      </c>
      <c r="K3399" s="2162" t="n"/>
    </row>
    <row r="3400" outlineLevel="2" ht="15.75" customHeight="1">
      <c r="A3400" s="1067" t="n">
        <v>1</v>
      </c>
      <c r="B3400" s="1067" t="inlineStr">
        <is>
          <t>Serviço</t>
        </is>
      </c>
      <c r="C3400" s="1067" t="inlineStr">
        <is>
          <t>Revestimento de Piso Porcelanato Interno Retificado Embramaco 76x76cm Acetinado Nevada Mate Plus Retificado</t>
        </is>
      </c>
      <c r="D3400" s="1067" t="inlineStr">
        <is>
          <t>Revestimento de Piso Porcelanato Interno Retificado Embramaco 76x76cm Acetinado Nevada Mate Plus Retificado</t>
        </is>
      </c>
      <c r="E3400" s="1068" t="inlineStr">
        <is>
          <t>M2</t>
        </is>
      </c>
      <c r="F3400" s="1067" t="n"/>
      <c r="G3400" s="1069">
        <f t="array" ref="G3400">IF(B3400="insumo",_xlfn.XLOOKUP($D3400,Insumos!$B$1:$B$996,Insumos!$D$1:$D$996),"")</f>
        <v/>
      </c>
      <c r="H3400" s="1069" t="n">
        <v>47.9491</v>
      </c>
      <c r="I3400" s="2161" t="n">
        <v>0</v>
      </c>
      <c r="J3400" s="2161" t="n">
        <v>0</v>
      </c>
      <c r="K3400" s="2161" t="n"/>
    </row>
    <row r="3401" outlineLevel="3" ht="15.75" customHeight="1">
      <c r="A3401" s="10" t="n">
        <v>2</v>
      </c>
      <c r="B3401" s="10" t="inlineStr">
        <is>
          <t>Insumo</t>
        </is>
      </c>
      <c r="C3401" s="10" t="inlineStr">
        <is>
          <t>Revestimento de Piso Porcelanato Interno Retificado Embramaco 76x76cm Acetinado Nevada Mate Plus Retificado</t>
        </is>
      </c>
      <c r="D3401" s="10" t="inlineStr">
        <is>
          <t>Porcelanato Piso Retificado Embramaco 76x76cm Acetinado Nevada Mate Plus Retificado</t>
        </is>
      </c>
      <c r="E3401" s="11">
        <f t="array" ref="E3401">_xlfn.XLOOKUP(D3401,Insumos!B:B,Insumos!C:$C)</f>
        <v/>
      </c>
      <c r="F3401" s="14" t="n">
        <v>1.1</v>
      </c>
      <c r="G3401" s="92">
        <f t="array" ref="G3401">IF(B3401="insumo",_xlfn.XLOOKUP($D3401,Insumos!$B$1:$B$996,Insumos!$D$1:$D$996),"")</f>
        <v/>
      </c>
      <c r="H3401" s="92" t="n">
        <v>38.39</v>
      </c>
      <c r="I3401" s="2162" t="n">
        <v>0</v>
      </c>
      <c r="J3401" s="2162" t="n">
        <v>0</v>
      </c>
      <c r="K3401" s="2162" t="n"/>
    </row>
    <row r="3402" outlineLevel="3" ht="15.75" customHeight="1">
      <c r="A3402" s="10" t="n">
        <v>191</v>
      </c>
      <c r="B3402" s="10" t="inlineStr">
        <is>
          <t>Insumo</t>
        </is>
      </c>
      <c r="C3402" s="10" t="inlineStr">
        <is>
          <t>Revestimento de Piso Porcelanato Interno Retificado Embramaco 76x76cm Acetinado Nevada Mate Plus Retificado</t>
        </is>
      </c>
      <c r="D3402" s="10" t="inlineStr">
        <is>
          <t>Argamassa ACIII</t>
        </is>
      </c>
      <c r="E3402" s="11">
        <f t="array" ref="E3402">_xlfn.XLOOKUP(D3402,Insumos!B:B,Insumos!C:$C)</f>
        <v/>
      </c>
      <c r="F3402" s="14" t="n">
        <v>8.800000000000001</v>
      </c>
      <c r="G3402" s="92">
        <f t="array" ref="G3402">IF(B3402="insumo",_xlfn.XLOOKUP($D3402,Insumos!$B$1:$B$996,Insumos!$D$1:$D$996),"")</f>
        <v/>
      </c>
      <c r="H3402" s="92" t="n">
        <v>9.367599999999999</v>
      </c>
      <c r="I3402" s="2162" t="n">
        <v>0</v>
      </c>
      <c r="J3402" s="2162" t="n">
        <v>0</v>
      </c>
      <c r="K3402" s="2162" t="n"/>
    </row>
    <row r="3403" outlineLevel="3" ht="15.75" customHeight="1">
      <c r="A3403" s="10" t="n">
        <v>142</v>
      </c>
      <c r="B3403" s="10" t="inlineStr">
        <is>
          <t>Insumo</t>
        </is>
      </c>
      <c r="C3403" s="10" t="inlineStr">
        <is>
          <t>Revestimento de Piso Porcelanato Interno Retificado Embramaco 76x76cm Acetinado Nevada Mate Plus Retificado</t>
        </is>
      </c>
      <c r="D3403" s="10" t="inlineStr">
        <is>
          <t>Espeçador junta piso 2mm</t>
        </is>
      </c>
      <c r="E3403" s="11">
        <f t="array" ref="E3403">_xlfn.XLOOKUP(D3403,Insumos!B:B,Insumos!C:$C)</f>
        <v/>
      </c>
      <c r="F3403" s="14" t="n">
        <v>1</v>
      </c>
      <c r="G3403" s="92">
        <f t="array" ref="G3403">IF(B3403="insumo",_xlfn.XLOOKUP($D3403,Insumos!$B$1:$B$996,Insumos!$D$1:$D$996),"")</f>
        <v/>
      </c>
      <c r="H3403" s="92" t="n">
        <v>0.08</v>
      </c>
      <c r="I3403" s="2162" t="n">
        <v>0</v>
      </c>
      <c r="J3403" s="2162" t="n">
        <v>0</v>
      </c>
      <c r="K3403" s="2162" t="n"/>
    </row>
    <row r="3404" outlineLevel="3" ht="15.75" customHeight="1">
      <c r="A3404" s="10" t="n">
        <v>101</v>
      </c>
      <c r="B3404" s="10" t="inlineStr">
        <is>
          <t>Insumo</t>
        </is>
      </c>
      <c r="C3404" s="10" t="inlineStr">
        <is>
          <t>Revestimento de Piso Porcelanato Interno Retificado Embramaco 76x76cm Acetinado Nevada Mate Plus Retificado</t>
        </is>
      </c>
      <c r="D3404" s="10" t="inlineStr">
        <is>
          <t>Rejunte Cimentício</t>
        </is>
      </c>
      <c r="E3404" s="11">
        <f t="array" ref="E3404">_xlfn.XLOOKUP(D3404,Insumos!B:B,Insumos!C:$C)</f>
        <v/>
      </c>
      <c r="F3404" s="14" t="n">
        <v>0.01</v>
      </c>
      <c r="G3404" s="92">
        <f t="array" ref="G3404">IF(B3404="insumo",_xlfn.XLOOKUP($D3404,Insumos!$B$1:$B$996,Insumos!$D$1:$D$996),"")</f>
        <v/>
      </c>
      <c r="H3404" s="92" t="n">
        <v>0.1115</v>
      </c>
      <c r="I3404" s="2162" t="n">
        <v>0</v>
      </c>
      <c r="J3404" s="2162" t="n">
        <v>0</v>
      </c>
      <c r="K3404" s="2162" t="n"/>
    </row>
    <row r="3405" outlineLevel="2" ht="15.75" customHeight="1">
      <c r="A3405" s="1067" t="n">
        <v>1</v>
      </c>
      <c r="B3405" s="1067" t="inlineStr">
        <is>
          <t>Serviço</t>
        </is>
      </c>
      <c r="C3405" s="1067" t="inlineStr">
        <is>
          <t>Revestimento de Piso Porcelanato Externo Portobello Deck Parquet D Olivier Externo "A" 81x81cm</t>
        </is>
      </c>
      <c r="D3405" s="1067" t="inlineStr">
        <is>
          <t>Revestimento de Piso Porcelanato Externo Portobello Deck Parquet D Olivier Externo "A" 81x81cm</t>
        </is>
      </c>
      <c r="E3405" s="1068" t="inlineStr">
        <is>
          <t>M2</t>
        </is>
      </c>
      <c r="F3405" s="1067" t="n"/>
      <c r="G3405" s="1069">
        <f t="array" ref="G3405">IF(B3405="insumo",_xlfn.XLOOKUP($D3405,Insumos!$B$1:$B$996,Insumos!$D$1:$D$996),"")</f>
        <v/>
      </c>
      <c r="H3405" s="1069" t="n">
        <v>102.9491</v>
      </c>
      <c r="I3405" s="2161" t="n">
        <v>0</v>
      </c>
      <c r="J3405" s="2161" t="n">
        <v>0</v>
      </c>
      <c r="K3405" s="2161" t="n"/>
    </row>
    <row r="3406" outlineLevel="3" ht="15.75" customHeight="1">
      <c r="A3406" s="10" t="n">
        <v>1</v>
      </c>
      <c r="B3406" s="10" t="inlineStr">
        <is>
          <t>Insumo</t>
        </is>
      </c>
      <c r="C3406" s="10" t="inlineStr">
        <is>
          <t>Revestimento de Piso Porcelanato Externo Portobello Deck Parquet D Olivier Externo "A" 81x81cm</t>
        </is>
      </c>
      <c r="D3406" s="10" t="inlineStr">
        <is>
          <t>Porcelanato Portobello Deck Parquet D Olivier Externo "A" 81x81cm</t>
        </is>
      </c>
      <c r="E3406" s="11">
        <f t="array" ref="E3406">_xlfn.XLOOKUP(D3406,Insumos!B:B,Insumos!C:$C)</f>
        <v/>
      </c>
      <c r="F3406" s="14" t="n">
        <v>1.1</v>
      </c>
      <c r="G3406" s="92">
        <f t="array" ref="G3406">IF(B3406="insumo",_xlfn.XLOOKUP($D3406,Insumos!$B$1:$B$996,Insumos!$D$1:$D$996),"")</f>
        <v/>
      </c>
      <c r="H3406" s="92" t="n">
        <v>93.39</v>
      </c>
      <c r="I3406" s="2162" t="n">
        <v>0</v>
      </c>
      <c r="J3406" s="2162" t="n">
        <v>0</v>
      </c>
      <c r="K3406" s="2162" t="n"/>
    </row>
    <row r="3407" outlineLevel="3" ht="15.75" customHeight="1">
      <c r="A3407" s="10" t="n">
        <v>191</v>
      </c>
      <c r="B3407" s="10" t="inlineStr">
        <is>
          <t>Insumo</t>
        </is>
      </c>
      <c r="C3407" s="10" t="inlineStr">
        <is>
          <t>Revestimento de Piso Porcelanato Externo Portobello Deck Parquet D Olivier Externo "A" 81x81cm</t>
        </is>
      </c>
      <c r="D3407" s="10" t="inlineStr">
        <is>
          <t>Argamassa ACIII</t>
        </is>
      </c>
      <c r="E3407" s="11">
        <f t="array" ref="E3407">_xlfn.XLOOKUP(D3407,Insumos!B:B,Insumos!C:$C)</f>
        <v/>
      </c>
      <c r="F3407" s="14" t="n">
        <v>8.800000000000001</v>
      </c>
      <c r="G3407" s="92">
        <f t="array" ref="G3407">IF(B3407="insumo",_xlfn.XLOOKUP($D3407,Insumos!$B$1:$B$996,Insumos!$D$1:$D$996),"")</f>
        <v/>
      </c>
      <c r="H3407" s="92" t="n">
        <v>9.367599999999999</v>
      </c>
      <c r="I3407" s="2162" t="n">
        <v>0</v>
      </c>
      <c r="J3407" s="2162" t="n">
        <v>0</v>
      </c>
      <c r="K3407" s="2162" t="n"/>
    </row>
    <row r="3408" outlineLevel="3" ht="15.75" customHeight="1">
      <c r="A3408" s="10" t="n">
        <v>142</v>
      </c>
      <c r="B3408" s="10" t="inlineStr">
        <is>
          <t>Insumo</t>
        </is>
      </c>
      <c r="C3408" s="10" t="inlineStr">
        <is>
          <t>Revestimento de Piso Porcelanato Externo Portobello Deck Parquet D Olivier Externo "A" 81x81cm</t>
        </is>
      </c>
      <c r="D3408" s="10" t="inlineStr">
        <is>
          <t>Espeçador junta piso 2mm</t>
        </is>
      </c>
      <c r="E3408" s="11">
        <f t="array" ref="E3408">_xlfn.XLOOKUP(D3408,Insumos!B:B,Insumos!C:$C)</f>
        <v/>
      </c>
      <c r="F3408" s="14" t="n">
        <v>1</v>
      </c>
      <c r="G3408" s="92">
        <f t="array" ref="G3408">IF(B3408="insumo",_xlfn.XLOOKUP($D3408,Insumos!$B$1:$B$996,Insumos!$D$1:$D$996),"")</f>
        <v/>
      </c>
      <c r="H3408" s="92" t="n">
        <v>0.08</v>
      </c>
      <c r="I3408" s="2162" t="n">
        <v>0</v>
      </c>
      <c r="J3408" s="2162" t="n">
        <v>0</v>
      </c>
      <c r="K3408" s="2162" t="n"/>
    </row>
    <row r="3409" outlineLevel="3" ht="15.75" customHeight="1">
      <c r="A3409" s="10" t="n">
        <v>101</v>
      </c>
      <c r="B3409" s="10" t="inlineStr">
        <is>
          <t>Insumo</t>
        </is>
      </c>
      <c r="C3409" s="10" t="inlineStr">
        <is>
          <t>Revestimento de Piso Porcelanato Externo Portobello Deck Parquet D Olivier Externo "A" 81x81cm</t>
        </is>
      </c>
      <c r="D3409" s="10" t="inlineStr">
        <is>
          <t>Rejunte Cimentício</t>
        </is>
      </c>
      <c r="E3409" s="11">
        <f t="array" ref="E3409">_xlfn.XLOOKUP(D3409,Insumos!B:B,Insumos!C:$C)</f>
        <v/>
      </c>
      <c r="F3409" s="14" t="n">
        <v>0.01</v>
      </c>
      <c r="G3409" s="92">
        <f t="array" ref="G3409">IF(B3409="insumo",_xlfn.XLOOKUP($D3409,Insumos!$B$1:$B$996,Insumos!$D$1:$D$996),"")</f>
        <v/>
      </c>
      <c r="H3409" s="92" t="n">
        <v>0.1115</v>
      </c>
      <c r="I3409" s="2162" t="n">
        <v>0</v>
      </c>
      <c r="J3409" s="2162" t="n">
        <v>0</v>
      </c>
      <c r="K3409" s="2162" t="n"/>
    </row>
    <row r="3410" outlineLevel="2" ht="15.75" customHeight="1">
      <c r="A3410" s="1067" t="n">
        <v>1</v>
      </c>
      <c r="B3410" s="1067" t="inlineStr">
        <is>
          <t>Serviço</t>
        </is>
      </c>
      <c r="C3410" s="1067" t="inlineStr">
        <is>
          <t>Revestimento de Piso Porcelanato Acetinado, Placa 84x84cm (Porcelanato, rejunte, argamassa e espaçador)</t>
        </is>
      </c>
      <c r="D3410" s="1067" t="inlineStr">
        <is>
          <t>Revestimento de Piso Porcelanato Acetinado, Placa 84x84cm (Porcelanato, rejunte, argamassa e espaçador)</t>
        </is>
      </c>
      <c r="E3410" s="1068" t="inlineStr">
        <is>
          <t>M2</t>
        </is>
      </c>
      <c r="F3410" s="1067" t="n"/>
      <c r="G3410" s="1069">
        <f t="array" ref="G3410">IF(B3410="insumo",_xlfn.XLOOKUP($D3410,Insumos!$B$1:$B$996,Insumos!$D$1:$D$996),"")</f>
        <v/>
      </c>
      <c r="H3410" s="1069" t="n">
        <v>97.5591</v>
      </c>
      <c r="I3410" s="2161" t="n">
        <v>0</v>
      </c>
      <c r="J3410" s="2161" t="n">
        <v>0</v>
      </c>
      <c r="K3410" s="2161" t="n"/>
    </row>
    <row r="3411" outlineLevel="3" ht="15.75" customHeight="1">
      <c r="A3411" s="10" t="n">
        <v>1</v>
      </c>
      <c r="B3411" s="10" t="inlineStr">
        <is>
          <t>Insumo</t>
        </is>
      </c>
      <c r="C3411" s="10" t="inlineStr">
        <is>
          <t>Revestimento de Piso Porcelanato Acetinado, Placa 84x84cm (Porcelanato, rejunte, argamassa e espaçador)</t>
        </is>
      </c>
      <c r="D3411" s="10" t="inlineStr">
        <is>
          <t xml:space="preserve">Porcelanato A 84x84cm acetinado </t>
        </is>
      </c>
      <c r="E3411" s="11">
        <f t="array" ref="E3411">_xlfn.XLOOKUP(D3411,Insumos!B:B,Insumos!C:$C)</f>
        <v/>
      </c>
      <c r="F3411" s="14" t="n">
        <v>1.1</v>
      </c>
      <c r="G3411" s="92">
        <f t="array" ref="G3411">IF(B3411="insumo",_xlfn.XLOOKUP($D3411,Insumos!$B$1:$B$996,Insumos!$D$1:$D$996),"")</f>
        <v/>
      </c>
      <c r="H3411" s="92" t="n">
        <v>88</v>
      </c>
      <c r="I3411" s="2162" t="n">
        <v>0</v>
      </c>
      <c r="J3411" s="2162" t="n">
        <v>0</v>
      </c>
      <c r="K3411" s="2162" t="n"/>
    </row>
    <row r="3412" outlineLevel="3" ht="15.75" customHeight="1">
      <c r="A3412" s="10" t="n">
        <v>191</v>
      </c>
      <c r="B3412" s="10" t="inlineStr">
        <is>
          <t>Insumo</t>
        </is>
      </c>
      <c r="C3412" s="10" t="inlineStr">
        <is>
          <t>Revestimento de Piso Porcelanato Acetinado, Placa 84x84cm (Porcelanato, rejunte, argamassa e espaçador)</t>
        </is>
      </c>
      <c r="D3412" s="10" t="inlineStr">
        <is>
          <t>Argamassa ACIII</t>
        </is>
      </c>
      <c r="E3412" s="11">
        <f t="array" ref="E3412">_xlfn.XLOOKUP(D3412,Insumos!B:B,Insumos!C:$C)</f>
        <v/>
      </c>
      <c r="F3412" s="14" t="n">
        <v>8.800000000000001</v>
      </c>
      <c r="G3412" s="92">
        <f t="array" ref="G3412">IF(B3412="insumo",_xlfn.XLOOKUP($D3412,Insumos!$B$1:$B$996,Insumos!$D$1:$D$996),"")</f>
        <v/>
      </c>
      <c r="H3412" s="92" t="n">
        <v>9.367599999999999</v>
      </c>
      <c r="I3412" s="2162" t="n">
        <v>0</v>
      </c>
      <c r="J3412" s="2162" t="n">
        <v>0</v>
      </c>
      <c r="K3412" s="2162" t="n"/>
    </row>
    <row r="3413" outlineLevel="3" ht="15.75" customHeight="1">
      <c r="A3413" s="10" t="n">
        <v>142</v>
      </c>
      <c r="B3413" s="10" t="inlineStr">
        <is>
          <t>Insumo</t>
        </is>
      </c>
      <c r="C3413" s="10" t="inlineStr">
        <is>
          <t>Revestimento de Piso Porcelanato Acetinado, Placa 84x84cm (Porcelanato, rejunte, argamassa e espaçador)</t>
        </is>
      </c>
      <c r="D3413" s="10" t="inlineStr">
        <is>
          <t>Espeçador junta piso 2mm</t>
        </is>
      </c>
      <c r="E3413" s="11">
        <f t="array" ref="E3413">_xlfn.XLOOKUP(D3413,Insumos!B:B,Insumos!C:$C)</f>
        <v/>
      </c>
      <c r="F3413" s="14" t="n">
        <v>1</v>
      </c>
      <c r="G3413" s="92">
        <f t="array" ref="G3413">IF(B3413="insumo",_xlfn.XLOOKUP($D3413,Insumos!$B$1:$B$996,Insumos!$D$1:$D$996),"")</f>
        <v/>
      </c>
      <c r="H3413" s="92" t="n">
        <v>0.08</v>
      </c>
      <c r="I3413" s="2162" t="n">
        <v>0</v>
      </c>
      <c r="J3413" s="2162" t="n">
        <v>0</v>
      </c>
      <c r="K3413" s="2162" t="n"/>
    </row>
    <row r="3414" outlineLevel="3" ht="15.75" customHeight="1">
      <c r="A3414" s="10" t="n">
        <v>101</v>
      </c>
      <c r="B3414" s="10" t="inlineStr">
        <is>
          <t>Insumo</t>
        </is>
      </c>
      <c r="C3414" s="10" t="inlineStr">
        <is>
          <t>Revestimento de Piso Porcelanato Acetinado, Placa 84x84cm (Porcelanato, rejunte, argamassa e espaçador)</t>
        </is>
      </c>
      <c r="D3414" s="10" t="inlineStr">
        <is>
          <t>Rejunte Cimentício</t>
        </is>
      </c>
      <c r="E3414" s="11">
        <f t="array" ref="E3414">_xlfn.XLOOKUP(D3414,Insumos!B:B,Insumos!C:$C)</f>
        <v/>
      </c>
      <c r="F3414" s="14" t="n">
        <v>0.01</v>
      </c>
      <c r="G3414" s="92">
        <f t="array" ref="G3414">IF(B3414="insumo",_xlfn.XLOOKUP($D3414,Insumos!$B$1:$B$996,Insumos!$D$1:$D$996),"")</f>
        <v/>
      </c>
      <c r="H3414" s="92" t="n">
        <v>0.1115</v>
      </c>
      <c r="I3414" s="2162" t="n">
        <v>0</v>
      </c>
      <c r="J3414" s="2162" t="n">
        <v>0</v>
      </c>
      <c r="K3414" s="2162" t="n"/>
    </row>
    <row r="3415" outlineLevel="2" ht="15.75" customHeight="1">
      <c r="A3415" s="1067" t="n">
        <v>1</v>
      </c>
      <c r="B3415" s="1067" t="inlineStr">
        <is>
          <t>Serviço</t>
        </is>
      </c>
      <c r="C3415" s="1067" t="inlineStr">
        <is>
          <t>Revestimento de Piso Porcelanato Externo Porcelanato Pro Concrete Abs 89,5X89,5cm</t>
        </is>
      </c>
      <c r="D3415" s="1067" t="inlineStr">
        <is>
          <t>Revestimento de Piso Porcelanato Externo Porcelanato Pro Concrete Abs 89,5X89,5cm</t>
        </is>
      </c>
      <c r="E3415" s="1068" t="inlineStr">
        <is>
          <t>M2</t>
        </is>
      </c>
      <c r="F3415" s="1067" t="n"/>
      <c r="G3415" s="1069">
        <f t="array" ref="G3415">IF(B3415="insumo",_xlfn.XLOOKUP($D3415,Insumos!$B$1:$B$996,Insumos!$D$1:$D$996),"")</f>
        <v/>
      </c>
      <c r="H3415" s="1069" t="n">
        <v>168.9491</v>
      </c>
      <c r="I3415" s="2161" t="n">
        <v>0</v>
      </c>
      <c r="J3415" s="2161" t="n">
        <v>0</v>
      </c>
      <c r="K3415" s="2161" t="n"/>
    </row>
    <row r="3416" outlineLevel="3" ht="15.75" customHeight="1">
      <c r="A3416" s="10" t="n">
        <v>1</v>
      </c>
      <c r="B3416" s="10" t="inlineStr">
        <is>
          <t>Insumo</t>
        </is>
      </c>
      <c r="C3416" s="10" t="inlineStr">
        <is>
          <t>Revestimento de Piso Porcelanato Externo Porcelanato Pro Concrete Abs 89,5X89,5cm</t>
        </is>
      </c>
      <c r="D3416" s="10" t="inlineStr">
        <is>
          <t>Porcelanato Pro Concrete Abs 89,5X89,5cm</t>
        </is>
      </c>
      <c r="E3416" s="11">
        <f t="array" ref="E3416">_xlfn.XLOOKUP(D3416,Insumos!B:B,Insumos!C:$C)</f>
        <v/>
      </c>
      <c r="F3416" s="14" t="n">
        <v>1.1</v>
      </c>
      <c r="G3416" s="92">
        <f t="array" ref="G3416">IF(B3416="insumo",_xlfn.XLOOKUP($D3416,Insumos!$B$1:$B$996,Insumos!$D$1:$D$996),"")</f>
        <v/>
      </c>
      <c r="H3416" s="92" t="n">
        <v>159.39</v>
      </c>
      <c r="I3416" s="2162" t="n">
        <v>0</v>
      </c>
      <c r="J3416" s="2162" t="n">
        <v>0</v>
      </c>
      <c r="K3416" s="2162" t="n"/>
    </row>
    <row r="3417" outlineLevel="3" ht="15.75" customHeight="1">
      <c r="A3417" s="10" t="n">
        <v>191</v>
      </c>
      <c r="B3417" s="10" t="inlineStr">
        <is>
          <t>Insumo</t>
        </is>
      </c>
      <c r="C3417" s="10" t="inlineStr">
        <is>
          <t>Revestimento de Piso Porcelanato Externo Porcelanato Pro Concrete Abs 89,5X89,5cm</t>
        </is>
      </c>
      <c r="D3417" s="10" t="inlineStr">
        <is>
          <t>Argamassa ACIII</t>
        </is>
      </c>
      <c r="E3417" s="11">
        <f t="array" ref="E3417">_xlfn.XLOOKUP(D3417,Insumos!B:B,Insumos!C:$C)</f>
        <v/>
      </c>
      <c r="F3417" s="14" t="n">
        <v>8.800000000000001</v>
      </c>
      <c r="G3417" s="92">
        <f t="array" ref="G3417">IF(B3417="insumo",_xlfn.XLOOKUP($D3417,Insumos!$B$1:$B$996,Insumos!$D$1:$D$996),"")</f>
        <v/>
      </c>
      <c r="H3417" s="92" t="n">
        <v>9.367599999999999</v>
      </c>
      <c r="I3417" s="2162" t="n">
        <v>0</v>
      </c>
      <c r="J3417" s="2162" t="n">
        <v>0</v>
      </c>
      <c r="K3417" s="2162" t="n"/>
    </row>
    <row r="3418" outlineLevel="3" ht="15.75" customHeight="1">
      <c r="A3418" s="10" t="n">
        <v>142</v>
      </c>
      <c r="B3418" s="10" t="inlineStr">
        <is>
          <t>Insumo</t>
        </is>
      </c>
      <c r="C3418" s="10" t="inlineStr">
        <is>
          <t>Revestimento de Piso Porcelanato Externo Porcelanato Pro Concrete Abs 89,5X89,5cm</t>
        </is>
      </c>
      <c r="D3418" s="10" t="inlineStr">
        <is>
          <t>Espeçador junta piso 2mm</t>
        </is>
      </c>
      <c r="E3418" s="11">
        <f t="array" ref="E3418">_xlfn.XLOOKUP(D3418,Insumos!B:B,Insumos!C:$C)</f>
        <v/>
      </c>
      <c r="F3418" s="14" t="n">
        <v>1</v>
      </c>
      <c r="G3418" s="92">
        <f t="array" ref="G3418">IF(B3418="insumo",_xlfn.XLOOKUP($D3418,Insumos!$B$1:$B$996,Insumos!$D$1:$D$996),"")</f>
        <v/>
      </c>
      <c r="H3418" s="92" t="n">
        <v>0.08</v>
      </c>
      <c r="I3418" s="2162" t="n">
        <v>0</v>
      </c>
      <c r="J3418" s="2162" t="n">
        <v>0</v>
      </c>
      <c r="K3418" s="2162" t="n"/>
    </row>
    <row r="3419" outlineLevel="3" ht="15.75" customHeight="1">
      <c r="A3419" s="10" t="n">
        <v>101</v>
      </c>
      <c r="B3419" s="10" t="inlineStr">
        <is>
          <t>Insumo</t>
        </is>
      </c>
      <c r="C3419" s="10" t="inlineStr">
        <is>
          <t>Revestimento de Piso Porcelanato Externo Porcelanato Pro Concrete Abs 89,5X89,5cm</t>
        </is>
      </c>
      <c r="D3419" s="10" t="inlineStr">
        <is>
          <t>Rejunte Cimentício</t>
        </is>
      </c>
      <c r="E3419" s="11">
        <f t="array" ref="E3419">_xlfn.XLOOKUP(D3419,Insumos!B:B,Insumos!C:$C)</f>
        <v/>
      </c>
      <c r="F3419" s="14" t="n">
        <v>0.01</v>
      </c>
      <c r="G3419" s="92">
        <f t="array" ref="G3419">IF(B3419="insumo",_xlfn.XLOOKUP($D3419,Insumos!$B$1:$B$996,Insumos!$D$1:$D$996),"")</f>
        <v/>
      </c>
      <c r="H3419" s="92" t="n">
        <v>0.1115</v>
      </c>
      <c r="I3419" s="2162" t="n">
        <v>0</v>
      </c>
      <c r="J3419" s="2162" t="n">
        <v>0</v>
      </c>
      <c r="K3419" s="2162" t="n"/>
    </row>
    <row r="3420" outlineLevel="2" ht="15.75" customHeight="1">
      <c r="A3420" s="1067" t="n">
        <v>1</v>
      </c>
      <c r="B3420" s="1067" t="inlineStr">
        <is>
          <t>Serviço</t>
        </is>
      </c>
      <c r="C3420" s="1067" t="inlineStr">
        <is>
          <t>Revestimento de Piso Porcelanato Acetinado, Placa 90x90cm</t>
        </is>
      </c>
      <c r="D3420" s="1067" t="inlineStr">
        <is>
          <t>Revestimento de Piso Porcelanato Acetinado, Placa 90x90cm</t>
        </is>
      </c>
      <c r="E3420" s="1068" t="inlineStr">
        <is>
          <t>M2</t>
        </is>
      </c>
      <c r="F3420" s="1067" t="n"/>
      <c r="G3420" s="1069">
        <f t="array" ref="G3420">IF(B3420="insumo",_xlfn.XLOOKUP($D3420,Insumos!$B$1:$B$996,Insumos!$D$1:$D$996),"")</f>
        <v/>
      </c>
      <c r="H3420" s="1069" t="n">
        <v>92.9391</v>
      </c>
      <c r="I3420" s="2161" t="n">
        <v>0</v>
      </c>
      <c r="J3420" s="2161" t="n">
        <v>0</v>
      </c>
      <c r="K3420" s="2161" t="n"/>
    </row>
    <row r="3421" outlineLevel="3" ht="15.75" customHeight="1">
      <c r="A3421" s="10" t="n">
        <v>2</v>
      </c>
      <c r="B3421" s="10" t="inlineStr">
        <is>
          <t>Insumo</t>
        </is>
      </c>
      <c r="C3421" s="10" t="inlineStr">
        <is>
          <t>Revestimento de Piso Porcelanato Acetinado, Placa 90x90cm</t>
        </is>
      </c>
      <c r="D3421" s="10" t="inlineStr">
        <is>
          <t xml:space="preserve">Porcelanato A 90x90cm acetinado </t>
        </is>
      </c>
      <c r="E3421" s="11">
        <f t="array" ref="E3421">_xlfn.XLOOKUP(D3421,Insumos!B:B,Insumos!C:$C)</f>
        <v/>
      </c>
      <c r="F3421" s="14" t="n">
        <v>1.1</v>
      </c>
      <c r="G3421" s="92">
        <f t="array" ref="G3421">IF(B3421="insumo",_xlfn.XLOOKUP($D3421,Insumos!$B$1:$B$996,Insumos!$D$1:$D$996),"")</f>
        <v/>
      </c>
      <c r="H3421" s="92" t="n">
        <v>83.38</v>
      </c>
      <c r="I3421" s="2162" t="n">
        <v>0</v>
      </c>
      <c r="J3421" s="2162" t="n">
        <v>0</v>
      </c>
      <c r="K3421" s="2162" t="n"/>
    </row>
    <row r="3422" outlineLevel="3" ht="15.75" customHeight="1">
      <c r="A3422" s="10" t="n">
        <v>191</v>
      </c>
      <c r="B3422" s="10" t="inlineStr">
        <is>
          <t>Insumo</t>
        </is>
      </c>
      <c r="C3422" s="10" t="inlineStr">
        <is>
          <t>Revestimento de Piso Porcelanato Acetinado, Placa 90x90cm</t>
        </is>
      </c>
      <c r="D3422" s="10" t="inlineStr">
        <is>
          <t>Argamassa ACIII</t>
        </is>
      </c>
      <c r="E3422" s="11">
        <f t="array" ref="E3422">_xlfn.XLOOKUP(D3422,Insumos!B:B,Insumos!C:$C)</f>
        <v/>
      </c>
      <c r="F3422" s="14" t="n">
        <v>8.800000000000001</v>
      </c>
      <c r="G3422" s="92">
        <f t="array" ref="G3422">IF(B3422="insumo",_xlfn.XLOOKUP($D3422,Insumos!$B$1:$B$996,Insumos!$D$1:$D$996),"")</f>
        <v/>
      </c>
      <c r="H3422" s="92" t="n">
        <v>9.367599999999999</v>
      </c>
      <c r="I3422" s="2162" t="n">
        <v>0</v>
      </c>
      <c r="J3422" s="2162" t="n">
        <v>0</v>
      </c>
      <c r="K3422" s="2162" t="n"/>
    </row>
    <row r="3423" outlineLevel="3" ht="15.75" customHeight="1">
      <c r="A3423" s="10" t="n">
        <v>142</v>
      </c>
      <c r="B3423" s="10" t="inlineStr">
        <is>
          <t>Insumo</t>
        </is>
      </c>
      <c r="C3423" s="10" t="inlineStr">
        <is>
          <t>Revestimento de Piso Porcelanato Acetinado, Placa 90x90cm</t>
        </is>
      </c>
      <c r="D3423" s="10" t="inlineStr">
        <is>
          <t>Espeçador junta piso 2mm</t>
        </is>
      </c>
      <c r="E3423" s="11">
        <f t="array" ref="E3423">_xlfn.XLOOKUP(D3423,Insumos!B:B,Insumos!C:$C)</f>
        <v/>
      </c>
      <c r="F3423" s="14" t="n">
        <v>1</v>
      </c>
      <c r="G3423" s="92">
        <f t="array" ref="G3423">IF(B3423="insumo",_xlfn.XLOOKUP($D3423,Insumos!$B$1:$B$996,Insumos!$D$1:$D$996),"")</f>
        <v/>
      </c>
      <c r="H3423" s="92" t="n">
        <v>0.08</v>
      </c>
      <c r="I3423" s="2162" t="n">
        <v>0</v>
      </c>
      <c r="J3423" s="2162" t="n">
        <v>0</v>
      </c>
      <c r="K3423" s="2162" t="n"/>
    </row>
    <row r="3424" outlineLevel="3" ht="15.75" customHeight="1">
      <c r="A3424" s="10" t="n">
        <v>101</v>
      </c>
      <c r="B3424" s="10" t="inlineStr">
        <is>
          <t>Insumo</t>
        </is>
      </c>
      <c r="C3424" s="10" t="inlineStr">
        <is>
          <t>Revestimento de Piso Porcelanato Acetinado, Placa 90x90cm</t>
        </is>
      </c>
      <c r="D3424" s="10" t="inlineStr">
        <is>
          <t>Rejunte Cimentício</t>
        </is>
      </c>
      <c r="E3424" s="11">
        <f t="array" ref="E3424">_xlfn.XLOOKUP(D3424,Insumos!B:B,Insumos!C:$C)</f>
        <v/>
      </c>
      <c r="F3424" s="14" t="n">
        <v>0.01</v>
      </c>
      <c r="G3424" s="92">
        <f t="array" ref="G3424">IF(B3424="insumo",_xlfn.XLOOKUP($D3424,Insumos!$B$1:$B$996,Insumos!$D$1:$D$996),"")</f>
        <v/>
      </c>
      <c r="H3424" s="92" t="n">
        <v>0.1115</v>
      </c>
      <c r="I3424" s="2162" t="n">
        <v>0</v>
      </c>
      <c r="J3424" s="2162" t="n">
        <v>0</v>
      </c>
      <c r="K3424" s="2162" t="n"/>
    </row>
    <row r="3425" outlineLevel="2" ht="15.75" customHeight="1">
      <c r="A3425" s="1067" t="n">
        <v>1</v>
      </c>
      <c r="B3425" s="1067" t="inlineStr">
        <is>
          <t>Serviço</t>
        </is>
      </c>
      <c r="C3425" s="1067" t="inlineStr">
        <is>
          <t>Revestimento em Porcelanato Piso Externo, 90x 90cm com Junta de 3mm</t>
        </is>
      </c>
      <c r="D3425" s="1067" t="inlineStr">
        <is>
          <t>Revestimento em Porcelanato Piso Externo, 90x 90cm com Junta de 3mm</t>
        </is>
      </c>
      <c r="E3425" s="1068" t="inlineStr">
        <is>
          <t>M2</t>
        </is>
      </c>
      <c r="F3425" s="1067" t="n"/>
      <c r="G3425" s="1069">
        <f t="array" ref="G3425">IF(B3425="insumo",_xlfn.XLOOKUP($D3425,Insumos!$B$1:$B$996,Insumos!$D$1:$D$996),"")</f>
        <v/>
      </c>
      <c r="H3425" s="1069" t="n">
        <v>206.5356</v>
      </c>
      <c r="I3425" s="2161" t="n">
        <v>0</v>
      </c>
      <c r="J3425" s="2161" t="n">
        <v>0</v>
      </c>
      <c r="K3425" s="2161" t="n"/>
    </row>
    <row r="3426" outlineLevel="3" ht="15.75" customHeight="1">
      <c r="A3426" s="10" t="n">
        <v>1</v>
      </c>
      <c r="B3426" s="10" t="inlineStr">
        <is>
          <t>Insumo</t>
        </is>
      </c>
      <c r="C3426" s="10" t="inlineStr">
        <is>
          <t>Revestimento em Porcelanato Piso Externo, 90x 90cm com Junta de 3mm</t>
        </is>
      </c>
      <c r="D3426" s="10" t="inlineStr">
        <is>
          <t>Porcelanato Minimum cimento eliane A 90x90 ext</t>
        </is>
      </c>
      <c r="E3426" s="11">
        <f t="array" ref="E3426">_xlfn.XLOOKUP(D3426,Insumos!B:B,Insumos!C:$C)</f>
        <v/>
      </c>
      <c r="F3426" s="14" t="n">
        <v>1.1</v>
      </c>
      <c r="G3426" s="92">
        <f t="array" ref="G3426">IF(B3426="insumo",_xlfn.XLOOKUP($D3426,Insumos!$B$1:$B$996,Insumos!$D$1:$D$996),"")</f>
        <v/>
      </c>
      <c r="H3426" s="92" t="n">
        <v>196.68</v>
      </c>
      <c r="I3426" s="2162" t="n">
        <v>0</v>
      </c>
      <c r="J3426" s="2162" t="n">
        <v>0</v>
      </c>
      <c r="K3426" s="2162" t="n"/>
    </row>
    <row r="3427" outlineLevel="3" ht="15.75" customHeight="1">
      <c r="A3427" s="10" t="n">
        <v>191</v>
      </c>
      <c r="B3427" s="10" t="inlineStr">
        <is>
          <t>Insumo</t>
        </is>
      </c>
      <c r="C3427" s="10" t="inlineStr">
        <is>
          <t>Revestimento em Porcelanato Piso Externo, 90x 90cm com Junta de 3mm</t>
        </is>
      </c>
      <c r="D3427" s="10" t="inlineStr">
        <is>
          <t>Argamassa ACIII</t>
        </is>
      </c>
      <c r="E3427" s="11">
        <f t="array" ref="E3427">_xlfn.XLOOKUP(D3427,Insumos!B:B,Insumos!C:$C)</f>
        <v/>
      </c>
      <c r="F3427" s="14" t="n">
        <v>8.800000000000001</v>
      </c>
      <c r="G3427" s="92">
        <f t="array" ref="G3427">IF(B3427="insumo",_xlfn.XLOOKUP($D3427,Insumos!$B$1:$B$996,Insumos!$D$1:$D$996),"")</f>
        <v/>
      </c>
      <c r="H3427" s="92" t="n">
        <v>9.367599999999999</v>
      </c>
      <c r="I3427" s="2162" t="n">
        <v>0</v>
      </c>
      <c r="J3427" s="2162" t="n">
        <v>0</v>
      </c>
      <c r="K3427" s="2162" t="n"/>
    </row>
    <row r="3428" outlineLevel="3" ht="15.75" customHeight="1">
      <c r="A3428" s="10" t="n">
        <v>17</v>
      </c>
      <c r="B3428" s="10" t="inlineStr">
        <is>
          <t>Insumo</t>
        </is>
      </c>
      <c r="C3428" s="10" t="inlineStr">
        <is>
          <t>Revestimento em Porcelanato Piso Externo, 90x 90cm com Junta de 3mm</t>
        </is>
      </c>
      <c r="D3428" s="10" t="inlineStr">
        <is>
          <t>Espeçador junta piso 3mm</t>
        </is>
      </c>
      <c r="E3428" s="11">
        <f t="array" ref="E3428">_xlfn.XLOOKUP(D3428,Insumos!B:B,Insumos!C:$C)</f>
        <v/>
      </c>
      <c r="F3428" s="14" t="n">
        <v>1</v>
      </c>
      <c r="G3428" s="92">
        <f t="array" ref="G3428">IF(B3428="insumo",_xlfn.XLOOKUP($D3428,Insumos!$B$1:$B$996,Insumos!$D$1:$D$996),"")</f>
        <v/>
      </c>
      <c r="H3428" s="92" t="n">
        <v>0.05</v>
      </c>
      <c r="I3428" s="2162" t="n">
        <v>0</v>
      </c>
      <c r="J3428" s="2162" t="n">
        <v>0</v>
      </c>
      <c r="K3428" s="2162" t="n"/>
    </row>
    <row r="3429" outlineLevel="3" ht="15.75" customHeight="1">
      <c r="A3429" s="10" t="n">
        <v>22</v>
      </c>
      <c r="B3429" s="10" t="inlineStr">
        <is>
          <t>Insumo</t>
        </is>
      </c>
      <c r="C3429" s="10" t="inlineStr">
        <is>
          <t>Revestimento em Porcelanato Piso Externo, 90x 90cm com Junta de 3mm</t>
        </is>
      </c>
      <c r="D3429" s="10" t="inlineStr">
        <is>
          <t>Rejunte Acrilico</t>
        </is>
      </c>
      <c r="E3429" s="11">
        <f t="array" ref="E3429">_xlfn.XLOOKUP(D3429,Insumos!B:B,Insumos!C:$C)</f>
        <v/>
      </c>
      <c r="F3429" s="14" t="n">
        <v>0.01</v>
      </c>
      <c r="G3429" s="92">
        <f t="array" ref="G3429">IF(B3429="insumo",_xlfn.XLOOKUP($D3429,Insumos!$B$1:$B$996,Insumos!$D$1:$D$996),"")</f>
        <v/>
      </c>
      <c r="H3429" s="92" t="n">
        <v>0.438</v>
      </c>
      <c r="I3429" s="2162" t="n">
        <v>0</v>
      </c>
      <c r="J3429" s="2162" t="n">
        <v>0</v>
      </c>
      <c r="K3429" s="2162" t="n"/>
    </row>
    <row r="3430" outlineLevel="2" ht="15.75" customHeight="1">
      <c r="A3430" s="1067" t="n">
        <v>1</v>
      </c>
      <c r="B3430" s="1067" t="inlineStr">
        <is>
          <t>Serviço</t>
        </is>
      </c>
      <c r="C3430" s="1067" t="inlineStr">
        <is>
          <t xml:space="preserve">Revestimento de Piso, Porcelanato Mont Blanc Acetinado 90X90 Eliane    </t>
        </is>
      </c>
      <c r="D3430" s="1067" t="inlineStr">
        <is>
          <t xml:space="preserve">Revestimento de Piso, Porcelanato Mont Blanc Acetinado 90X90 Eliane    </t>
        </is>
      </c>
      <c r="E3430" s="1068" t="inlineStr">
        <is>
          <t>M2</t>
        </is>
      </c>
      <c r="F3430" s="1067" t="n"/>
      <c r="G3430" s="1069">
        <f t="array" ref="G3430">IF(B3430="insumo",_xlfn.XLOOKUP($D3430,Insumos!$B$1:$B$996,Insumos!$D$1:$D$996),"")</f>
        <v/>
      </c>
      <c r="H3430" s="1069" t="n">
        <v>128.2491</v>
      </c>
      <c r="I3430" s="2161" t="n">
        <v>0</v>
      </c>
      <c r="J3430" s="2161" t="n">
        <v>0</v>
      </c>
      <c r="K3430" s="2161" t="n"/>
    </row>
    <row r="3431" outlineLevel="3" ht="15.75" customHeight="1">
      <c r="A3431" s="10" t="n">
        <v>1</v>
      </c>
      <c r="B3431" s="10" t="inlineStr">
        <is>
          <t>Insumo</t>
        </is>
      </c>
      <c r="C3431" s="10" t="inlineStr">
        <is>
          <t xml:space="preserve">Revestimento de Piso, Porcelanato Mont Blanc Acetinado 90X90 Eliane    </t>
        </is>
      </c>
      <c r="D3431" s="10" t="inlineStr">
        <is>
          <t xml:space="preserve">Porcelanato Mont Blanc Acetinado 90X90 Eliane    </t>
        </is>
      </c>
      <c r="E3431" s="11">
        <f t="array" ref="E3431">_xlfn.XLOOKUP(D3431,Insumos!B:B,Insumos!C:$C)</f>
        <v/>
      </c>
      <c r="F3431" s="14" t="n">
        <v>1.1</v>
      </c>
      <c r="G3431" s="92">
        <f t="array" ref="G3431">IF(B3431="insumo",_xlfn.XLOOKUP($D3431,Insumos!$B$1:$B$996,Insumos!$D$1:$D$996),"")</f>
        <v/>
      </c>
      <c r="H3431" s="92" t="n">
        <v>118.69</v>
      </c>
      <c r="I3431" s="2162" t="n">
        <v>0</v>
      </c>
      <c r="J3431" s="2162" t="n">
        <v>0</v>
      </c>
      <c r="K3431" s="2162" t="n"/>
    </row>
    <row r="3432" outlineLevel="3" ht="15.75" customHeight="1">
      <c r="A3432" s="10" t="n">
        <v>191</v>
      </c>
      <c r="B3432" s="10" t="inlineStr">
        <is>
          <t>Insumo</t>
        </is>
      </c>
      <c r="C3432" s="10" t="inlineStr">
        <is>
          <t xml:space="preserve">Revestimento de Piso, Porcelanato Mont Blanc Acetinado 90X90 Eliane    </t>
        </is>
      </c>
      <c r="D3432" s="10" t="inlineStr">
        <is>
          <t>Argamassa ACIII</t>
        </is>
      </c>
      <c r="E3432" s="11">
        <f t="array" ref="E3432">_xlfn.XLOOKUP(D3432,Insumos!B:B,Insumos!C:$C)</f>
        <v/>
      </c>
      <c r="F3432" s="14" t="n">
        <v>8.800000000000001</v>
      </c>
      <c r="G3432" s="92">
        <f t="array" ref="G3432">IF(B3432="insumo",_xlfn.XLOOKUP($D3432,Insumos!$B$1:$B$996,Insumos!$D$1:$D$996),"")</f>
        <v/>
      </c>
      <c r="H3432" s="92" t="n">
        <v>9.367599999999999</v>
      </c>
      <c r="I3432" s="2162" t="n">
        <v>0</v>
      </c>
      <c r="J3432" s="2162" t="n">
        <v>0</v>
      </c>
      <c r="K3432" s="2162" t="n"/>
    </row>
    <row r="3433" outlineLevel="3" ht="15.75" customHeight="1">
      <c r="A3433" s="10" t="n">
        <v>142</v>
      </c>
      <c r="B3433" s="10" t="inlineStr">
        <is>
          <t>Insumo</t>
        </is>
      </c>
      <c r="C3433" s="10" t="inlineStr">
        <is>
          <t xml:space="preserve">Revestimento de Piso, Porcelanato Mont Blanc Acetinado 90X90 Eliane    </t>
        </is>
      </c>
      <c r="D3433" s="10" t="inlineStr">
        <is>
          <t>Espeçador junta piso 2mm</t>
        </is>
      </c>
      <c r="E3433" s="11">
        <f t="array" ref="E3433">_xlfn.XLOOKUP(D3433,Insumos!B:B,Insumos!C:$C)</f>
        <v/>
      </c>
      <c r="F3433" s="14" t="n">
        <v>1</v>
      </c>
      <c r="G3433" s="92">
        <f t="array" ref="G3433">IF(B3433="insumo",_xlfn.XLOOKUP($D3433,Insumos!$B$1:$B$996,Insumos!$D$1:$D$996),"")</f>
        <v/>
      </c>
      <c r="H3433" s="92" t="n">
        <v>0.08</v>
      </c>
      <c r="I3433" s="2162" t="n">
        <v>0</v>
      </c>
      <c r="J3433" s="2162" t="n">
        <v>0</v>
      </c>
      <c r="K3433" s="2162" t="n"/>
    </row>
    <row r="3434" outlineLevel="3" ht="15.75" customHeight="1">
      <c r="A3434" s="10" t="n">
        <v>101</v>
      </c>
      <c r="B3434" s="10" t="inlineStr">
        <is>
          <t>Insumo</t>
        </is>
      </c>
      <c r="C3434" s="10" t="inlineStr">
        <is>
          <t xml:space="preserve">Revestimento de Piso, Porcelanato Mont Blanc Acetinado 90X90 Eliane    </t>
        </is>
      </c>
      <c r="D3434" s="10" t="inlineStr">
        <is>
          <t>Rejunte Cimentício</t>
        </is>
      </c>
      <c r="E3434" s="11">
        <f t="array" ref="E3434">_xlfn.XLOOKUP(D3434,Insumos!B:B,Insumos!C:$C)</f>
        <v/>
      </c>
      <c r="F3434" s="14" t="n">
        <v>0.01</v>
      </c>
      <c r="G3434" s="92">
        <f t="array" ref="G3434">IF(B3434="insumo",_xlfn.XLOOKUP($D3434,Insumos!$B$1:$B$996,Insumos!$D$1:$D$996),"")</f>
        <v/>
      </c>
      <c r="H3434" s="92" t="n">
        <v>0.1115</v>
      </c>
      <c r="I3434" s="2162" t="n">
        <v>0</v>
      </c>
      <c r="J3434" s="2162" t="n">
        <v>0</v>
      </c>
      <c r="K3434" s="2162" t="n"/>
    </row>
    <row r="3435" outlineLevel="2" ht="15.75" customHeight="1">
      <c r="A3435" s="1067" t="n">
        <v>1</v>
      </c>
      <c r="B3435" s="1067" t="inlineStr">
        <is>
          <t>Serviço</t>
        </is>
      </c>
      <c r="C3435" s="1067" t="inlineStr">
        <is>
          <t xml:space="preserve">Revestimento de Piso, Porcelanato Mont Blanc Polido 90X90 Eliane    </t>
        </is>
      </c>
      <c r="D3435" s="1067" t="inlineStr">
        <is>
          <t xml:space="preserve">Revestimento de Piso, Porcelanato Mont Blanc Polido 90X90 Eliane    </t>
        </is>
      </c>
      <c r="E3435" s="1068" t="inlineStr">
        <is>
          <t>M2</t>
        </is>
      </c>
      <c r="F3435" s="1067" t="n"/>
      <c r="G3435" s="1069">
        <f t="array" ref="G3435">IF(B3435="insumo",_xlfn.XLOOKUP($D3435,Insumos!$B$1:$B$996,Insumos!$D$1:$D$996),"")</f>
        <v/>
      </c>
      <c r="H3435" s="1069" t="n">
        <v>93.5441</v>
      </c>
      <c r="I3435" s="2161" t="n">
        <v>0</v>
      </c>
      <c r="J3435" s="2161" t="n">
        <v>0</v>
      </c>
      <c r="K3435" s="2161" t="n"/>
    </row>
    <row r="3436" outlineLevel="3" ht="15.75" customHeight="1">
      <c r="A3436" s="10" t="n">
        <v>1</v>
      </c>
      <c r="B3436" s="10" t="inlineStr">
        <is>
          <t>Insumo</t>
        </is>
      </c>
      <c r="C3436" s="10" t="inlineStr">
        <is>
          <t xml:space="preserve">Revestimento de Piso, Porcelanato Mont Blanc Polido 90X90 Eliane    </t>
        </is>
      </c>
      <c r="D3436" s="10" t="inlineStr">
        <is>
          <t xml:space="preserve">Porcelanato Mont Blanc Polido 90X90 Eliane    </t>
        </is>
      </c>
      <c r="E3436" s="11">
        <f t="array" ref="E3436">_xlfn.XLOOKUP(D3436,Insumos!B:B,Insumos!C:$C)</f>
        <v/>
      </c>
      <c r="F3436" s="14" t="n">
        <v>1.1</v>
      </c>
      <c r="G3436" s="92">
        <f t="array" ref="G3436">IF(B3436="insumo",_xlfn.XLOOKUP($D3436,Insumos!$B$1:$B$996,Insumos!$D$1:$D$996),"")</f>
        <v/>
      </c>
      <c r="H3436" s="92" t="n">
        <v>83.985</v>
      </c>
      <c r="I3436" s="2162" t="n">
        <v>0</v>
      </c>
      <c r="J3436" s="2162" t="n">
        <v>0</v>
      </c>
      <c r="K3436" s="2162" t="n"/>
    </row>
    <row r="3437" outlineLevel="3" ht="15.75" customHeight="1">
      <c r="A3437" s="10" t="n">
        <v>191</v>
      </c>
      <c r="B3437" s="10" t="inlineStr">
        <is>
          <t>Insumo</t>
        </is>
      </c>
      <c r="C3437" s="10" t="inlineStr">
        <is>
          <t xml:space="preserve">Revestimento de Piso, Porcelanato Mont Blanc Polido 90X90 Eliane    </t>
        </is>
      </c>
      <c r="D3437" s="10" t="inlineStr">
        <is>
          <t>Argamassa ACIII</t>
        </is>
      </c>
      <c r="E3437" s="11">
        <f t="array" ref="E3437">_xlfn.XLOOKUP(D3437,Insumos!B:B,Insumos!C:$C)</f>
        <v/>
      </c>
      <c r="F3437" s="14" t="n">
        <v>8.800000000000001</v>
      </c>
      <c r="G3437" s="92">
        <f t="array" ref="G3437">IF(B3437="insumo",_xlfn.XLOOKUP($D3437,Insumos!$B$1:$B$996,Insumos!$D$1:$D$996),"")</f>
        <v/>
      </c>
      <c r="H3437" s="92" t="n">
        <v>9.367599999999999</v>
      </c>
      <c r="I3437" s="2162" t="n">
        <v>0</v>
      </c>
      <c r="J3437" s="2162" t="n">
        <v>0</v>
      </c>
      <c r="K3437" s="2162" t="n"/>
    </row>
    <row r="3438" outlineLevel="3" ht="15.75" customHeight="1">
      <c r="A3438" s="10" t="n">
        <v>142</v>
      </c>
      <c r="B3438" s="10" t="inlineStr">
        <is>
          <t>Insumo</t>
        </is>
      </c>
      <c r="C3438" s="10" t="inlineStr">
        <is>
          <t xml:space="preserve">Revestimento de Piso, Porcelanato Mont Blanc Polido 90X90 Eliane    </t>
        </is>
      </c>
      <c r="D3438" s="10" t="inlineStr">
        <is>
          <t>Espeçador junta piso 2mm</t>
        </is>
      </c>
      <c r="E3438" s="11">
        <f t="array" ref="E3438">_xlfn.XLOOKUP(D3438,Insumos!B:B,Insumos!C:$C)</f>
        <v/>
      </c>
      <c r="F3438" s="14" t="n">
        <v>1</v>
      </c>
      <c r="G3438" s="92">
        <f t="array" ref="G3438">IF(B3438="insumo",_xlfn.XLOOKUP($D3438,Insumos!$B$1:$B$996,Insumos!$D$1:$D$996),"")</f>
        <v/>
      </c>
      <c r="H3438" s="92" t="n">
        <v>0.08</v>
      </c>
      <c r="I3438" s="2162" t="n">
        <v>0</v>
      </c>
      <c r="J3438" s="2162" t="n">
        <v>0</v>
      </c>
      <c r="K3438" s="2162" t="n"/>
    </row>
    <row r="3439" outlineLevel="3" ht="15.75" customHeight="1">
      <c r="A3439" s="10" t="n">
        <v>101</v>
      </c>
      <c r="B3439" s="10" t="inlineStr">
        <is>
          <t>Insumo</t>
        </is>
      </c>
      <c r="C3439" s="10" t="inlineStr">
        <is>
          <t xml:space="preserve">Revestimento de Piso, Porcelanato Mont Blanc Polido 90X90 Eliane    </t>
        </is>
      </c>
      <c r="D3439" s="10" t="inlineStr">
        <is>
          <t>Rejunte Cimentício</t>
        </is>
      </c>
      <c r="E3439" s="11">
        <f t="array" ref="E3439">_xlfn.XLOOKUP(D3439,Insumos!B:B,Insumos!C:$C)</f>
        <v/>
      </c>
      <c r="F3439" s="14" t="n">
        <v>0.01</v>
      </c>
      <c r="G3439" s="92">
        <f t="array" ref="G3439">IF(B3439="insumo",_xlfn.XLOOKUP($D3439,Insumos!$B$1:$B$996,Insumos!$D$1:$D$996),"")</f>
        <v/>
      </c>
      <c r="H3439" s="92" t="n">
        <v>0.1115</v>
      </c>
      <c r="I3439" s="2162" t="n">
        <v>0</v>
      </c>
      <c r="J3439" s="2162" t="n">
        <v>0</v>
      </c>
      <c r="K3439" s="2162" t="n"/>
    </row>
    <row r="3440" outlineLevel="2" ht="15.75" customHeight="1">
      <c r="A3440" s="1067" t="n">
        <v>1</v>
      </c>
      <c r="B3440" s="1067" t="inlineStr">
        <is>
          <t>Serviço</t>
        </is>
      </c>
      <c r="C3440" s="1067" t="inlineStr">
        <is>
          <t>Revestimento de Piso Porcelanato Acetinado, Placa 100x100cm</t>
        </is>
      </c>
      <c r="D3440" s="1067" t="inlineStr">
        <is>
          <t>Revestimento de Piso Porcelanato Acetinado, Placa 100x100cm</t>
        </is>
      </c>
      <c r="E3440" s="1068" t="inlineStr">
        <is>
          <t>M2</t>
        </is>
      </c>
      <c r="F3440" s="1067" t="n"/>
      <c r="G3440" s="1069">
        <f t="array" ref="G3440">IF(B3440="insumo",_xlfn.XLOOKUP($D3440,Insumos!$B$1:$B$996,Insumos!$D$1:$D$996),"")</f>
        <v/>
      </c>
      <c r="H3440" s="1069" t="n">
        <v>117.683833333333</v>
      </c>
      <c r="I3440" s="2161" t="n">
        <v>0</v>
      </c>
      <c r="J3440" s="2161" t="n">
        <v>0</v>
      </c>
      <c r="K3440" s="2161" t="n"/>
    </row>
    <row r="3441" outlineLevel="3" ht="15.75" customHeight="1">
      <c r="A3441" s="10" t="n">
        <v>1</v>
      </c>
      <c r="B3441" s="10" t="inlineStr">
        <is>
          <t>Insumo</t>
        </is>
      </c>
      <c r="C3441" s="10" t="inlineStr">
        <is>
          <t>Revestimento de Piso Porcelanato Acetinado, Placa 100x100cm</t>
        </is>
      </c>
      <c r="D3441" s="10" t="inlineStr">
        <is>
          <t>Porcelanato Polido 100x100</t>
        </is>
      </c>
      <c r="E3441" s="11">
        <f t="array" ref="E3441">_xlfn.XLOOKUP(D3441,Insumos!B:B,Insumos!C:$C)</f>
        <v/>
      </c>
      <c r="F3441" s="14" t="n">
        <v>1.1</v>
      </c>
      <c r="G3441" s="92">
        <f t="array" ref="G3441">IF(B3441="insumo",_xlfn.XLOOKUP($D3441,Insumos!$B$1:$B$996,Insumos!$D$1:$D$996),"")</f>
        <v/>
      </c>
      <c r="H3441" s="92" t="n">
        <v>102.208333333333</v>
      </c>
      <c r="I3441" s="2162" t="n">
        <v>0</v>
      </c>
      <c r="J3441" s="2162" t="n">
        <v>0</v>
      </c>
      <c r="K3441" s="2162" t="n"/>
    </row>
    <row r="3442" outlineLevel="3" ht="15.75" customHeight="1">
      <c r="A3442" s="10" t="n">
        <v>191</v>
      </c>
      <c r="B3442" s="10" t="inlineStr">
        <is>
          <t>Insumo</t>
        </is>
      </c>
      <c r="C3442" s="10" t="inlineStr">
        <is>
          <t>Revestimento de Piso Porcelanato Acetinado, Placa 100x100cm</t>
        </is>
      </c>
      <c r="D3442" s="10" t="inlineStr">
        <is>
          <t>Argamassa ACIII</t>
        </is>
      </c>
      <c r="E3442" s="11">
        <f t="array" ref="E3442">_xlfn.XLOOKUP(D3442,Insumos!B:B,Insumos!C:$C)</f>
        <v/>
      </c>
      <c r="F3442" s="14" t="n">
        <v>9</v>
      </c>
      <c r="G3442" s="92">
        <f t="array" ref="G3442">IF(B3442="insumo",_xlfn.XLOOKUP($D3442,Insumos!$B$1:$B$996,Insumos!$D$1:$D$996),"")</f>
        <v/>
      </c>
      <c r="H3442" s="92" t="n">
        <v>9.580500000000001</v>
      </c>
      <c r="I3442" s="2162" t="n">
        <v>0</v>
      </c>
      <c r="J3442" s="2162" t="n">
        <v>0</v>
      </c>
      <c r="K3442" s="2162" t="n"/>
    </row>
    <row r="3443" outlineLevel="3" ht="15.75" customHeight="1">
      <c r="A3443" s="10" t="n">
        <v>142</v>
      </c>
      <c r="B3443" s="10" t="inlineStr">
        <is>
          <t>Insumo</t>
        </is>
      </c>
      <c r="C3443" s="10" t="inlineStr">
        <is>
          <t>Revestimento de Piso Porcelanato Acetinado, Placa 100x100cm</t>
        </is>
      </c>
      <c r="D3443" s="10" t="inlineStr">
        <is>
          <t>Espeçador junta piso 2mm</t>
        </is>
      </c>
      <c r="E3443" s="11">
        <f t="array" ref="E3443">_xlfn.XLOOKUP(D3443,Insumos!B:B,Insumos!C:$C)</f>
        <v/>
      </c>
      <c r="F3443" s="14" t="n">
        <v>4</v>
      </c>
      <c r="G3443" s="92">
        <f t="array" ref="G3443">IF(B3443="insumo",_xlfn.XLOOKUP($D3443,Insumos!$B$1:$B$996,Insumos!$D$1:$D$996),"")</f>
        <v/>
      </c>
      <c r="H3443" s="92" t="n">
        <v>0.32</v>
      </c>
      <c r="I3443" s="2162" t="n">
        <v>0</v>
      </c>
      <c r="J3443" s="2162" t="n">
        <v>0</v>
      </c>
      <c r="K3443" s="2162" t="n"/>
    </row>
    <row r="3444" outlineLevel="3" ht="15.75" customHeight="1">
      <c r="A3444" s="10" t="n">
        <v>101</v>
      </c>
      <c r="B3444" s="10" t="inlineStr">
        <is>
          <t>Insumo</t>
        </is>
      </c>
      <c r="C3444" s="10" t="inlineStr">
        <is>
          <t>Revestimento de Piso Porcelanato Acetinado, Placa 100x100cm</t>
        </is>
      </c>
      <c r="D3444" s="10" t="inlineStr">
        <is>
          <t>Rejunte Cimentício</t>
        </is>
      </c>
      <c r="E3444" s="11">
        <f t="array" ref="E3444">_xlfn.XLOOKUP(D3444,Insumos!B:B,Insumos!C:$C)</f>
        <v/>
      </c>
      <c r="F3444" s="14" t="n">
        <v>0.5</v>
      </c>
      <c r="G3444" s="92">
        <f t="array" ref="G3444">IF(B3444="insumo",_xlfn.XLOOKUP($D3444,Insumos!$B$1:$B$996,Insumos!$D$1:$D$996),"")</f>
        <v/>
      </c>
      <c r="H3444" s="92" t="n">
        <v>5.575</v>
      </c>
      <c r="I3444" s="2162" t="n">
        <v>0</v>
      </c>
      <c r="J3444" s="2162" t="n">
        <v>0</v>
      </c>
      <c r="K3444" s="2162" t="n"/>
    </row>
    <row r="3445" outlineLevel="2" ht="15.75" customHeight="1">
      <c r="A3445" s="1067" t="n">
        <v>1</v>
      </c>
      <c r="B3445" s="1067" t="inlineStr">
        <is>
          <t>Serviço</t>
        </is>
      </c>
      <c r="C3445" s="1067" t="inlineStr">
        <is>
          <t>Revestimento de Piso Externo de Porcelanato Polido, Placa 120x120cm</t>
        </is>
      </c>
      <c r="D3445" s="1067" t="inlineStr">
        <is>
          <t>Revestimento de Piso Externo de Porcelanato Polido, Placa 120x120cm</t>
        </is>
      </c>
      <c r="E3445" s="1068" t="inlineStr">
        <is>
          <t>M2</t>
        </is>
      </c>
      <c r="F3445" s="1067" t="n"/>
      <c r="G3445" s="1069">
        <f t="array" ref="G3445">IF(B3445="insumo",_xlfn.XLOOKUP($D3445,Insumos!$B$1:$B$996,Insumos!$D$1:$D$996),"")</f>
        <v/>
      </c>
      <c r="H3445" s="1069" t="n">
        <v>166.0545</v>
      </c>
      <c r="I3445" s="2161" t="n">
        <v>0</v>
      </c>
      <c r="J3445" s="2161" t="n">
        <v>0</v>
      </c>
      <c r="K3445" s="2161" t="n"/>
    </row>
    <row r="3446" outlineLevel="3" ht="15.75" customHeight="1">
      <c r="A3446" s="10" t="n">
        <v>3</v>
      </c>
      <c r="B3446" s="10" t="inlineStr">
        <is>
          <t>Insumo</t>
        </is>
      </c>
      <c r="C3446" s="10" t="inlineStr">
        <is>
          <t>Revestimento de Piso Externo de Porcelanato Polido, Placa 120x120cm</t>
        </is>
      </c>
      <c r="D3446" s="10" t="inlineStr">
        <is>
          <t>Porcelanato Polido Eliane Place "A" 120x120</t>
        </is>
      </c>
      <c r="E3446" s="11">
        <f t="array" ref="E3446">_xlfn.XLOOKUP(D3446,Insumos!B:B,Insumos!C:$C)</f>
        <v/>
      </c>
      <c r="F3446" s="14" t="n">
        <v>1.1</v>
      </c>
      <c r="G3446" s="92">
        <f t="array" ref="G3446">IF(B3446="insumo",_xlfn.XLOOKUP($D3446,Insumos!$B$1:$B$996,Insumos!$D$1:$D$996),"")</f>
        <v/>
      </c>
      <c r="H3446" s="92" t="n">
        <v>150.579</v>
      </c>
      <c r="I3446" s="2162" t="n">
        <v>0</v>
      </c>
      <c r="J3446" s="2162" t="n">
        <v>0</v>
      </c>
      <c r="K3446" s="2162" t="n"/>
    </row>
    <row r="3447" outlineLevel="3" ht="15.75" customHeight="1">
      <c r="A3447" s="10" t="n">
        <v>191</v>
      </c>
      <c r="B3447" s="10" t="inlineStr">
        <is>
          <t>Insumo</t>
        </is>
      </c>
      <c r="C3447" s="10" t="inlineStr">
        <is>
          <t>Revestimento de Piso Externo de Porcelanato Polido, Placa 120x120cm</t>
        </is>
      </c>
      <c r="D3447" s="10" t="inlineStr">
        <is>
          <t>Argamassa ACIII</t>
        </is>
      </c>
      <c r="E3447" s="11">
        <f t="array" ref="E3447">_xlfn.XLOOKUP(D3447,Insumos!B:B,Insumos!C:$C)</f>
        <v/>
      </c>
      <c r="F3447" s="14" t="n">
        <v>9</v>
      </c>
      <c r="G3447" s="92">
        <f t="array" ref="G3447">IF(B3447="insumo",_xlfn.XLOOKUP($D3447,Insumos!$B$1:$B$996,Insumos!$D$1:$D$996),"")</f>
        <v/>
      </c>
      <c r="H3447" s="92" t="n">
        <v>9.580500000000001</v>
      </c>
      <c r="I3447" s="2162" t="n">
        <v>0</v>
      </c>
      <c r="J3447" s="2162" t="n">
        <v>0</v>
      </c>
      <c r="K3447" s="2162" t="n"/>
    </row>
    <row r="3448" outlineLevel="3" ht="15.75" customHeight="1">
      <c r="A3448" s="10" t="n">
        <v>142</v>
      </c>
      <c r="B3448" s="10" t="inlineStr">
        <is>
          <t>Insumo</t>
        </is>
      </c>
      <c r="C3448" s="10" t="inlineStr">
        <is>
          <t>Revestimento de Piso Externo de Porcelanato Polido, Placa 120x120cm</t>
        </is>
      </c>
      <c r="D3448" s="10" t="inlineStr">
        <is>
          <t>Espeçador junta piso 2mm</t>
        </is>
      </c>
      <c r="E3448" s="11">
        <f t="array" ref="E3448">_xlfn.XLOOKUP(D3448,Insumos!B:B,Insumos!C:$C)</f>
        <v/>
      </c>
      <c r="F3448" s="14" t="n">
        <v>4</v>
      </c>
      <c r="G3448" s="92">
        <f t="array" ref="G3448">IF(B3448="insumo",_xlfn.XLOOKUP($D3448,Insumos!$B$1:$B$996,Insumos!$D$1:$D$996),"")</f>
        <v/>
      </c>
      <c r="H3448" s="92" t="n">
        <v>0.32</v>
      </c>
      <c r="I3448" s="2162" t="n">
        <v>0</v>
      </c>
      <c r="J3448" s="2162" t="n">
        <v>0</v>
      </c>
      <c r="K3448" s="2162" t="n"/>
    </row>
    <row r="3449" outlineLevel="3" ht="15.75" customHeight="1">
      <c r="A3449" s="10" t="n">
        <v>101</v>
      </c>
      <c r="B3449" s="10" t="inlineStr">
        <is>
          <t>Insumo</t>
        </is>
      </c>
      <c r="C3449" s="10" t="inlineStr">
        <is>
          <t>Revestimento de Piso Externo de Porcelanato Polido, Placa 120x120cm</t>
        </is>
      </c>
      <c r="D3449" s="10" t="inlineStr">
        <is>
          <t>Rejunte Cimentício</t>
        </is>
      </c>
      <c r="E3449" s="11">
        <f t="array" ref="E3449">_xlfn.XLOOKUP(D3449,Insumos!B:B,Insumos!C:$C)</f>
        <v/>
      </c>
      <c r="F3449" s="14" t="n">
        <v>0.5</v>
      </c>
      <c r="G3449" s="92">
        <f t="array" ref="G3449">IF(B3449="insumo",_xlfn.XLOOKUP($D3449,Insumos!$B$1:$B$996,Insumos!$D$1:$D$996),"")</f>
        <v/>
      </c>
      <c r="H3449" s="92" t="n">
        <v>5.575</v>
      </c>
      <c r="I3449" s="2162" t="n">
        <v>0</v>
      </c>
      <c r="J3449" s="2162" t="n">
        <v>0</v>
      </c>
      <c r="K3449" s="2162" t="n"/>
    </row>
    <row r="3450" outlineLevel="2" ht="15.75" customHeight="1">
      <c r="A3450" s="1067" t="n">
        <v>1</v>
      </c>
      <c r="B3450" s="1067" t="inlineStr">
        <is>
          <t>Serviço</t>
        </is>
      </c>
      <c r="C3450" s="1067" t="inlineStr">
        <is>
          <t>Revestimento de Piso Porcelanato Acetinado, Placa 120x120cm</t>
        </is>
      </c>
      <c r="D3450" s="1067" t="inlineStr">
        <is>
          <t>Revestimento de Piso Porcelanato Acetinado, Placa 120x120cm</t>
        </is>
      </c>
      <c r="E3450" s="1068" t="inlineStr">
        <is>
          <t>M2</t>
        </is>
      </c>
      <c r="F3450" s="1067" t="n"/>
      <c r="G3450" s="1069">
        <f t="array" ref="G3450">IF(B3450="insumo",_xlfn.XLOOKUP($D3450,Insumos!$B$1:$B$996,Insumos!$D$1:$D$996),"")</f>
        <v/>
      </c>
      <c r="H3450" s="1069" t="n">
        <v>169.4755</v>
      </c>
      <c r="I3450" s="2161" t="n">
        <v>0</v>
      </c>
      <c r="J3450" s="2161" t="n">
        <v>0</v>
      </c>
      <c r="K3450" s="2161" t="n"/>
    </row>
    <row r="3451" outlineLevel="3" ht="15.75" customHeight="1">
      <c r="A3451" s="10" t="n">
        <v>1</v>
      </c>
      <c r="B3451" s="10" t="inlineStr">
        <is>
          <t>Insumo</t>
        </is>
      </c>
      <c r="C3451" s="10" t="inlineStr">
        <is>
          <t>Revestimento de Piso Porcelanato Acetinado, Placa 120x120cm</t>
        </is>
      </c>
      <c r="D3451" s="10" t="inlineStr">
        <is>
          <t>Porcelanato Acetinado 120x120cm</t>
        </is>
      </c>
      <c r="E3451" s="11">
        <f t="array" ref="E3451">_xlfn.XLOOKUP(D3451,Insumos!B:B,Insumos!C:$C)</f>
        <v/>
      </c>
      <c r="F3451" s="14" t="n">
        <v>1.1</v>
      </c>
      <c r="G3451" s="92">
        <f t="array" ref="G3451">IF(B3451="insumo",_xlfn.XLOOKUP($D3451,Insumos!$B$1:$B$996,Insumos!$D$1:$D$996),"")</f>
        <v/>
      </c>
      <c r="H3451" s="92" t="n">
        <v>154</v>
      </c>
      <c r="I3451" s="2162" t="n">
        <v>0</v>
      </c>
      <c r="J3451" s="2162" t="n">
        <v>0</v>
      </c>
      <c r="K3451" s="2162" t="n"/>
    </row>
    <row r="3452" outlineLevel="3" ht="15.75" customHeight="1">
      <c r="A3452" s="10" t="n">
        <v>191</v>
      </c>
      <c r="B3452" s="10" t="inlineStr">
        <is>
          <t>Insumo</t>
        </is>
      </c>
      <c r="C3452" s="10" t="inlineStr">
        <is>
          <t>Revestimento de Piso Porcelanato Acetinado, Placa 120x120cm</t>
        </is>
      </c>
      <c r="D3452" s="10" t="inlineStr">
        <is>
          <t>Argamassa ACIII</t>
        </is>
      </c>
      <c r="E3452" s="11">
        <f t="array" ref="E3452">_xlfn.XLOOKUP(D3452,Insumos!B:B,Insumos!C:$C)</f>
        <v/>
      </c>
      <c r="F3452" s="14" t="n">
        <v>9</v>
      </c>
      <c r="G3452" s="92">
        <f t="array" ref="G3452">IF(B3452="insumo",_xlfn.XLOOKUP($D3452,Insumos!$B$1:$B$996,Insumos!$D$1:$D$996),"")</f>
        <v/>
      </c>
      <c r="H3452" s="92" t="n">
        <v>9.580500000000001</v>
      </c>
      <c r="I3452" s="2162" t="n">
        <v>0</v>
      </c>
      <c r="J3452" s="2162" t="n">
        <v>0</v>
      </c>
      <c r="K3452" s="2162" t="n"/>
    </row>
    <row r="3453" outlineLevel="3" ht="15.75" customHeight="1">
      <c r="A3453" s="10" t="n">
        <v>142</v>
      </c>
      <c r="B3453" s="10" t="inlineStr">
        <is>
          <t>Insumo</t>
        </is>
      </c>
      <c r="C3453" s="10" t="inlineStr">
        <is>
          <t>Revestimento de Piso Porcelanato Acetinado, Placa 120x120cm</t>
        </is>
      </c>
      <c r="D3453" s="10" t="inlineStr">
        <is>
          <t>Espeçador junta piso 2mm</t>
        </is>
      </c>
      <c r="E3453" s="11">
        <f t="array" ref="E3453">_xlfn.XLOOKUP(D3453,Insumos!B:B,Insumos!C:$C)</f>
        <v/>
      </c>
      <c r="F3453" s="14" t="n">
        <v>4</v>
      </c>
      <c r="G3453" s="92">
        <f t="array" ref="G3453">IF(B3453="insumo",_xlfn.XLOOKUP($D3453,Insumos!$B$1:$B$996,Insumos!$D$1:$D$996),"")</f>
        <v/>
      </c>
      <c r="H3453" s="92" t="n">
        <v>0.32</v>
      </c>
      <c r="I3453" s="2162" t="n">
        <v>0</v>
      </c>
      <c r="J3453" s="2162" t="n">
        <v>0</v>
      </c>
      <c r="K3453" s="2162" t="n"/>
    </row>
    <row r="3454" outlineLevel="3" ht="15.75" customHeight="1">
      <c r="A3454" s="10" t="n">
        <v>101</v>
      </c>
      <c r="B3454" s="10" t="inlineStr">
        <is>
          <t>Insumo</t>
        </is>
      </c>
      <c r="C3454" s="10" t="inlineStr">
        <is>
          <t>Revestimento de Piso Porcelanato Acetinado, Placa 120x120cm</t>
        </is>
      </c>
      <c r="D3454" s="10" t="inlineStr">
        <is>
          <t>Rejunte Cimentício</t>
        </is>
      </c>
      <c r="E3454" s="11">
        <f t="array" ref="E3454">_xlfn.XLOOKUP(D3454,Insumos!B:B,Insumos!C:$C)</f>
        <v/>
      </c>
      <c r="F3454" s="14" t="n">
        <v>0.5</v>
      </c>
      <c r="G3454" s="92">
        <f t="array" ref="G3454">IF(B3454="insumo",_xlfn.XLOOKUP($D3454,Insumos!$B$1:$B$996,Insumos!$D$1:$D$996),"")</f>
        <v/>
      </c>
      <c r="H3454" s="92" t="n">
        <v>5.575</v>
      </c>
      <c r="I3454" s="2162" t="n">
        <v>0</v>
      </c>
      <c r="J3454" s="2162" t="n">
        <v>0</v>
      </c>
      <c r="K3454" s="2162" t="n"/>
    </row>
    <row r="3455" outlineLevel="2" ht="15.75" customHeight="1">
      <c r="A3455" s="1067" t="n">
        <v>1</v>
      </c>
      <c r="B3455" s="1067" t="inlineStr">
        <is>
          <t>Serviço</t>
        </is>
      </c>
      <c r="C3455" s="1067" t="inlineStr">
        <is>
          <t>Revestimento em Piso,  Porcelanato Onyx Unique Ret. Acetinado 120X120Cm - Portobello</t>
        </is>
      </c>
      <c r="D3455" s="1067" t="inlineStr">
        <is>
          <t>Revestimento em Piso,  Porcelanato Onyx Unique Ret. Acetinado 120X120Cm - Portobello</t>
        </is>
      </c>
      <c r="E3455" s="1068" t="inlineStr">
        <is>
          <t>M2</t>
        </is>
      </c>
      <c r="F3455" s="1067" t="n"/>
      <c r="G3455" s="1069">
        <f t="array" ref="G3455">IF(B3455="insumo",_xlfn.XLOOKUP($D3455,Insumos!$B$1:$B$996,Insumos!$D$1:$D$996),"")</f>
        <v/>
      </c>
      <c r="H3455" s="1069" t="n">
        <v>156.7391</v>
      </c>
      <c r="I3455" s="2161" t="n">
        <v>0</v>
      </c>
      <c r="J3455" s="2161" t="n">
        <v>0</v>
      </c>
      <c r="K3455" s="2161" t="n"/>
    </row>
    <row r="3456" outlineLevel="3" ht="15.75" customHeight="1">
      <c r="A3456" s="10" t="n">
        <v>2</v>
      </c>
      <c r="B3456" s="10" t="inlineStr">
        <is>
          <t>Insumo</t>
        </is>
      </c>
      <c r="C3456" s="10" t="inlineStr">
        <is>
          <t>Revestimento em Piso,  Porcelanato Onyx Unique Ret. Acetinado 120X120Cm - Portobello</t>
        </is>
      </c>
      <c r="D3456" s="10" t="inlineStr">
        <is>
          <t>Porcelanato Onyx Unique Ret. Acetinado 120X120Cm - Portobello</t>
        </is>
      </c>
      <c r="E3456" s="11">
        <f t="array" ref="E3456">_xlfn.XLOOKUP(D3456,Insumos!B:B,Insumos!C:$C)</f>
        <v/>
      </c>
      <c r="F3456" s="14" t="n">
        <v>1.1</v>
      </c>
      <c r="G3456" s="92">
        <f t="array" ref="G3456">IF(B3456="insumo",_xlfn.XLOOKUP($D3456,Insumos!$B$1:$B$996,Insumos!$D$1:$D$996),"")</f>
        <v/>
      </c>
      <c r="H3456" s="92" t="n">
        <v>147.18</v>
      </c>
      <c r="I3456" s="2162" t="n">
        <v>0</v>
      </c>
      <c r="J3456" s="2162" t="n">
        <v>0</v>
      </c>
      <c r="K3456" s="2162" t="n"/>
    </row>
    <row r="3457" outlineLevel="3" ht="15.75" customHeight="1">
      <c r="A3457" s="10" t="n">
        <v>191</v>
      </c>
      <c r="B3457" s="10" t="inlineStr">
        <is>
          <t>Insumo</t>
        </is>
      </c>
      <c r="C3457" s="10" t="inlineStr">
        <is>
          <t>Revestimento em Piso,  Porcelanato Onyx Unique Ret. Acetinado 120X120Cm - Portobello</t>
        </is>
      </c>
      <c r="D3457" s="10" t="inlineStr">
        <is>
          <t>Argamassa ACIII</t>
        </is>
      </c>
      <c r="E3457" s="11">
        <f t="array" ref="E3457">_xlfn.XLOOKUP(D3457,Insumos!B:B,Insumos!C:$C)</f>
        <v/>
      </c>
      <c r="F3457" s="14" t="n">
        <v>8.800000000000001</v>
      </c>
      <c r="G3457" s="92">
        <f t="array" ref="G3457">IF(B3457="insumo",_xlfn.XLOOKUP($D3457,Insumos!$B$1:$B$996,Insumos!$D$1:$D$996),"")</f>
        <v/>
      </c>
      <c r="H3457" s="92" t="n">
        <v>9.367599999999999</v>
      </c>
      <c r="I3457" s="2162" t="n">
        <v>0</v>
      </c>
      <c r="J3457" s="2162" t="n">
        <v>0</v>
      </c>
      <c r="K3457" s="2162" t="n"/>
    </row>
    <row r="3458" outlineLevel="3" ht="15.75" customHeight="1">
      <c r="A3458" s="10" t="n">
        <v>142</v>
      </c>
      <c r="B3458" s="10" t="inlineStr">
        <is>
          <t>Insumo</t>
        </is>
      </c>
      <c r="C3458" s="10" t="inlineStr">
        <is>
          <t>Revestimento em Piso,  Porcelanato Onyx Unique Ret. Acetinado 120X120Cm - Portobello</t>
        </is>
      </c>
      <c r="D3458" s="10" t="inlineStr">
        <is>
          <t>Espeçador junta piso 2mm</t>
        </is>
      </c>
      <c r="E3458" s="11">
        <f t="array" ref="E3458">_xlfn.XLOOKUP(D3458,Insumos!B:B,Insumos!C:$C)</f>
        <v/>
      </c>
      <c r="F3458" s="14" t="n">
        <v>1</v>
      </c>
      <c r="G3458" s="92">
        <f t="array" ref="G3458">IF(B3458="insumo",_xlfn.XLOOKUP($D3458,Insumos!$B$1:$B$996,Insumos!$D$1:$D$996),"")</f>
        <v/>
      </c>
      <c r="H3458" s="92" t="n">
        <v>0.08</v>
      </c>
      <c r="I3458" s="2162" t="n">
        <v>0</v>
      </c>
      <c r="J3458" s="2162" t="n">
        <v>0</v>
      </c>
      <c r="K3458" s="2162" t="n"/>
    </row>
    <row r="3459" outlineLevel="3" ht="15.75" customHeight="1">
      <c r="A3459" s="10" t="n">
        <v>101</v>
      </c>
      <c r="B3459" s="10" t="inlineStr">
        <is>
          <t>Insumo</t>
        </is>
      </c>
      <c r="C3459" s="10" t="inlineStr">
        <is>
          <t>Revestimento em Piso,  Porcelanato Onyx Unique Ret. Acetinado 120X120Cm - Portobello</t>
        </is>
      </c>
      <c r="D3459" s="10" t="inlineStr">
        <is>
          <t>Rejunte Cimentício</t>
        </is>
      </c>
      <c r="E3459" s="11">
        <f t="array" ref="E3459">_xlfn.XLOOKUP(D3459,Insumos!B:B,Insumos!C:$C)</f>
        <v/>
      </c>
      <c r="F3459" s="14" t="n">
        <v>0.01</v>
      </c>
      <c r="G3459" s="92">
        <f t="array" ref="G3459">IF(B3459="insumo",_xlfn.XLOOKUP($D3459,Insumos!$B$1:$B$996,Insumos!$D$1:$D$996),"")</f>
        <v/>
      </c>
      <c r="H3459" s="92" t="n">
        <v>0.1115</v>
      </c>
      <c r="I3459" s="2162" t="n">
        <v>0</v>
      </c>
      <c r="J3459" s="2162" t="n">
        <v>0</v>
      </c>
      <c r="K3459" s="2162" t="n"/>
    </row>
    <row r="3460" outlineLevel="2" ht="15.75" customHeight="1">
      <c r="A3460" s="1067" t="n">
        <v>1</v>
      </c>
      <c r="B3460" s="1067" t="inlineStr">
        <is>
          <t>Serviço</t>
        </is>
      </c>
      <c r="C3460" s="1067" t="inlineStr">
        <is>
          <t>Revestimento em Piso,  Porcelanato Onyx Unique Ret. Polido 120X120Cm - Portobello</t>
        </is>
      </c>
      <c r="D3460" s="1067" t="inlineStr">
        <is>
          <t>Revestimento em Piso,  Porcelanato Onyx Unique Ret. Polido 120X120Cm - Portobello</t>
        </is>
      </c>
      <c r="E3460" s="1068" t="inlineStr">
        <is>
          <t>M2</t>
        </is>
      </c>
      <c r="F3460" s="1067" t="n"/>
      <c r="G3460" s="1069">
        <f t="array" ref="G3460">IF(B3460="insumo",_xlfn.XLOOKUP($D3460,Insumos!$B$1:$B$996,Insumos!$D$1:$D$996),"")</f>
        <v/>
      </c>
      <c r="H3460" s="1069" t="n">
        <v>156.7391</v>
      </c>
      <c r="I3460" s="2161" t="n">
        <v>0</v>
      </c>
      <c r="J3460" s="2161" t="n">
        <v>0</v>
      </c>
      <c r="K3460" s="2161" t="n"/>
    </row>
    <row r="3461" outlineLevel="3" ht="15.75" customHeight="1">
      <c r="A3461" s="10" t="n">
        <v>2</v>
      </c>
      <c r="B3461" s="10" t="inlineStr">
        <is>
          <t>Insumo</t>
        </is>
      </c>
      <c r="C3461" s="10" t="inlineStr">
        <is>
          <t>Revestimento em Piso,  Porcelanato Onyx Unique Ret. Polido 120X120Cm - Portobello</t>
        </is>
      </c>
      <c r="D3461" s="10" t="inlineStr">
        <is>
          <t>Porcelanato Onyx Unique Ret. Polido 120X120Cm - Portobello</t>
        </is>
      </c>
      <c r="E3461" s="11">
        <f t="array" ref="E3461">_xlfn.XLOOKUP(D3461,Insumos!B:B,Insumos!C:$C)</f>
        <v/>
      </c>
      <c r="F3461" s="14" t="n">
        <v>1.1</v>
      </c>
      <c r="G3461" s="92">
        <f t="array" ref="G3461">IF(B3461="insumo",_xlfn.XLOOKUP($D3461,Insumos!$B$1:$B$996,Insumos!$D$1:$D$996),"")</f>
        <v/>
      </c>
      <c r="H3461" s="92" t="n">
        <v>147.18</v>
      </c>
      <c r="I3461" s="2162" t="n">
        <v>0</v>
      </c>
      <c r="J3461" s="2162" t="n">
        <v>0</v>
      </c>
      <c r="K3461" s="2162" t="n"/>
    </row>
    <row r="3462" outlineLevel="3" ht="15.75" customHeight="1">
      <c r="A3462" s="10" t="n">
        <v>191</v>
      </c>
      <c r="B3462" s="10" t="inlineStr">
        <is>
          <t>Insumo</t>
        </is>
      </c>
      <c r="C3462" s="10" t="inlineStr">
        <is>
          <t>Revestimento em Piso,  Porcelanato Onyx Unique Ret. Polido 120X120Cm - Portobello</t>
        </is>
      </c>
      <c r="D3462" s="10" t="inlineStr">
        <is>
          <t>Argamassa ACIII</t>
        </is>
      </c>
      <c r="E3462" s="11">
        <f t="array" ref="E3462">_xlfn.XLOOKUP(D3462,Insumos!B:B,Insumos!C:$C)</f>
        <v/>
      </c>
      <c r="F3462" s="14" t="n">
        <v>8.800000000000001</v>
      </c>
      <c r="G3462" s="92">
        <f t="array" ref="G3462">IF(B3462="insumo",_xlfn.XLOOKUP($D3462,Insumos!$B$1:$B$996,Insumos!$D$1:$D$996),"")</f>
        <v/>
      </c>
      <c r="H3462" s="92" t="n">
        <v>9.367599999999999</v>
      </c>
      <c r="I3462" s="2162" t="n">
        <v>0</v>
      </c>
      <c r="J3462" s="2162" t="n">
        <v>0</v>
      </c>
      <c r="K3462" s="2162" t="n"/>
    </row>
    <row r="3463" outlineLevel="3" ht="15.75" customHeight="1">
      <c r="A3463" s="10" t="n">
        <v>142</v>
      </c>
      <c r="B3463" s="10" t="inlineStr">
        <is>
          <t>Insumo</t>
        </is>
      </c>
      <c r="C3463" s="10" t="inlineStr">
        <is>
          <t>Revestimento em Piso,  Porcelanato Onyx Unique Ret. Polido 120X120Cm - Portobello</t>
        </is>
      </c>
      <c r="D3463" s="10" t="inlineStr">
        <is>
          <t>Espeçador junta piso 2mm</t>
        </is>
      </c>
      <c r="E3463" s="11">
        <f t="array" ref="E3463">_xlfn.XLOOKUP(D3463,Insumos!B:B,Insumos!C:$C)</f>
        <v/>
      </c>
      <c r="F3463" s="14" t="n">
        <v>1</v>
      </c>
      <c r="G3463" s="92">
        <f t="array" ref="G3463">IF(B3463="insumo",_xlfn.XLOOKUP($D3463,Insumos!$B$1:$B$996,Insumos!$D$1:$D$996),"")</f>
        <v/>
      </c>
      <c r="H3463" s="92" t="n">
        <v>0.08</v>
      </c>
      <c r="I3463" s="2162" t="n">
        <v>0</v>
      </c>
      <c r="J3463" s="2162" t="n">
        <v>0</v>
      </c>
      <c r="K3463" s="2162" t="n"/>
    </row>
    <row r="3464" outlineLevel="3" ht="15.75" customHeight="1">
      <c r="A3464" s="10" t="n">
        <v>101</v>
      </c>
      <c r="B3464" s="10" t="inlineStr">
        <is>
          <t>Insumo</t>
        </is>
      </c>
      <c r="C3464" s="10" t="inlineStr">
        <is>
          <t>Revestimento em Piso,  Porcelanato Onyx Unique Ret. Polido 120X120Cm - Portobello</t>
        </is>
      </c>
      <c r="D3464" s="10" t="inlineStr">
        <is>
          <t>Rejunte Cimentício</t>
        </is>
      </c>
      <c r="E3464" s="11">
        <f t="array" ref="E3464">_xlfn.XLOOKUP(D3464,Insumos!B:B,Insumos!C:$C)</f>
        <v/>
      </c>
      <c r="F3464" s="14" t="n">
        <v>0.01</v>
      </c>
      <c r="G3464" s="92">
        <f t="array" ref="G3464">IF(B3464="insumo",_xlfn.XLOOKUP($D3464,Insumos!$B$1:$B$996,Insumos!$D$1:$D$996),"")</f>
        <v/>
      </c>
      <c r="H3464" s="92" t="n">
        <v>0.1115</v>
      </c>
      <c r="I3464" s="2162" t="n">
        <v>0</v>
      </c>
      <c r="J3464" s="2162" t="n">
        <v>0</v>
      </c>
      <c r="K3464" s="2162" t="n"/>
    </row>
    <row r="3465" outlineLevel="2" ht="15.75" customHeight="1">
      <c r="A3465" s="1067" t="n">
        <v>1</v>
      </c>
      <c r="B3465" s="1067" t="inlineStr">
        <is>
          <t>Serviço</t>
        </is>
      </c>
      <c r="C3465" s="1067" t="inlineStr">
        <is>
          <t>Revestimento em Piso,  Porcelanato Travertino Navona Bianco 120X120Cm Ret. Natural Portobello</t>
        </is>
      </c>
      <c r="D3465" s="1067" t="inlineStr">
        <is>
          <t>Revestimento em Piso,  Porcelanato Travertino Navona Bianco 120X120Cm Ret. Natural Portobello</t>
        </is>
      </c>
      <c r="E3465" s="1068" t="inlineStr">
        <is>
          <t>M2</t>
        </is>
      </c>
      <c r="F3465" s="1067" t="n"/>
      <c r="G3465" s="1069">
        <f t="array" ref="G3465">IF(B3465="insumo",_xlfn.XLOOKUP($D3465,Insumos!$B$1:$B$996,Insumos!$D$1:$D$996),"")</f>
        <v/>
      </c>
      <c r="H3465" s="1069" t="n">
        <v>156.7391</v>
      </c>
      <c r="I3465" s="2161" t="n">
        <v>0</v>
      </c>
      <c r="J3465" s="2161" t="n">
        <v>0</v>
      </c>
      <c r="K3465" s="2161" t="n"/>
    </row>
    <row r="3466" outlineLevel="3" ht="15.75" customHeight="1">
      <c r="A3466" s="10" t="n">
        <v>2</v>
      </c>
      <c r="B3466" s="10" t="inlineStr">
        <is>
          <t>Insumo</t>
        </is>
      </c>
      <c r="C3466" s="10" t="inlineStr">
        <is>
          <t>Revestimento em Piso,  Porcelanato Travertino Navona Bianco 120X120Cm Ret. Natural Portobello</t>
        </is>
      </c>
      <c r="D3466" s="10" t="inlineStr">
        <is>
          <t>Porcelanato Travertino Navona Bianco 120X120Cm Ret. Natural Portobello</t>
        </is>
      </c>
      <c r="E3466" s="11">
        <f t="array" ref="E3466">_xlfn.XLOOKUP(D3466,Insumos!B:B,Insumos!C:$C)</f>
        <v/>
      </c>
      <c r="F3466" s="14" t="n">
        <v>1.1</v>
      </c>
      <c r="G3466" s="92">
        <f t="array" ref="G3466">IF(B3466="insumo",_xlfn.XLOOKUP($D3466,Insumos!$B$1:$B$996,Insumos!$D$1:$D$996),"")</f>
        <v/>
      </c>
      <c r="H3466" s="92" t="n">
        <v>147.18</v>
      </c>
      <c r="I3466" s="2162" t="n">
        <v>0</v>
      </c>
      <c r="J3466" s="2162" t="n">
        <v>0</v>
      </c>
      <c r="K3466" s="2162" t="n"/>
    </row>
    <row r="3467" outlineLevel="3" ht="15.75" customHeight="1">
      <c r="A3467" s="10" t="n">
        <v>191</v>
      </c>
      <c r="B3467" s="10" t="inlineStr">
        <is>
          <t>Insumo</t>
        </is>
      </c>
      <c r="C3467" s="10" t="inlineStr">
        <is>
          <t>Revestimento em Piso,  Porcelanato Travertino Navona Bianco 120X120Cm Ret. Natural Portobello</t>
        </is>
      </c>
      <c r="D3467" s="10" t="inlineStr">
        <is>
          <t>Argamassa ACIII</t>
        </is>
      </c>
      <c r="E3467" s="11">
        <f t="array" ref="E3467">_xlfn.XLOOKUP(D3467,Insumos!B:B,Insumos!C:$C)</f>
        <v/>
      </c>
      <c r="F3467" s="14" t="n">
        <v>8.800000000000001</v>
      </c>
      <c r="G3467" s="92">
        <f t="array" ref="G3467">IF(B3467="insumo",_xlfn.XLOOKUP($D3467,Insumos!$B$1:$B$996,Insumos!$D$1:$D$996),"")</f>
        <v/>
      </c>
      <c r="H3467" s="92" t="n">
        <v>9.367599999999999</v>
      </c>
      <c r="I3467" s="2162" t="n">
        <v>0</v>
      </c>
      <c r="J3467" s="2162" t="n">
        <v>0</v>
      </c>
      <c r="K3467" s="2162" t="n"/>
    </row>
    <row r="3468" outlineLevel="3" ht="15.75" customHeight="1">
      <c r="A3468" s="10" t="n">
        <v>142</v>
      </c>
      <c r="B3468" s="10" t="inlineStr">
        <is>
          <t>Insumo</t>
        </is>
      </c>
      <c r="C3468" s="10" t="inlineStr">
        <is>
          <t>Revestimento em Piso,  Porcelanato Travertino Navona Bianco 120X120Cm Ret. Natural Portobello</t>
        </is>
      </c>
      <c r="D3468" s="10" t="inlineStr">
        <is>
          <t>Espeçador junta piso 2mm</t>
        </is>
      </c>
      <c r="E3468" s="11">
        <f t="array" ref="E3468">_xlfn.XLOOKUP(D3468,Insumos!B:B,Insumos!C:$C)</f>
        <v/>
      </c>
      <c r="F3468" s="14" t="n">
        <v>1</v>
      </c>
      <c r="G3468" s="92">
        <f t="array" ref="G3468">IF(B3468="insumo",_xlfn.XLOOKUP($D3468,Insumos!$B$1:$B$996,Insumos!$D$1:$D$996),"")</f>
        <v/>
      </c>
      <c r="H3468" s="92" t="n">
        <v>0.08</v>
      </c>
      <c r="I3468" s="2162" t="n">
        <v>0</v>
      </c>
      <c r="J3468" s="2162" t="n">
        <v>0</v>
      </c>
      <c r="K3468" s="2162" t="n"/>
    </row>
    <row r="3469" outlineLevel="3" ht="15.75" customHeight="1">
      <c r="A3469" s="10" t="n">
        <v>101</v>
      </c>
      <c r="B3469" s="10" t="inlineStr">
        <is>
          <t>Insumo</t>
        </is>
      </c>
      <c r="C3469" s="10" t="inlineStr">
        <is>
          <t>Revestimento em Piso,  Porcelanato Travertino Navona Bianco 120X120Cm Ret. Natural Portobello</t>
        </is>
      </c>
      <c r="D3469" s="10" t="inlineStr">
        <is>
          <t>Rejunte Cimentício</t>
        </is>
      </c>
      <c r="E3469" s="11">
        <f t="array" ref="E3469">_xlfn.XLOOKUP(D3469,Insumos!B:B,Insumos!C:$C)</f>
        <v/>
      </c>
      <c r="F3469" s="14" t="n">
        <v>0.01</v>
      </c>
      <c r="G3469" s="92">
        <f t="array" ref="G3469">IF(B3469="insumo",_xlfn.XLOOKUP($D3469,Insumos!$B$1:$B$996,Insumos!$D$1:$D$996),"")</f>
        <v/>
      </c>
      <c r="H3469" s="92" t="n">
        <v>0.1115</v>
      </c>
      <c r="I3469" s="2162" t="n">
        <v>0</v>
      </c>
      <c r="J3469" s="2162" t="n">
        <v>0</v>
      </c>
      <c r="K3469" s="2162" t="n"/>
    </row>
    <row r="3470" outlineLevel="2" ht="15.75" customHeight="1">
      <c r="A3470" s="1067" t="n">
        <v>1</v>
      </c>
      <c r="B3470" s="1067" t="inlineStr">
        <is>
          <t>Serviço</t>
        </is>
      </c>
      <c r="C3470" s="1067" t="inlineStr">
        <is>
          <t>Revestimento de Piso, Porcelanato 160X320 Cm</t>
        </is>
      </c>
      <c r="D3470" s="1067" t="inlineStr">
        <is>
          <t>Revestimento de Piso, Porcelanato 160X320 Cm</t>
        </is>
      </c>
      <c r="E3470" s="1068" t="inlineStr">
        <is>
          <t>M2</t>
        </is>
      </c>
      <c r="F3470" s="1067" t="n"/>
      <c r="G3470" s="1069">
        <f t="array" ref="G3470">IF(B3470="insumo",_xlfn.XLOOKUP($D3470,Insumos!$B$1:$B$996,Insumos!$D$1:$D$996),"")</f>
        <v/>
      </c>
      <c r="H3470" s="1069" t="n">
        <v>217.0065</v>
      </c>
      <c r="I3470" s="2161" t="n">
        <v>0</v>
      </c>
      <c r="J3470" s="2161" t="n">
        <v>0</v>
      </c>
      <c r="K3470" s="2161" t="n"/>
    </row>
    <row r="3471" outlineLevel="3" ht="15.75" customHeight="1">
      <c r="A3471" s="10" t="n">
        <v>1</v>
      </c>
      <c r="B3471" s="10" t="inlineStr">
        <is>
          <t>Insumo</t>
        </is>
      </c>
      <c r="C3471" s="10" t="inlineStr">
        <is>
          <t>Revestimento de Piso, Porcelanato 160X320 Cm</t>
        </is>
      </c>
      <c r="D3471" s="10" t="inlineStr">
        <is>
          <t>Porcelanato 160X320 Cm</t>
        </is>
      </c>
      <c r="E3471" s="11">
        <f t="array" ref="E3471">_xlfn.XLOOKUP(D3471,Insumos!B:B,Insumos!C:$C)</f>
        <v/>
      </c>
      <c r="F3471" s="14" t="n">
        <v>1.1</v>
      </c>
      <c r="G3471" s="92">
        <f t="array" ref="G3471">IF(B3471="insumo",_xlfn.XLOOKUP($D3471,Insumos!$B$1:$B$996,Insumos!$D$1:$D$996),"")</f>
        <v/>
      </c>
      <c r="H3471" s="92" t="n">
        <v>201.531</v>
      </c>
      <c r="I3471" s="2162" t="n">
        <v>0</v>
      </c>
      <c r="J3471" s="2162" t="n">
        <v>0</v>
      </c>
      <c r="K3471" s="2162" t="n"/>
    </row>
    <row r="3472" outlineLevel="3" ht="15.75" customHeight="1">
      <c r="A3472" s="10" t="n">
        <v>191</v>
      </c>
      <c r="B3472" s="10" t="inlineStr">
        <is>
          <t>Insumo</t>
        </is>
      </c>
      <c r="C3472" s="10" t="inlineStr">
        <is>
          <t>Revestimento de Piso, Porcelanato 160X320 Cm</t>
        </is>
      </c>
      <c r="D3472" s="10" t="inlineStr">
        <is>
          <t>Argamassa ACIII</t>
        </is>
      </c>
      <c r="E3472" s="11">
        <f t="array" ref="E3472">_xlfn.XLOOKUP(D3472,Insumos!B:B,Insumos!C:$C)</f>
        <v/>
      </c>
      <c r="F3472" s="14" t="n">
        <v>9</v>
      </c>
      <c r="G3472" s="92">
        <f t="array" ref="G3472">IF(B3472="insumo",_xlfn.XLOOKUP($D3472,Insumos!$B$1:$B$996,Insumos!$D$1:$D$996),"")</f>
        <v/>
      </c>
      <c r="H3472" s="92" t="n">
        <v>9.580500000000001</v>
      </c>
      <c r="I3472" s="2162" t="n">
        <v>0</v>
      </c>
      <c r="J3472" s="2162" t="n">
        <v>0</v>
      </c>
      <c r="K3472" s="2162" t="n"/>
    </row>
    <row r="3473" outlineLevel="3" ht="15.75" customHeight="1">
      <c r="A3473" s="10" t="n">
        <v>142</v>
      </c>
      <c r="B3473" s="10" t="inlineStr">
        <is>
          <t>Insumo</t>
        </is>
      </c>
      <c r="C3473" s="10" t="inlineStr">
        <is>
          <t>Revestimento de Piso, Porcelanato 160X320 Cm</t>
        </is>
      </c>
      <c r="D3473" s="10" t="inlineStr">
        <is>
          <t>Espeçador junta piso 2mm</t>
        </is>
      </c>
      <c r="E3473" s="11">
        <f t="array" ref="E3473">_xlfn.XLOOKUP(D3473,Insumos!B:B,Insumos!C:$C)</f>
        <v/>
      </c>
      <c r="F3473" s="14" t="n">
        <v>4</v>
      </c>
      <c r="G3473" s="92">
        <f t="array" ref="G3473">IF(B3473="insumo",_xlfn.XLOOKUP($D3473,Insumos!$B$1:$B$996,Insumos!$D$1:$D$996),"")</f>
        <v/>
      </c>
      <c r="H3473" s="92" t="n">
        <v>0.32</v>
      </c>
      <c r="I3473" s="2162" t="n">
        <v>0</v>
      </c>
      <c r="J3473" s="2162" t="n">
        <v>0</v>
      </c>
      <c r="K3473" s="2162" t="n"/>
    </row>
    <row r="3474" outlineLevel="3" ht="15.75" customHeight="1">
      <c r="A3474" s="10" t="n">
        <v>101</v>
      </c>
      <c r="B3474" s="10" t="inlineStr">
        <is>
          <t>Insumo</t>
        </is>
      </c>
      <c r="C3474" s="10" t="inlineStr">
        <is>
          <t>Revestimento de Piso, Porcelanato 160X320 Cm</t>
        </is>
      </c>
      <c r="D3474" s="10" t="inlineStr">
        <is>
          <t>Rejunte Cimentício</t>
        </is>
      </c>
      <c r="E3474" s="11">
        <f t="array" ref="E3474">_xlfn.XLOOKUP(D3474,Insumos!B:B,Insumos!C:$C)</f>
        <v/>
      </c>
      <c r="F3474" s="14" t="n">
        <v>0.5</v>
      </c>
      <c r="G3474" s="92">
        <f t="array" ref="G3474">IF(B3474="insumo",_xlfn.XLOOKUP($D3474,Insumos!$B$1:$B$996,Insumos!$D$1:$D$996),"")</f>
        <v/>
      </c>
      <c r="H3474" s="92" t="n">
        <v>5.575</v>
      </c>
      <c r="I3474" s="2162" t="n">
        <v>0</v>
      </c>
      <c r="J3474" s="2162" t="n">
        <v>0</v>
      </c>
      <c r="K3474" s="2162" t="n"/>
    </row>
    <row r="3475" outlineLevel="2" ht="15.75" customHeight="1">
      <c r="A3475" s="1067" t="n">
        <v>1</v>
      </c>
      <c r="B3475" s="1067" t="inlineStr">
        <is>
          <t>Serviço</t>
        </is>
      </c>
      <c r="C3475" s="1067" t="inlineStr">
        <is>
          <t>Revestimento em Porcelanato Biancogres 20x120 Scala Beige-a Ret , rejunte cimentício, aplicação em áreas comuns internas</t>
        </is>
      </c>
      <c r="D3475" s="1067" t="inlineStr">
        <is>
          <t>Revestimento em Porcelanato Biancogres 20x120 Scala Beige-a Ret , rejunte cimentício, aplicação em áreas comuns internas</t>
        </is>
      </c>
      <c r="E3475" s="1068" t="inlineStr">
        <is>
          <t>M2</t>
        </is>
      </c>
      <c r="F3475" s="1067" t="n"/>
      <c r="G3475" s="1069">
        <f t="array" ref="G3475">IF(B3475="insumo",_xlfn.XLOOKUP($D3475,Insumos!$B$1:$B$996,Insumos!$D$1:$D$996),"")</f>
        <v/>
      </c>
      <c r="H3475" s="1069" t="n">
        <v>119.4206</v>
      </c>
      <c r="I3475" s="2161" t="n">
        <v>0</v>
      </c>
      <c r="J3475" s="2161" t="n">
        <v>0</v>
      </c>
      <c r="K3475" s="2161" t="n"/>
    </row>
    <row r="3476" outlineLevel="3" ht="15.75" customHeight="1">
      <c r="A3476" s="10" t="n">
        <v>1</v>
      </c>
      <c r="B3476" s="10" t="inlineStr">
        <is>
          <t>Insumo</t>
        </is>
      </c>
      <c r="C3476" s="10" t="inlineStr">
        <is>
          <t>Revestimento em Porcelanato Biancogres 20x120 Scala Beige-a Ret , rejunte cimentício, aplicação em áreas comuns internas</t>
        </is>
      </c>
      <c r="D3476" s="10" t="inlineStr">
        <is>
          <t xml:space="preserve">Porcelanato Biancogres 20x120 Scala Beige-a Ret </t>
        </is>
      </c>
      <c r="E3476" s="11">
        <f t="array" ref="E3476">_xlfn.XLOOKUP(D3476,Insumos!B:B,Insumos!C:$C)</f>
        <v/>
      </c>
      <c r="F3476" s="14" t="n">
        <v>1.1</v>
      </c>
      <c r="G3476" s="92">
        <f t="array" ref="G3476">IF(B3476="insumo",_xlfn.XLOOKUP($D3476,Insumos!$B$1:$B$996,Insumos!$D$1:$D$996),"")</f>
        <v/>
      </c>
      <c r="H3476" s="92" t="n">
        <v>109.67</v>
      </c>
      <c r="I3476" s="2162" t="n">
        <v>0</v>
      </c>
      <c r="J3476" s="2162" t="n">
        <v>0</v>
      </c>
      <c r="K3476" s="2162" t="n"/>
    </row>
    <row r="3477" outlineLevel="3" ht="15.75" customHeight="1">
      <c r="A3477" s="10" t="n">
        <v>191</v>
      </c>
      <c r="B3477" s="10" t="inlineStr">
        <is>
          <t>Insumo</t>
        </is>
      </c>
      <c r="C3477" s="10" t="inlineStr">
        <is>
          <t>Revestimento em Porcelanato Biancogres 20x120 Scala Beige-a Ret , rejunte cimentício, aplicação em áreas comuns internas</t>
        </is>
      </c>
      <c r="D3477" s="10" t="inlineStr">
        <is>
          <t>Argamassa ACIII</t>
        </is>
      </c>
      <c r="E3477" s="11">
        <f t="array" ref="E3477">_xlfn.XLOOKUP(D3477,Insumos!B:B,Insumos!C:$C)</f>
        <v/>
      </c>
      <c r="F3477" s="14" t="n">
        <v>8.800000000000001</v>
      </c>
      <c r="G3477" s="92">
        <f t="array" ref="G3477">IF(B3477="insumo",_xlfn.XLOOKUP($D3477,Insumos!$B$1:$B$996,Insumos!$D$1:$D$996),"")</f>
        <v/>
      </c>
      <c r="H3477" s="92" t="n">
        <v>9.367599999999999</v>
      </c>
      <c r="I3477" s="2162" t="n">
        <v>0</v>
      </c>
      <c r="J3477" s="2162" t="n">
        <v>0</v>
      </c>
      <c r="K3477" s="2162" t="n"/>
    </row>
    <row r="3478" outlineLevel="3" ht="15.75" customHeight="1">
      <c r="A3478" s="10" t="n">
        <v>142</v>
      </c>
      <c r="B3478" s="10" t="inlineStr">
        <is>
          <t>Insumo</t>
        </is>
      </c>
      <c r="C3478" s="10" t="inlineStr">
        <is>
          <t>Revestimento em Porcelanato Biancogres 20x120 Scala Beige-a Ret , rejunte cimentício, aplicação em áreas comuns internas</t>
        </is>
      </c>
      <c r="D3478" s="10" t="inlineStr">
        <is>
          <t>Espeçador junta piso 2mm</t>
        </is>
      </c>
      <c r="E3478" s="11">
        <f t="array" ref="E3478">_xlfn.XLOOKUP(D3478,Insumos!B:B,Insumos!C:$C)</f>
        <v/>
      </c>
      <c r="F3478" s="14" t="n">
        <v>2</v>
      </c>
      <c r="G3478" s="92">
        <f t="array" ref="G3478">IF(B3478="insumo",_xlfn.XLOOKUP($D3478,Insumos!$B$1:$B$996,Insumos!$D$1:$D$996),"")</f>
        <v/>
      </c>
      <c r="H3478" s="92" t="n">
        <v>0.16</v>
      </c>
      <c r="I3478" s="2162" t="n">
        <v>0</v>
      </c>
      <c r="J3478" s="2162" t="n">
        <v>0</v>
      </c>
      <c r="K3478" s="2162" t="n"/>
    </row>
    <row r="3479" outlineLevel="3" ht="15.75" customHeight="1">
      <c r="A3479" s="10" t="n">
        <v>101</v>
      </c>
      <c r="B3479" s="10" t="inlineStr">
        <is>
          <t>Insumo</t>
        </is>
      </c>
      <c r="C3479" s="10" t="inlineStr">
        <is>
          <t>Revestimento em Porcelanato Biancogres 20x120 Scala Beige-a Ret , rejunte cimentício, aplicação em áreas comuns internas</t>
        </is>
      </c>
      <c r="D3479" s="10" t="inlineStr">
        <is>
          <t>Rejunte Cimentício</t>
        </is>
      </c>
      <c r="E3479" s="11">
        <f t="array" ref="E3479">_xlfn.XLOOKUP(D3479,Insumos!B:B,Insumos!C:$C)</f>
        <v/>
      </c>
      <c r="F3479" s="14" t="n">
        <v>0.02</v>
      </c>
      <c r="G3479" s="92">
        <f t="array" ref="G3479">IF(B3479="insumo",_xlfn.XLOOKUP($D3479,Insumos!$B$1:$B$996,Insumos!$D$1:$D$996),"")</f>
        <v/>
      </c>
      <c r="H3479" s="92" t="n">
        <v>0.223</v>
      </c>
      <c r="I3479" s="2162" t="n">
        <v>0</v>
      </c>
      <c r="J3479" s="2162" t="n">
        <v>0</v>
      </c>
      <c r="K3479" s="2162" t="n"/>
    </row>
    <row r="3480" outlineLevel="2" ht="15.75" customHeight="1">
      <c r="A3480" s="1067" t="n">
        <v>1</v>
      </c>
      <c r="B3480" s="1067" t="inlineStr">
        <is>
          <t>Serviço</t>
        </is>
      </c>
      <c r="C3480" s="1067" t="inlineStr">
        <is>
          <t>Revestimento em Porcelanato Tipo Argila | Portobello - 120x20 cm, rejunte cimentício, aplicação em áreas comuns internas</t>
        </is>
      </c>
      <c r="D3480" s="1067" t="inlineStr">
        <is>
          <t>Revestimento em Porcelanato Tipo Argila | Portobello - 120x20 cm, rejunte cimentício, aplicação em áreas comuns internas</t>
        </is>
      </c>
      <c r="E3480" s="1068" t="inlineStr">
        <is>
          <t>M2</t>
        </is>
      </c>
      <c r="F3480" s="1067" t="n"/>
      <c r="G3480" s="1069">
        <f t="array" ref="G3480">IF(B3480="insumo",_xlfn.XLOOKUP($D3480,Insumos!$B$1:$B$996,Insumos!$D$1:$D$996),"")</f>
        <v/>
      </c>
      <c r="H3480" s="1069" t="n">
        <v>185.7506</v>
      </c>
      <c r="I3480" s="2161" t="n">
        <v>0</v>
      </c>
      <c r="J3480" s="2161" t="n">
        <v>0</v>
      </c>
      <c r="K3480" s="2161" t="n"/>
    </row>
    <row r="3481" outlineLevel="3" ht="15.75" customHeight="1">
      <c r="A3481" s="10" t="n">
        <v>1</v>
      </c>
      <c r="B3481" s="10" t="inlineStr">
        <is>
          <t>Insumo</t>
        </is>
      </c>
      <c r="C3481" s="10" t="inlineStr">
        <is>
          <t>Revestimento em Porcelanato Tipo Argila | Portobello - 120x20 cm, rejunte cimentício, aplicação em áreas comuns internas</t>
        </is>
      </c>
      <c r="D3481" s="10" t="inlineStr">
        <is>
          <t>Porcelanato Tipo Argila | Portobello - 120x20 cm</t>
        </is>
      </c>
      <c r="E3481" s="11">
        <f t="array" ref="E3481">_xlfn.XLOOKUP(D3481,Insumos!B:B,Insumos!C:$C)</f>
        <v/>
      </c>
      <c r="F3481" s="14" t="n">
        <v>1.1</v>
      </c>
      <c r="G3481" s="92">
        <f t="array" ref="G3481">IF(B3481="insumo",_xlfn.XLOOKUP($D3481,Insumos!$B$1:$B$996,Insumos!$D$1:$D$996),"")</f>
        <v/>
      </c>
      <c r="H3481" s="92" t="n">
        <v>176</v>
      </c>
      <c r="I3481" s="2162" t="n">
        <v>0</v>
      </c>
      <c r="J3481" s="2162" t="n">
        <v>0</v>
      </c>
      <c r="K3481" s="2162" t="n"/>
    </row>
    <row r="3482" outlineLevel="3" ht="15.75" customHeight="1">
      <c r="A3482" s="10" t="n">
        <v>191</v>
      </c>
      <c r="B3482" s="10" t="inlineStr">
        <is>
          <t>Insumo</t>
        </is>
      </c>
      <c r="C3482" s="10" t="inlineStr">
        <is>
          <t>Revestimento em Porcelanato Tipo Argila | Portobello - 120x20 cm, rejunte cimentício, aplicação em áreas comuns internas</t>
        </is>
      </c>
      <c r="D3482" s="10" t="inlineStr">
        <is>
          <t>Argamassa ACIII</t>
        </is>
      </c>
      <c r="E3482" s="11">
        <f t="array" ref="E3482">_xlfn.XLOOKUP(D3482,Insumos!B:B,Insumos!C:$C)</f>
        <v/>
      </c>
      <c r="F3482" s="14" t="n">
        <v>8.800000000000001</v>
      </c>
      <c r="G3482" s="92">
        <f t="array" ref="G3482">IF(B3482="insumo",_xlfn.XLOOKUP($D3482,Insumos!$B$1:$B$996,Insumos!$D$1:$D$996),"")</f>
        <v/>
      </c>
      <c r="H3482" s="92" t="n">
        <v>9.367599999999999</v>
      </c>
      <c r="I3482" s="2162" t="n">
        <v>0</v>
      </c>
      <c r="J3482" s="2162" t="n">
        <v>0</v>
      </c>
      <c r="K3482" s="2162" t="n"/>
    </row>
    <row r="3483" outlineLevel="3" ht="15.75" customHeight="1">
      <c r="A3483" s="10" t="n">
        <v>142</v>
      </c>
      <c r="B3483" s="10" t="inlineStr">
        <is>
          <t>Insumo</t>
        </is>
      </c>
      <c r="C3483" s="10" t="inlineStr">
        <is>
          <t>Revestimento em Porcelanato Tipo Argila | Portobello - 120x20 cm, rejunte cimentício, aplicação em áreas comuns internas</t>
        </is>
      </c>
      <c r="D3483" s="10" t="inlineStr">
        <is>
          <t>Espeçador junta piso 2mm</t>
        </is>
      </c>
      <c r="E3483" s="11">
        <f t="array" ref="E3483">_xlfn.XLOOKUP(D3483,Insumos!B:B,Insumos!C:$C)</f>
        <v/>
      </c>
      <c r="F3483" s="14" t="n">
        <v>2</v>
      </c>
      <c r="G3483" s="92">
        <f t="array" ref="G3483">IF(B3483="insumo",_xlfn.XLOOKUP($D3483,Insumos!$B$1:$B$996,Insumos!$D$1:$D$996),"")</f>
        <v/>
      </c>
      <c r="H3483" s="92" t="n">
        <v>0.16</v>
      </c>
      <c r="I3483" s="2162" t="n">
        <v>0</v>
      </c>
      <c r="J3483" s="2162" t="n">
        <v>0</v>
      </c>
      <c r="K3483" s="2162" t="n"/>
    </row>
    <row r="3484" outlineLevel="3" ht="15.75" customHeight="1">
      <c r="A3484" s="10" t="n">
        <v>101</v>
      </c>
      <c r="B3484" s="10" t="inlineStr">
        <is>
          <t>Insumo</t>
        </is>
      </c>
      <c r="C3484" s="10" t="inlineStr">
        <is>
          <t>Revestimento em Porcelanato Tipo Argila | Portobello - 120x20 cm, rejunte cimentício, aplicação em áreas comuns internas</t>
        </is>
      </c>
      <c r="D3484" s="10" t="inlineStr">
        <is>
          <t>Rejunte Cimentício</t>
        </is>
      </c>
      <c r="E3484" s="11">
        <f t="array" ref="E3484">_xlfn.XLOOKUP(D3484,Insumos!B:B,Insumos!C:$C)</f>
        <v/>
      </c>
      <c r="F3484" s="14" t="n">
        <v>0.02</v>
      </c>
      <c r="G3484" s="92">
        <f t="array" ref="G3484">IF(B3484="insumo",_xlfn.XLOOKUP($D3484,Insumos!$B$1:$B$996,Insumos!$D$1:$D$996),"")</f>
        <v/>
      </c>
      <c r="H3484" s="92" t="n">
        <v>0.223</v>
      </c>
      <c r="I3484" s="2162" t="n">
        <v>0</v>
      </c>
      <c r="J3484" s="2162" t="n">
        <v>0</v>
      </c>
      <c r="K3484" s="2162" t="n"/>
    </row>
    <row r="3485" outlineLevel="2" ht="12.75" customHeight="1">
      <c r="A3485" s="1071" t="n">
        <v>1</v>
      </c>
      <c r="B3485" s="1071" t="inlineStr">
        <is>
          <t>Serviço</t>
        </is>
      </c>
      <c r="C3485" s="1071" t="inlineStr">
        <is>
          <t>Revestimento em Pisos porcelanato, 61x 61cm com Junta de 3mm</t>
        </is>
      </c>
      <c r="D3485" s="1071" t="inlineStr">
        <is>
          <t>Revestimento em Pisos porcelanato, 61x 61cm com Junta de 3mm</t>
        </is>
      </c>
      <c r="E3485" s="1072" t="inlineStr">
        <is>
          <t>M2</t>
        </is>
      </c>
      <c r="F3485" s="1071" t="n"/>
      <c r="G3485" s="1073">
        <f t="array" ref="G3485">IF(B3485="insumo",_xlfn.XLOOKUP($D3485,Insumos!$B$1:$B$996,Insumos!$D$1:$D$996),"")</f>
        <v/>
      </c>
      <c r="H3485" s="1073" t="n">
        <v>95.456</v>
      </c>
      <c r="I3485" s="2163" t="n">
        <v>0</v>
      </c>
      <c r="J3485" s="2163" t="n">
        <v>0</v>
      </c>
      <c r="K3485" s="2163" t="n"/>
    </row>
    <row r="3486" outlineLevel="3" ht="12.75" customHeight="1">
      <c r="A3486" s="82" t="n">
        <v>1</v>
      </c>
      <c r="B3486" s="82" t="inlineStr">
        <is>
          <t>Insumo</t>
        </is>
      </c>
      <c r="C3486" s="82" t="inlineStr">
        <is>
          <t>Revestimento em Pisos porcelanato, 61x 61cm com Junta de 3mm</t>
        </is>
      </c>
      <c r="D3486" s="82" t="inlineStr">
        <is>
          <t>Porcelanato 61,1x61,1cm Cement Grigio Pure 61024 Acetinado Extra</t>
        </is>
      </c>
      <c r="E3486" s="11">
        <f t="array" ref="E3486">_xlfn.XLOOKUP(D3486,Insumos!B:B,Insumos!C:$C)</f>
        <v/>
      </c>
      <c r="F3486" s="2171" t="n">
        <v>1.1</v>
      </c>
      <c r="G3486" s="92">
        <f t="array" ref="G3486">IF(B3486="insumo",_xlfn.XLOOKUP($D3486,Insumos!$B$1:$B$996,Insumos!$D$1:$D$996),"")</f>
        <v/>
      </c>
      <c r="H3486" s="92" t="n">
        <v>86.82299999999999</v>
      </c>
      <c r="I3486" s="2165" t="n">
        <v>0</v>
      </c>
      <c r="J3486" s="2165" t="n">
        <v>0</v>
      </c>
      <c r="K3486" s="2165" t="n"/>
    </row>
    <row r="3487" outlineLevel="3" ht="12.75" customHeight="1">
      <c r="A3487" s="82" t="n">
        <v>16</v>
      </c>
      <c r="B3487" s="82" t="inlineStr">
        <is>
          <t>Insumo</t>
        </is>
      </c>
      <c r="C3487" s="82" t="inlineStr">
        <is>
          <t>Revestimento em Pisos porcelanato, 61x 61cm com Junta de 3mm</t>
        </is>
      </c>
      <c r="D3487" s="82" t="inlineStr">
        <is>
          <t>Argamassa ACII</t>
        </is>
      </c>
      <c r="E3487" s="11">
        <f t="array" ref="E3487">_xlfn.XLOOKUP(D3487,Insumos!B:B,Insumos!C:$C)</f>
        <v/>
      </c>
      <c r="F3487" s="2171" t="n">
        <v>8.800000000000001</v>
      </c>
      <c r="G3487" s="92">
        <f t="array" ref="G3487">IF(B3487="insumo",_xlfn.XLOOKUP($D3487,Insumos!$B$1:$B$996,Insumos!$D$1:$D$996),"")</f>
        <v/>
      </c>
      <c r="H3487" s="92" t="n">
        <v>8.359999999999999</v>
      </c>
      <c r="I3487" s="2165" t="n">
        <v>0</v>
      </c>
      <c r="J3487" s="2165" t="n">
        <v>0</v>
      </c>
      <c r="K3487" s="2165" t="n"/>
    </row>
    <row r="3488" outlineLevel="3" ht="12.75" customHeight="1">
      <c r="A3488" s="82" t="n">
        <v>17</v>
      </c>
      <c r="B3488" s="82" t="inlineStr">
        <is>
          <t>Insumo</t>
        </is>
      </c>
      <c r="C3488" s="82" t="inlineStr">
        <is>
          <t>Revestimento em Pisos porcelanato, 61x 61cm com Junta de 3mm</t>
        </is>
      </c>
      <c r="D3488" s="82" t="inlineStr">
        <is>
          <t>Espeçador junta piso 3mm</t>
        </is>
      </c>
      <c r="E3488" s="11">
        <f t="array" ref="E3488">_xlfn.XLOOKUP(D3488,Insumos!B:B,Insumos!C:$C)</f>
        <v/>
      </c>
      <c r="F3488" s="2171" t="n">
        <v>1</v>
      </c>
      <c r="G3488" s="92">
        <f t="array" ref="G3488">IF(B3488="insumo",_xlfn.XLOOKUP($D3488,Insumos!$B$1:$B$996,Insumos!$D$1:$D$996),"")</f>
        <v/>
      </c>
      <c r="H3488" s="92" t="n">
        <v>0.05</v>
      </c>
      <c r="I3488" s="2165" t="n">
        <v>0</v>
      </c>
      <c r="J3488" s="2165" t="n">
        <v>0</v>
      </c>
      <c r="K3488" s="2165" t="n"/>
    </row>
    <row r="3489" outlineLevel="3" ht="12.75" customHeight="1">
      <c r="A3489" s="82" t="n">
        <v>101</v>
      </c>
      <c r="B3489" s="82" t="inlineStr">
        <is>
          <t>Insumo</t>
        </is>
      </c>
      <c r="C3489" s="82" t="inlineStr">
        <is>
          <t>Revestimento em Pisos porcelanato, 61x 61cm com Junta de 3mm</t>
        </is>
      </c>
      <c r="D3489" s="82" t="inlineStr">
        <is>
          <t>Rejunte Cimentício</t>
        </is>
      </c>
      <c r="E3489" s="11">
        <f t="array" ref="E3489">_xlfn.XLOOKUP(D3489,Insumos!B:B,Insumos!C:$C)</f>
        <v/>
      </c>
      <c r="F3489" s="2171" t="n">
        <v>0.02</v>
      </c>
      <c r="G3489" s="92">
        <f t="array" ref="G3489">IF(B3489="insumo",_xlfn.XLOOKUP($D3489,Insumos!$B$1:$B$996,Insumos!$D$1:$D$996),"")</f>
        <v/>
      </c>
      <c r="H3489" s="92" t="n">
        <v>0.223</v>
      </c>
      <c r="I3489" s="2165" t="n">
        <v>0</v>
      </c>
      <c r="J3489" s="2165" t="n">
        <v>0</v>
      </c>
      <c r="K3489" s="2165" t="n"/>
    </row>
    <row r="3490" outlineLevel="2" ht="12.75" customHeight="1">
      <c r="A3490" s="1071" t="n">
        <v>1</v>
      </c>
      <c r="B3490" s="1071" t="inlineStr">
        <is>
          <t>Serviço</t>
        </is>
      </c>
      <c r="C3490" s="1071" t="inlineStr">
        <is>
          <t>Revestimento de Piso Porcelanato Polido, Padrão Nobre, Placa 90x90cm</t>
        </is>
      </c>
      <c r="D3490" s="1071" t="inlineStr">
        <is>
          <t>Revestimento de Piso Porcelanato Polido, Padrão Nobre, Placa 90x90cm</t>
        </is>
      </c>
      <c r="E3490" s="1072" t="inlineStr">
        <is>
          <t>M2</t>
        </is>
      </c>
      <c r="F3490" s="1071" t="n"/>
      <c r="G3490" s="1073">
        <f t="array" ref="G3490">IF(B3490="insumo",_xlfn.XLOOKUP($D3490,Insumos!$B$1:$B$996,Insumos!$D$1:$D$996),"")</f>
        <v/>
      </c>
      <c r="H3490" s="1073" t="n">
        <v>141.5481</v>
      </c>
      <c r="I3490" s="2163" t="n">
        <v>0</v>
      </c>
      <c r="J3490" s="2163" t="n">
        <v>0</v>
      </c>
      <c r="K3490" s="2163" t="n"/>
    </row>
    <row r="3491" outlineLevel="3" ht="12.75" customHeight="1">
      <c r="A3491" s="82" t="n">
        <v>2</v>
      </c>
      <c r="B3491" s="82" t="inlineStr">
        <is>
          <t>Insumo</t>
        </is>
      </c>
      <c r="C3491" s="82" t="inlineStr">
        <is>
          <t>Revestimento de Piso Porcelanato Polido, Padrão Nobre, Placa 90x90cm</t>
        </is>
      </c>
      <c r="D3491" s="82" t="inlineStr">
        <is>
          <t>PORCELANATO 90X90 PORTOBELLO CHIARO DI VERSILIA NATURAL</t>
        </is>
      </c>
      <c r="E3491" s="11">
        <f t="array" ref="E3491">_xlfn.XLOOKUP(D3491,Insumos!B:B,Insumos!C:$C)</f>
        <v/>
      </c>
      <c r="F3491" s="2171" t="n">
        <v>1.1</v>
      </c>
      <c r="G3491" s="92">
        <f t="array" ref="G3491">IF(B3491="insumo",_xlfn.XLOOKUP($D3491,Insumos!$B$1:$B$996,Insumos!$D$1:$D$996),"")</f>
        <v/>
      </c>
      <c r="H3491" s="92" t="n">
        <v>131.989</v>
      </c>
      <c r="I3491" s="2165" t="n">
        <v>0</v>
      </c>
      <c r="J3491" s="2165" t="n">
        <v>0</v>
      </c>
      <c r="K3491" s="2165" t="n"/>
    </row>
    <row r="3492" outlineLevel="3" ht="12.75" customHeight="1">
      <c r="A3492" s="82" t="n">
        <v>191</v>
      </c>
      <c r="B3492" s="82" t="inlineStr">
        <is>
          <t>Insumo</t>
        </is>
      </c>
      <c r="C3492" s="82" t="inlineStr">
        <is>
          <t>Revestimento de Piso Porcelanato Polido, Padrão Nobre, Placa 90x90cm</t>
        </is>
      </c>
      <c r="D3492" s="82" t="inlineStr">
        <is>
          <t>Argamassa ACIII</t>
        </is>
      </c>
      <c r="E3492" s="11">
        <f t="array" ref="E3492">_xlfn.XLOOKUP(D3492,Insumos!B:B,Insumos!C:$C)</f>
        <v/>
      </c>
      <c r="F3492" s="2171" t="n">
        <v>8.800000000000001</v>
      </c>
      <c r="G3492" s="92">
        <f t="array" ref="G3492">IF(B3492="insumo",_xlfn.XLOOKUP($D3492,Insumos!$B$1:$B$996,Insumos!$D$1:$D$996),"")</f>
        <v/>
      </c>
      <c r="H3492" s="92" t="n">
        <v>9.367599999999999</v>
      </c>
      <c r="I3492" s="2165" t="n">
        <v>0</v>
      </c>
      <c r="J3492" s="2165" t="n">
        <v>0</v>
      </c>
      <c r="K3492" s="2165" t="n"/>
    </row>
    <row r="3493" outlineLevel="3" ht="12.75" customHeight="1">
      <c r="A3493" s="82" t="n">
        <v>142</v>
      </c>
      <c r="B3493" s="82" t="inlineStr">
        <is>
          <t>Insumo</t>
        </is>
      </c>
      <c r="C3493" s="82" t="inlineStr">
        <is>
          <t>Revestimento de Piso Porcelanato Polido, Padrão Nobre, Placa 90x90cm</t>
        </is>
      </c>
      <c r="D3493" s="82" t="inlineStr">
        <is>
          <t>Espeçador junta piso 2mm</t>
        </is>
      </c>
      <c r="E3493" s="11">
        <f t="array" ref="E3493">_xlfn.XLOOKUP(D3493,Insumos!B:B,Insumos!C:$C)</f>
        <v/>
      </c>
      <c r="F3493" s="2171" t="n">
        <v>1</v>
      </c>
      <c r="G3493" s="92">
        <f t="array" ref="G3493">IF(B3493="insumo",_xlfn.XLOOKUP($D3493,Insumos!$B$1:$B$996,Insumos!$D$1:$D$996),"")</f>
        <v/>
      </c>
      <c r="H3493" s="92" t="n">
        <v>0.08</v>
      </c>
      <c r="I3493" s="2165" t="n">
        <v>0</v>
      </c>
      <c r="J3493" s="2165" t="n">
        <v>0</v>
      </c>
      <c r="K3493" s="2165" t="n"/>
    </row>
    <row r="3494" outlineLevel="3" ht="12.75" customHeight="1">
      <c r="A3494" s="82" t="n">
        <v>101</v>
      </c>
      <c r="B3494" s="82" t="inlineStr">
        <is>
          <t>Insumo</t>
        </is>
      </c>
      <c r="C3494" s="82" t="inlineStr">
        <is>
          <t>Revestimento de Piso Porcelanato Polido, Padrão Nobre, Placa 90x90cm</t>
        </is>
      </c>
      <c r="D3494" s="82" t="inlineStr">
        <is>
          <t>Rejunte Cimentício</t>
        </is>
      </c>
      <c r="E3494" s="11">
        <f t="array" ref="E3494">_xlfn.XLOOKUP(D3494,Insumos!B:B,Insumos!C:$C)</f>
        <v/>
      </c>
      <c r="F3494" s="2171" t="n">
        <v>0.01</v>
      </c>
      <c r="G3494" s="92">
        <f t="array" ref="G3494">IF(B3494="insumo",_xlfn.XLOOKUP($D3494,Insumos!$B$1:$B$996,Insumos!$D$1:$D$996),"")</f>
        <v/>
      </c>
      <c r="H3494" s="92" t="n">
        <v>0.1115</v>
      </c>
      <c r="I3494" s="2165" t="n">
        <v>0</v>
      </c>
      <c r="J3494" s="2165" t="n">
        <v>0</v>
      </c>
      <c r="K3494" s="2165" t="n"/>
    </row>
    <row r="3495" outlineLevel="2" ht="12.75" customHeight="1">
      <c r="A3495" s="1071" t="n">
        <v>1</v>
      </c>
      <c r="B3495" s="1071" t="inlineStr">
        <is>
          <t>Serviço</t>
        </is>
      </c>
      <c r="C3495" s="1071" t="inlineStr">
        <is>
          <t>Revestimento de Piso Porcelanato Polido, Placa 90x90cm</t>
        </is>
      </c>
      <c r="D3495" s="1071" t="inlineStr">
        <is>
          <t>Revestimento de Piso Porcelanato Polido, Placa 90x90cm</t>
        </is>
      </c>
      <c r="E3495" s="1072" t="inlineStr">
        <is>
          <t>M2</t>
        </is>
      </c>
      <c r="F3495" s="1071" t="n"/>
      <c r="G3495" s="1073">
        <f t="array" ref="G3495">IF(B3495="insumo",_xlfn.XLOOKUP($D3495,Insumos!$B$1:$B$996,Insumos!$D$1:$D$996),"")</f>
        <v/>
      </c>
      <c r="H3495" s="1073" t="n">
        <v>99.7591</v>
      </c>
      <c r="I3495" s="2163" t="n">
        <v>0</v>
      </c>
      <c r="J3495" s="2163" t="n">
        <v>0</v>
      </c>
      <c r="K3495" s="2163" t="n"/>
    </row>
    <row r="3496" outlineLevel="3" ht="12.75" customHeight="1">
      <c r="A3496" s="82" t="n">
        <v>5</v>
      </c>
      <c r="B3496" s="82" t="inlineStr">
        <is>
          <t>Insumo</t>
        </is>
      </c>
      <c r="C3496" s="82" t="inlineStr">
        <is>
          <t>Revestimento de Piso Porcelanato Polido, Placa 90x90cm</t>
        </is>
      </c>
      <c r="D3496" s="82" t="inlineStr">
        <is>
          <t xml:space="preserve">Porcelanato A 90x90 Polido </t>
        </is>
      </c>
      <c r="E3496" s="11">
        <f t="array" ref="E3496">_xlfn.XLOOKUP(D3496,Insumos!B:B,Insumos!C:$C)</f>
        <v/>
      </c>
      <c r="F3496" s="2171" t="n">
        <v>1.1</v>
      </c>
      <c r="G3496" s="92">
        <f t="array" ref="G3496">IF(B3496="insumo",_xlfn.XLOOKUP($D3496,Insumos!$B$1:$B$996,Insumos!$D$1:$D$996),"")</f>
        <v/>
      </c>
      <c r="H3496" s="92" t="n">
        <v>90.2</v>
      </c>
      <c r="I3496" s="2165" t="n">
        <v>0</v>
      </c>
      <c r="J3496" s="2165" t="n">
        <v>0</v>
      </c>
      <c r="K3496" s="2165" t="n"/>
    </row>
    <row r="3497" outlineLevel="3" ht="12.75" customHeight="1">
      <c r="A3497" s="82" t="n">
        <v>191</v>
      </c>
      <c r="B3497" s="82" t="inlineStr">
        <is>
          <t>Insumo</t>
        </is>
      </c>
      <c r="C3497" s="82" t="inlineStr">
        <is>
          <t>Revestimento de Piso Porcelanato Polido, Placa 90x90cm</t>
        </is>
      </c>
      <c r="D3497" s="82" t="inlineStr">
        <is>
          <t>Argamassa ACIII</t>
        </is>
      </c>
      <c r="E3497" s="11">
        <f t="array" ref="E3497">_xlfn.XLOOKUP(D3497,Insumos!B:B,Insumos!C:$C)</f>
        <v/>
      </c>
      <c r="F3497" s="2171" t="n">
        <v>8.800000000000001</v>
      </c>
      <c r="G3497" s="92">
        <f t="array" ref="G3497">IF(B3497="insumo",_xlfn.XLOOKUP($D3497,Insumos!$B$1:$B$996,Insumos!$D$1:$D$996),"")</f>
        <v/>
      </c>
      <c r="H3497" s="92" t="n">
        <v>9.367599999999999</v>
      </c>
      <c r="I3497" s="2165" t="n">
        <v>0</v>
      </c>
      <c r="J3497" s="2165" t="n">
        <v>0</v>
      </c>
      <c r="K3497" s="2165" t="n"/>
    </row>
    <row r="3498" outlineLevel="3" ht="12.75" customHeight="1">
      <c r="A3498" s="82" t="n">
        <v>142</v>
      </c>
      <c r="B3498" s="82" t="inlineStr">
        <is>
          <t>Insumo</t>
        </is>
      </c>
      <c r="C3498" s="82" t="inlineStr">
        <is>
          <t>Revestimento de Piso Porcelanato Polido, Placa 90x90cm</t>
        </is>
      </c>
      <c r="D3498" s="82" t="inlineStr">
        <is>
          <t>Espeçador junta piso 2mm</t>
        </is>
      </c>
      <c r="E3498" s="11">
        <f t="array" ref="E3498">_xlfn.XLOOKUP(D3498,Insumos!B:B,Insumos!C:$C)</f>
        <v/>
      </c>
      <c r="F3498" s="2171" t="n">
        <v>1</v>
      </c>
      <c r="G3498" s="92">
        <f t="array" ref="G3498">IF(B3498="insumo",_xlfn.XLOOKUP($D3498,Insumos!$B$1:$B$996,Insumos!$D$1:$D$996),"")</f>
        <v/>
      </c>
      <c r="H3498" s="92" t="n">
        <v>0.08</v>
      </c>
      <c r="I3498" s="2165" t="n">
        <v>0</v>
      </c>
      <c r="J3498" s="2165" t="n">
        <v>0</v>
      </c>
      <c r="K3498" s="2165" t="n"/>
    </row>
    <row r="3499" outlineLevel="3" ht="12.75" customHeight="1">
      <c r="A3499" s="82" t="n">
        <v>101</v>
      </c>
      <c r="B3499" s="82" t="inlineStr">
        <is>
          <t>Insumo</t>
        </is>
      </c>
      <c r="C3499" s="82" t="inlineStr">
        <is>
          <t>Revestimento de Piso Porcelanato Polido, Placa 90x90cm</t>
        </is>
      </c>
      <c r="D3499" s="82" t="inlineStr">
        <is>
          <t>Rejunte Cimentício</t>
        </is>
      </c>
      <c r="E3499" s="11">
        <f t="array" ref="E3499">_xlfn.XLOOKUP(D3499,Insumos!B:B,Insumos!C:$C)</f>
        <v/>
      </c>
      <c r="F3499" s="2171" t="n">
        <v>0.01</v>
      </c>
      <c r="G3499" s="92">
        <f t="array" ref="G3499">IF(B3499="insumo",_xlfn.XLOOKUP($D3499,Insumos!$B$1:$B$996,Insumos!$D$1:$D$996),"")</f>
        <v/>
      </c>
      <c r="H3499" s="92" t="n">
        <v>0.1115</v>
      </c>
      <c r="I3499" s="2165" t="n">
        <v>0</v>
      </c>
      <c r="J3499" s="2165" t="n">
        <v>0</v>
      </c>
      <c r="K3499" s="2165" t="n"/>
    </row>
    <row r="3500" outlineLevel="2" ht="12.75" customHeight="1">
      <c r="A3500" s="1071" t="n">
        <v>1</v>
      </c>
      <c r="B3500" s="1071" t="inlineStr">
        <is>
          <t>Serviço</t>
        </is>
      </c>
      <c r="C3500" s="1071" t="inlineStr">
        <is>
          <t>Revestimento de Piso Porcelanato, Placa 90x90cm, antiderrapante com junta 5mm e rejunte acrilico cinza platina</t>
        </is>
      </c>
      <c r="D3500" s="1071" t="inlineStr">
        <is>
          <t>Revestimento de Piso Porcelanato, Placa 90x90cm, antiderrapante com junta 5mm e rejunte acrilico cinza platina</t>
        </is>
      </c>
      <c r="E3500" s="1072" t="inlineStr">
        <is>
          <t>M2</t>
        </is>
      </c>
      <c r="F3500" s="1071" t="n"/>
      <c r="G3500" s="1073">
        <f t="array" ref="G3500">IF(B3500="insumo",_xlfn.XLOOKUP($D3500,Insumos!$B$1:$B$996,Insumos!$D$1:$D$996),"")</f>
        <v/>
      </c>
      <c r="H3500" s="1073" t="n">
        <v>102.7886</v>
      </c>
      <c r="I3500" s="2163" t="e">
        <v>#REF!</v>
      </c>
      <c r="J3500" s="2163" t="e">
        <v>#REF!</v>
      </c>
      <c r="K3500" s="2163" t="n"/>
    </row>
    <row r="3501" outlineLevel="3" ht="12.75" customHeight="1">
      <c r="A3501" s="82" t="n">
        <v>1</v>
      </c>
      <c r="B3501" s="82" t="inlineStr">
        <is>
          <t>Insumo</t>
        </is>
      </c>
      <c r="C3501" s="82" t="inlineStr">
        <is>
          <t>Revestimento de Piso Porcelanato, Placa 90x90cm, antiderrapante com junta 5mm e rejunte acrilico cinza platina</t>
        </is>
      </c>
      <c r="D3501" s="82" t="inlineStr">
        <is>
          <t>Porcelanato Pedra Granilhado 90x90cm Travertino Tivoli Bege</t>
        </is>
      </c>
      <c r="E3501" s="11">
        <f t="array" ref="E3501">_xlfn.XLOOKUP(D3501,Insumos!B:B,Insumos!C:$C)</f>
        <v/>
      </c>
      <c r="F3501" s="2171" t="n">
        <v>1.1</v>
      </c>
      <c r="G3501" s="92">
        <f t="array" ref="G3501">IF(B3501="insumo",_xlfn.XLOOKUP($D3501,Insumos!$B$1:$B$996,Insumos!$D$1:$D$996),"")</f>
        <v/>
      </c>
      <c r="H3501" s="92" t="n">
        <v>92.961</v>
      </c>
      <c r="I3501" s="2165" t="e">
        <v>#REF!</v>
      </c>
      <c r="J3501" s="2165" t="e">
        <v>#REF!</v>
      </c>
      <c r="K3501" s="2165" t="n"/>
    </row>
    <row r="3502" outlineLevel="3" ht="12.75" customHeight="1">
      <c r="A3502" s="82" t="n">
        <v>191</v>
      </c>
      <c r="B3502" s="82" t="inlineStr">
        <is>
          <t>Insumo</t>
        </is>
      </c>
      <c r="C3502" s="82" t="inlineStr">
        <is>
          <t>Revestimento de Piso Porcelanato, Placa 90x90cm, antiderrapante com junta 5mm e rejunte acrilico cinza platina</t>
        </is>
      </c>
      <c r="D3502" s="82" t="inlineStr">
        <is>
          <t>Argamassa ACIII</t>
        </is>
      </c>
      <c r="E3502" s="11">
        <f t="array" ref="E3502">_xlfn.XLOOKUP(D3502,Insumos!B:B,Insumos!C:$C)</f>
        <v/>
      </c>
      <c r="F3502" s="2171" t="n">
        <v>8.800000000000001</v>
      </c>
      <c r="G3502" s="92">
        <f t="array" ref="G3502">IF(B3502="insumo",_xlfn.XLOOKUP($D3502,Insumos!$B$1:$B$996,Insumos!$D$1:$D$996),"")</f>
        <v/>
      </c>
      <c r="H3502" s="92" t="n">
        <v>9.367599999999999</v>
      </c>
      <c r="I3502" s="2165" t="e">
        <v>#REF!</v>
      </c>
      <c r="J3502" s="2165" t="e">
        <v>#REF!</v>
      </c>
      <c r="K3502" s="2165" t="n"/>
    </row>
    <row r="3503" outlineLevel="3" ht="12.75" customHeight="1">
      <c r="A3503" s="82" t="n">
        <v>142</v>
      </c>
      <c r="B3503" s="82" t="inlineStr">
        <is>
          <t>Insumo</t>
        </is>
      </c>
      <c r="C3503" s="82" t="inlineStr">
        <is>
          <t>Revestimento de Piso Porcelanato, Placa 90x90cm, antiderrapante com junta 5mm e rejunte acrilico cinza platina</t>
        </is>
      </c>
      <c r="D3503" s="82" t="inlineStr">
        <is>
          <t>Espeçador junta piso 2mm</t>
        </is>
      </c>
      <c r="E3503" s="11">
        <f t="array" ref="E3503">_xlfn.XLOOKUP(D3503,Insumos!B:B,Insumos!C:$C)</f>
        <v/>
      </c>
      <c r="F3503" s="2171" t="n">
        <v>1</v>
      </c>
      <c r="G3503" s="92">
        <f t="array" ref="G3503">IF(B3503="insumo",_xlfn.XLOOKUP($D3503,Insumos!$B$1:$B$996,Insumos!$D$1:$D$996),"")</f>
        <v/>
      </c>
      <c r="H3503" s="92" t="n">
        <v>0.08</v>
      </c>
      <c r="I3503" s="2165" t="e">
        <v>#REF!</v>
      </c>
      <c r="J3503" s="2165" t="e">
        <v>#REF!</v>
      </c>
      <c r="K3503" s="2165" t="n"/>
    </row>
    <row r="3504" outlineLevel="3" ht="12.75" customHeight="1">
      <c r="A3504" s="82" t="n">
        <v>36</v>
      </c>
      <c r="B3504" s="82" t="inlineStr">
        <is>
          <t>Insumo</t>
        </is>
      </c>
      <c r="C3504" s="82" t="inlineStr">
        <is>
          <t>Revestimento de Piso Porcelanato, Placa 90x90cm, antiderrapante com junta 5mm e rejunte acrilico cinza platina</t>
        </is>
      </c>
      <c r="D3504" s="82" t="inlineStr">
        <is>
          <t>Rejunte Acrilico cinza platina</t>
        </is>
      </c>
      <c r="E3504" s="11">
        <f t="array" ref="E3504">_xlfn.XLOOKUP(D3504,Insumos!B:B,Insumos!C:$C)</f>
        <v/>
      </c>
      <c r="F3504" s="2171" t="n">
        <v>0.01</v>
      </c>
      <c r="G3504" s="92">
        <f t="array" ref="G3504">IF(B3504="insumo",_xlfn.XLOOKUP($D3504,Insumos!$B$1:$B$996,Insumos!$D$1:$D$996),"")</f>
        <v/>
      </c>
      <c r="H3504" s="92" t="n">
        <v>0.38</v>
      </c>
      <c r="I3504" s="2165" t="e">
        <v>#REF!</v>
      </c>
      <c r="J3504" s="2165" t="e">
        <v>#REF!</v>
      </c>
      <c r="K3504" s="2165" t="n"/>
    </row>
    <row r="3505" outlineLevel="2" ht="12.75" customHeight="1">
      <c r="A3505" s="1071" t="n">
        <v>1</v>
      </c>
      <c r="B3505" s="1071" t="inlineStr">
        <is>
          <t>Serviço</t>
        </is>
      </c>
      <c r="C3505" s="1071" t="inlineStr">
        <is>
          <t>Revestimento de Piso Porcelanato, Placa 90x90cm, com coeficiente de atrito 0,4</t>
        </is>
      </c>
      <c r="D3505" s="1071" t="inlineStr">
        <is>
          <t>Revestimento de Piso Porcelanato, Placa 90x90cm, com coeficiente de atrito 0,4</t>
        </is>
      </c>
      <c r="E3505" s="1072" t="inlineStr">
        <is>
          <t>M2</t>
        </is>
      </c>
      <c r="F3505" s="1071" t="n"/>
      <c r="G3505" s="1073">
        <f t="array" ref="G3505">IF(B3505="insumo",_xlfn.XLOOKUP($D3505,Insumos!$B$1:$B$996,Insumos!$D$1:$D$996),"")</f>
        <v/>
      </c>
      <c r="H3505" s="1073" t="n">
        <v>83.8201</v>
      </c>
      <c r="I3505" s="2163" t="n">
        <v>0</v>
      </c>
      <c r="J3505" s="2163" t="n">
        <v>0</v>
      </c>
      <c r="K3505" s="2163" t="n"/>
    </row>
    <row r="3506" outlineLevel="3" ht="12.75" customHeight="1">
      <c r="A3506" s="82" t="n">
        <v>1</v>
      </c>
      <c r="B3506" s="82" t="inlineStr">
        <is>
          <t>Insumo</t>
        </is>
      </c>
      <c r="C3506" s="82" t="inlineStr">
        <is>
          <t>Revestimento de Piso Porcelanato, Placa 90x90cm, com coeficiente de atrito 0,4</t>
        </is>
      </c>
      <c r="D3506" s="82" t="inlineStr">
        <is>
          <t>Porcelanato Esmaltado 90x90cm Cinza Cemento Grigio Biancogres</t>
        </is>
      </c>
      <c r="E3506" s="11">
        <f t="array" ref="E3506">_xlfn.XLOOKUP(D3506,Insumos!B:B,Insumos!C:$C)</f>
        <v/>
      </c>
      <c r="F3506" s="2171" t="n">
        <v>1.1</v>
      </c>
      <c r="G3506" s="92">
        <f t="array" ref="G3506">IF(B3506="insumo",_xlfn.XLOOKUP($D3506,Insumos!$B$1:$B$996,Insumos!$D$1:$D$996),"")</f>
        <v/>
      </c>
      <c r="H3506" s="92" t="n">
        <v>74.261</v>
      </c>
      <c r="I3506" s="2165" t="n">
        <v>0</v>
      </c>
      <c r="J3506" s="2165" t="n">
        <v>0</v>
      </c>
      <c r="K3506" s="2165" t="n"/>
    </row>
    <row r="3507" outlineLevel="3" ht="12.75" customHeight="1">
      <c r="A3507" s="82" t="n">
        <v>191</v>
      </c>
      <c r="B3507" s="82" t="inlineStr">
        <is>
          <t>Insumo</t>
        </is>
      </c>
      <c r="C3507" s="82" t="inlineStr">
        <is>
          <t>Revestimento de Piso Porcelanato, Placa 90x90cm, com coeficiente de atrito 0,4</t>
        </is>
      </c>
      <c r="D3507" s="82" t="inlineStr">
        <is>
          <t>Argamassa ACIII</t>
        </is>
      </c>
      <c r="E3507" s="11">
        <f t="array" ref="E3507">_xlfn.XLOOKUP(D3507,Insumos!B:B,Insumos!C:$C)</f>
        <v/>
      </c>
      <c r="F3507" s="2171" t="n">
        <v>8.800000000000001</v>
      </c>
      <c r="G3507" s="92">
        <f t="array" ref="G3507">IF(B3507="insumo",_xlfn.XLOOKUP($D3507,Insumos!$B$1:$B$996,Insumos!$D$1:$D$996),"")</f>
        <v/>
      </c>
      <c r="H3507" s="92" t="n">
        <v>9.367599999999999</v>
      </c>
      <c r="I3507" s="2165" t="n">
        <v>0</v>
      </c>
      <c r="J3507" s="2165" t="n">
        <v>0</v>
      </c>
      <c r="K3507" s="2165" t="n"/>
    </row>
    <row r="3508" outlineLevel="3" ht="12.75" customHeight="1">
      <c r="A3508" s="82" t="n">
        <v>142</v>
      </c>
      <c r="B3508" s="82" t="inlineStr">
        <is>
          <t>Insumo</t>
        </is>
      </c>
      <c r="C3508" s="82" t="inlineStr">
        <is>
          <t>Revestimento de Piso Porcelanato, Placa 90x90cm, com coeficiente de atrito 0,4</t>
        </is>
      </c>
      <c r="D3508" s="82" t="inlineStr">
        <is>
          <t>Espeçador junta piso 2mm</t>
        </is>
      </c>
      <c r="E3508" s="11">
        <f t="array" ref="E3508">_xlfn.XLOOKUP(D3508,Insumos!B:B,Insumos!C:$C)</f>
        <v/>
      </c>
      <c r="F3508" s="2171" t="n">
        <v>1</v>
      </c>
      <c r="G3508" s="92">
        <f t="array" ref="G3508">IF(B3508="insumo",_xlfn.XLOOKUP($D3508,Insumos!$B$1:$B$996,Insumos!$D$1:$D$996),"")</f>
        <v/>
      </c>
      <c r="H3508" s="92" t="n">
        <v>0.08</v>
      </c>
      <c r="I3508" s="2165" t="n">
        <v>0</v>
      </c>
      <c r="J3508" s="2165" t="n">
        <v>0</v>
      </c>
      <c r="K3508" s="2165" t="n"/>
    </row>
    <row r="3509" outlineLevel="3" ht="12.75" customHeight="1">
      <c r="A3509" s="82" t="n">
        <v>101</v>
      </c>
      <c r="B3509" s="82" t="inlineStr">
        <is>
          <t>Insumo</t>
        </is>
      </c>
      <c r="C3509" s="82" t="inlineStr">
        <is>
          <t>Revestimento de Piso Porcelanato, Placa 90x90cm, com coeficiente de atrito 0,4</t>
        </is>
      </c>
      <c r="D3509" s="82" t="inlineStr">
        <is>
          <t>Rejunte Cimentício</t>
        </is>
      </c>
      <c r="E3509" s="11">
        <f t="array" ref="E3509">_xlfn.XLOOKUP(D3509,Insumos!B:B,Insumos!C:$C)</f>
        <v/>
      </c>
      <c r="F3509" s="2171" t="n">
        <v>0.01</v>
      </c>
      <c r="G3509" s="92">
        <f t="array" ref="G3509">IF(B3509="insumo",_xlfn.XLOOKUP($D3509,Insumos!$B$1:$B$996,Insumos!$D$1:$D$996),"")</f>
        <v/>
      </c>
      <c r="H3509" s="92" t="n">
        <v>0.1115</v>
      </c>
      <c r="I3509" s="2165" t="n">
        <v>0</v>
      </c>
      <c r="J3509" s="2165" t="n">
        <v>0</v>
      </c>
      <c r="K3509" s="2165" t="n"/>
    </row>
    <row r="3510" outlineLevel="2" ht="12.75" customHeight="1">
      <c r="A3510" s="1071" t="n">
        <v>1</v>
      </c>
      <c r="B3510" s="1071" t="inlineStr">
        <is>
          <t>Serviço</t>
        </is>
      </c>
      <c r="C3510" s="1071" t="inlineStr">
        <is>
          <t>Revestimento de Piso Porcelanato Polido, Placa 120x120cm</t>
        </is>
      </c>
      <c r="D3510" s="1071" t="inlineStr">
        <is>
          <t>Revestimento de Piso Porcelanato Polido, Placa 120x120cm</t>
        </is>
      </c>
      <c r="E3510" s="1072" t="inlineStr">
        <is>
          <t>M2</t>
        </is>
      </c>
      <c r="F3510" s="1071" t="n"/>
      <c r="G3510" s="1073">
        <f t="array" ref="G3510">IF(B3510="insumo",_xlfn.XLOOKUP($D3510,Insumos!$B$1:$B$996,Insumos!$D$1:$D$996),"")</f>
        <v/>
      </c>
      <c r="H3510" s="1073" t="n">
        <v>166.0545</v>
      </c>
      <c r="I3510" s="2163" t="n">
        <v>0</v>
      </c>
      <c r="J3510" s="2163" t="n">
        <v>0</v>
      </c>
      <c r="K3510" s="2163" t="n"/>
    </row>
    <row r="3511" outlineLevel="3" ht="12.75" customHeight="1">
      <c r="A3511" s="82" t="n">
        <v>3</v>
      </c>
      <c r="B3511" s="82" t="inlineStr">
        <is>
          <t>Insumo</t>
        </is>
      </c>
      <c r="C3511" s="82" t="inlineStr">
        <is>
          <t>Revestimento de Piso Porcelanato Polido, Placa 120x120cm</t>
        </is>
      </c>
      <c r="D3511" s="82" t="inlineStr">
        <is>
          <t>Porcelanato Polido Eliane Place "A" 120x120</t>
        </is>
      </c>
      <c r="E3511" s="11">
        <f t="array" ref="E3511">_xlfn.XLOOKUP(D3511,Insumos!B:B,Insumos!C:$C)</f>
        <v/>
      </c>
      <c r="F3511" s="2164" t="n">
        <v>1.1</v>
      </c>
      <c r="G3511" s="92">
        <f t="array" ref="G3511">IF(B3511="insumo",_xlfn.XLOOKUP($D3511,Insumos!$B$1:$B$996,Insumos!$D$1:$D$996),"")</f>
        <v/>
      </c>
      <c r="H3511" s="92" t="n">
        <v>150.579</v>
      </c>
      <c r="I3511" s="2165" t="n">
        <v>0</v>
      </c>
      <c r="J3511" s="2165" t="n">
        <v>0</v>
      </c>
      <c r="K3511" s="2165" t="n"/>
    </row>
    <row r="3512" outlineLevel="3" ht="12.75" customHeight="1">
      <c r="A3512" s="82" t="n">
        <v>191</v>
      </c>
      <c r="B3512" s="82" t="inlineStr">
        <is>
          <t>Insumo</t>
        </is>
      </c>
      <c r="C3512" s="82" t="inlineStr">
        <is>
          <t>Revestimento de Piso Porcelanato Polido, Placa 120x120cm</t>
        </is>
      </c>
      <c r="D3512" s="82" t="inlineStr">
        <is>
          <t>Argamassa ACIII</t>
        </is>
      </c>
      <c r="E3512" s="11">
        <f t="array" ref="E3512">_xlfn.XLOOKUP(D3512,Insumos!B:B,Insumos!C:$C)</f>
        <v/>
      </c>
      <c r="F3512" s="2164" t="n">
        <v>9</v>
      </c>
      <c r="G3512" s="92">
        <f t="array" ref="G3512">IF(B3512="insumo",_xlfn.XLOOKUP($D3512,Insumos!$B$1:$B$996,Insumos!$D$1:$D$996),"")</f>
        <v/>
      </c>
      <c r="H3512" s="92" t="n">
        <v>9.580500000000001</v>
      </c>
      <c r="I3512" s="2165" t="n">
        <v>0</v>
      </c>
      <c r="J3512" s="2165" t="n">
        <v>0</v>
      </c>
      <c r="K3512" s="2165" t="n"/>
    </row>
    <row r="3513" outlineLevel="3" ht="12.75" customHeight="1">
      <c r="A3513" s="82" t="n">
        <v>142</v>
      </c>
      <c r="B3513" s="82" t="inlineStr">
        <is>
          <t>Insumo</t>
        </is>
      </c>
      <c r="C3513" s="82" t="inlineStr">
        <is>
          <t>Revestimento de Piso Porcelanato Polido, Placa 120x120cm</t>
        </is>
      </c>
      <c r="D3513" s="82" t="inlineStr">
        <is>
          <t>Espeçador junta piso 2mm</t>
        </is>
      </c>
      <c r="E3513" s="11">
        <f t="array" ref="E3513">_xlfn.XLOOKUP(D3513,Insumos!B:B,Insumos!C:$C)</f>
        <v/>
      </c>
      <c r="F3513" s="2164" t="n">
        <v>4</v>
      </c>
      <c r="G3513" s="92">
        <f t="array" ref="G3513">IF(B3513="insumo",_xlfn.XLOOKUP($D3513,Insumos!$B$1:$B$996,Insumos!$D$1:$D$996),"")</f>
        <v/>
      </c>
      <c r="H3513" s="92" t="n">
        <v>0.32</v>
      </c>
      <c r="I3513" s="2165" t="n">
        <v>0</v>
      </c>
      <c r="J3513" s="2165" t="n">
        <v>0</v>
      </c>
      <c r="K3513" s="2165" t="n"/>
    </row>
    <row r="3514" outlineLevel="3" ht="12.75" customHeight="1">
      <c r="A3514" s="82" t="n">
        <v>101</v>
      </c>
      <c r="B3514" s="82" t="inlineStr">
        <is>
          <t>Insumo</t>
        </is>
      </c>
      <c r="C3514" s="82" t="inlineStr">
        <is>
          <t>Revestimento de Piso Porcelanato Polido, Placa 120x120cm</t>
        </is>
      </c>
      <c r="D3514" s="82" t="inlineStr">
        <is>
          <t>Rejunte Cimentício</t>
        </is>
      </c>
      <c r="E3514" s="11">
        <f t="array" ref="E3514">_xlfn.XLOOKUP(D3514,Insumos!B:B,Insumos!C:$C)</f>
        <v/>
      </c>
      <c r="F3514" s="2164" t="n">
        <v>0.5</v>
      </c>
      <c r="G3514" s="92">
        <f t="array" ref="G3514">IF(B3514="insumo",_xlfn.XLOOKUP($D3514,Insumos!$B$1:$B$996,Insumos!$D$1:$D$996),"")</f>
        <v/>
      </c>
      <c r="H3514" s="92" t="n">
        <v>5.575</v>
      </c>
      <c r="I3514" s="2165" t="n">
        <v>0</v>
      </c>
      <c r="J3514" s="2165" t="n">
        <v>0</v>
      </c>
      <c r="K3514" s="2165" t="n"/>
    </row>
    <row r="3515" outlineLevel="2" ht="12.75" customHeight="1">
      <c r="A3515" s="1071" t="n">
        <v>1</v>
      </c>
      <c r="B3515" s="1071" t="inlineStr">
        <is>
          <t>Serviço</t>
        </is>
      </c>
      <c r="C3515" s="1071" t="inlineStr">
        <is>
          <t>Revestimento de Piso Porcelanato Matiz Agave MT 30x90 - Eliane Revestimentos</t>
        </is>
      </c>
      <c r="D3515" s="1071" t="inlineStr">
        <is>
          <t>Revestimento de Piso Porcelanato Matiz Agave MT 30x90 - Eliane Revestimentos</t>
        </is>
      </c>
      <c r="E3515" s="1072" t="inlineStr">
        <is>
          <t>M2</t>
        </is>
      </c>
      <c r="F3515" s="1071" t="n"/>
      <c r="G3515" s="1073">
        <f t="array" ref="G3515">IF(B3515="insumo",_xlfn.XLOOKUP($D3515,Insumos!$B$1:$B$996,Insumos!$D$1:$D$996),"")</f>
        <v/>
      </c>
      <c r="H3515" s="1073" t="n">
        <v>268.0591</v>
      </c>
      <c r="I3515" s="2163" t="n">
        <v>0</v>
      </c>
      <c r="J3515" s="2163" t="n">
        <v>0</v>
      </c>
      <c r="K3515" s="2163" t="n"/>
    </row>
    <row r="3516" outlineLevel="3" ht="12.75" customHeight="1">
      <c r="A3516" s="82" t="n">
        <v>1</v>
      </c>
      <c r="B3516" s="82" t="inlineStr">
        <is>
          <t>Insumo</t>
        </is>
      </c>
      <c r="C3516" s="82" t="inlineStr">
        <is>
          <t>Revestimento de Piso Porcelanato Matiz Agave MT 30x90 - Eliane Revestimentos</t>
        </is>
      </c>
      <c r="D3516" s="82" t="inlineStr">
        <is>
          <t>Porcelanato Matiz Agave MT 30x90 - Eliane Revestimentos</t>
        </is>
      </c>
      <c r="E3516" s="11">
        <f t="array" ref="E3516">_xlfn.XLOOKUP(D3516,Insumos!B:B,Insumos!C:$C)</f>
        <v/>
      </c>
      <c r="F3516" s="2171" t="n">
        <v>1.1</v>
      </c>
      <c r="G3516" s="92">
        <f t="array" ref="G3516">IF(B3516="insumo",_xlfn.XLOOKUP($D3516,Insumos!$B$1:$B$996,Insumos!$D$1:$D$996),"")</f>
        <v/>
      </c>
      <c r="H3516" s="92" t="n">
        <v>258.5</v>
      </c>
      <c r="I3516" s="2165" t="n">
        <v>0</v>
      </c>
      <c r="J3516" s="2165" t="n">
        <v>0</v>
      </c>
      <c r="K3516" s="2165" t="n"/>
    </row>
    <row r="3517" outlineLevel="3" ht="12.75" customHeight="1">
      <c r="A3517" s="82" t="n">
        <v>191</v>
      </c>
      <c r="B3517" s="82" t="inlineStr">
        <is>
          <t>Insumo</t>
        </is>
      </c>
      <c r="C3517" s="82" t="inlineStr">
        <is>
          <t>Revestimento de Piso Porcelanato Matiz Agave MT 30x90 - Eliane Revestimentos</t>
        </is>
      </c>
      <c r="D3517" s="82" t="inlineStr">
        <is>
          <t>Argamassa ACIII</t>
        </is>
      </c>
      <c r="E3517" s="11">
        <f t="array" ref="E3517">_xlfn.XLOOKUP(D3517,Insumos!B:B,Insumos!C:$C)</f>
        <v/>
      </c>
      <c r="F3517" s="2171" t="n">
        <v>8.800000000000001</v>
      </c>
      <c r="G3517" s="92">
        <f t="array" ref="G3517">IF(B3517="insumo",_xlfn.XLOOKUP($D3517,Insumos!$B$1:$B$996,Insumos!$D$1:$D$996),"")</f>
        <v/>
      </c>
      <c r="H3517" s="92" t="n">
        <v>9.367599999999999</v>
      </c>
      <c r="I3517" s="2165" t="n">
        <v>0</v>
      </c>
      <c r="J3517" s="2165" t="n">
        <v>0</v>
      </c>
      <c r="K3517" s="2165" t="n"/>
    </row>
    <row r="3518" outlineLevel="3" ht="12.75" customHeight="1">
      <c r="A3518" s="82" t="n">
        <v>142</v>
      </c>
      <c r="B3518" s="82" t="inlineStr">
        <is>
          <t>Insumo</t>
        </is>
      </c>
      <c r="C3518" s="82" t="inlineStr">
        <is>
          <t>Revestimento de Piso Porcelanato Matiz Agave MT 30x90 - Eliane Revestimentos</t>
        </is>
      </c>
      <c r="D3518" s="82" t="inlineStr">
        <is>
          <t>Espeçador junta piso 2mm</t>
        </is>
      </c>
      <c r="E3518" s="11">
        <f t="array" ref="E3518">_xlfn.XLOOKUP(D3518,Insumos!B:B,Insumos!C:$C)</f>
        <v/>
      </c>
      <c r="F3518" s="2171" t="n">
        <v>1</v>
      </c>
      <c r="G3518" s="92">
        <f t="array" ref="G3518">IF(B3518="insumo",_xlfn.XLOOKUP($D3518,Insumos!$B$1:$B$996,Insumos!$D$1:$D$996),"")</f>
        <v/>
      </c>
      <c r="H3518" s="92" t="n">
        <v>0.08</v>
      </c>
      <c r="I3518" s="2165" t="n">
        <v>0</v>
      </c>
      <c r="J3518" s="2165" t="n">
        <v>0</v>
      </c>
      <c r="K3518" s="2165" t="n"/>
    </row>
    <row r="3519" outlineLevel="3" ht="12.75" customHeight="1">
      <c r="A3519" s="82" t="n">
        <v>101</v>
      </c>
      <c r="B3519" s="82" t="inlineStr">
        <is>
          <t>Insumo</t>
        </is>
      </c>
      <c r="C3519" s="82" t="inlineStr">
        <is>
          <t>Revestimento de Piso Porcelanato Matiz Agave MT 30x90 - Eliane Revestimentos</t>
        </is>
      </c>
      <c r="D3519" s="82" t="inlineStr">
        <is>
          <t>Rejunte Cimentício</t>
        </is>
      </c>
      <c r="E3519" s="11">
        <f t="array" ref="E3519">_xlfn.XLOOKUP(D3519,Insumos!B:B,Insumos!C:$C)</f>
        <v/>
      </c>
      <c r="F3519" s="2171" t="n">
        <v>0.01</v>
      </c>
      <c r="G3519" s="92">
        <f t="array" ref="G3519">IF(B3519="insumo",_xlfn.XLOOKUP($D3519,Insumos!$B$1:$B$996,Insumos!$D$1:$D$996),"")</f>
        <v/>
      </c>
      <c r="H3519" s="92" t="n">
        <v>0.1115</v>
      </c>
      <c r="I3519" s="2165" t="n">
        <v>0</v>
      </c>
      <c r="J3519" s="2165" t="n">
        <v>0</v>
      </c>
      <c r="K3519" s="2165" t="n"/>
    </row>
    <row r="3520" outlineLevel="2" ht="12.75" customHeight="1">
      <c r="A3520" s="1071" t="n">
        <v>1</v>
      </c>
      <c r="B3520" s="1071" t="inlineStr">
        <is>
          <t>Serviço</t>
        </is>
      </c>
      <c r="C3520" s="1071" t="inlineStr">
        <is>
          <t>Revestimento de Piso Porcelanato preto e branco, Placa 90x90cm</t>
        </is>
      </c>
      <c r="D3520" s="1071" t="inlineStr">
        <is>
          <t>Revestimento de Piso Porcelanato preto e branco, Placa 90x90cm</t>
        </is>
      </c>
      <c r="E3520" s="1072" t="inlineStr">
        <is>
          <t>M2</t>
        </is>
      </c>
      <c r="F3520" s="1071" t="n"/>
      <c r="G3520" s="1073">
        <f t="array" ref="G3520">IF(B3520="insumo",_xlfn.XLOOKUP($D3520,Insumos!$B$1:$B$996,Insumos!$D$1:$D$996),"")</f>
        <v/>
      </c>
      <c r="H3520" s="1073" t="n">
        <v>158.0591</v>
      </c>
      <c r="I3520" s="2163" t="n">
        <v>0</v>
      </c>
      <c r="J3520" s="2163" t="n">
        <v>0</v>
      </c>
      <c r="K3520" s="2163" t="n"/>
    </row>
    <row r="3521" outlineLevel="3" ht="12.75" customHeight="1">
      <c r="A3521" s="82" t="n">
        <v>1</v>
      </c>
      <c r="B3521" s="82" t="inlineStr">
        <is>
          <t>Insumo</t>
        </is>
      </c>
      <c r="C3521" s="82" t="inlineStr">
        <is>
          <t>Revestimento de Piso Porcelanato preto e branco, Placa 90x90cm</t>
        </is>
      </c>
      <c r="D3521" s="82" t="inlineStr">
        <is>
          <t>Porcenalato Interno 90x90cm preto e branco</t>
        </is>
      </c>
      <c r="E3521" s="11">
        <f t="array" ref="E3521">_xlfn.XLOOKUP(D3521,Insumos!B:B,Insumos!C:$C)</f>
        <v/>
      </c>
      <c r="F3521" s="2171" t="n">
        <v>1.1</v>
      </c>
      <c r="G3521" s="92">
        <f t="array" ref="G3521">IF(B3521="insumo",_xlfn.XLOOKUP($D3521,Insumos!$B$1:$B$996,Insumos!$D$1:$D$996),"")</f>
        <v/>
      </c>
      <c r="H3521" s="92" t="n">
        <v>148.5</v>
      </c>
      <c r="I3521" s="2165" t="n">
        <v>0</v>
      </c>
      <c r="J3521" s="2165" t="n">
        <v>0</v>
      </c>
      <c r="K3521" s="2165" t="n"/>
    </row>
    <row r="3522" outlineLevel="3" ht="12.75" customHeight="1">
      <c r="A3522" s="82" t="n">
        <v>191</v>
      </c>
      <c r="B3522" s="82" t="inlineStr">
        <is>
          <t>Insumo</t>
        </is>
      </c>
      <c r="C3522" s="82" t="inlineStr">
        <is>
          <t>Revestimento de Piso Porcelanato preto e branco, Placa 90x90cm</t>
        </is>
      </c>
      <c r="D3522" s="82" t="inlineStr">
        <is>
          <t>Argamassa ACIII</t>
        </is>
      </c>
      <c r="E3522" s="11">
        <f t="array" ref="E3522">_xlfn.XLOOKUP(D3522,Insumos!B:B,Insumos!C:$C)</f>
        <v/>
      </c>
      <c r="F3522" s="2171" t="n">
        <v>8.800000000000001</v>
      </c>
      <c r="G3522" s="92">
        <f t="array" ref="G3522">IF(B3522="insumo",_xlfn.XLOOKUP($D3522,Insumos!$B$1:$B$996,Insumos!$D$1:$D$996),"")</f>
        <v/>
      </c>
      <c r="H3522" s="92" t="n">
        <v>9.367599999999999</v>
      </c>
      <c r="I3522" s="2165" t="n">
        <v>0</v>
      </c>
      <c r="J3522" s="2165" t="n">
        <v>0</v>
      </c>
      <c r="K3522" s="2165" t="n"/>
    </row>
    <row r="3523" outlineLevel="3" ht="12.75" customHeight="1">
      <c r="A3523" s="82" t="n">
        <v>142</v>
      </c>
      <c r="B3523" s="82" t="inlineStr">
        <is>
          <t>Insumo</t>
        </is>
      </c>
      <c r="C3523" s="82" t="inlineStr">
        <is>
          <t>Revestimento de Piso Porcelanato preto e branco, Placa 90x90cm</t>
        </is>
      </c>
      <c r="D3523" s="82" t="inlineStr">
        <is>
          <t>Espeçador junta piso 2mm</t>
        </is>
      </c>
      <c r="E3523" s="11">
        <f t="array" ref="E3523">_xlfn.XLOOKUP(D3523,Insumos!B:B,Insumos!C:$C)</f>
        <v/>
      </c>
      <c r="F3523" s="2171" t="n">
        <v>1</v>
      </c>
      <c r="G3523" s="92">
        <f t="array" ref="G3523">IF(B3523="insumo",_xlfn.XLOOKUP($D3523,Insumos!$B$1:$B$996,Insumos!$D$1:$D$996),"")</f>
        <v/>
      </c>
      <c r="H3523" s="92" t="n">
        <v>0.08</v>
      </c>
      <c r="I3523" s="2165" t="n">
        <v>0</v>
      </c>
      <c r="J3523" s="2165" t="n">
        <v>0</v>
      </c>
      <c r="K3523" s="2165" t="n"/>
    </row>
    <row r="3524" outlineLevel="3" ht="12.75" customHeight="1">
      <c r="A3524" s="82" t="n">
        <v>101</v>
      </c>
      <c r="B3524" s="82" t="inlineStr">
        <is>
          <t>Insumo</t>
        </is>
      </c>
      <c r="C3524" s="82" t="inlineStr">
        <is>
          <t>Revestimento de Piso Porcelanato preto e branco, Placa 90x90cm</t>
        </is>
      </c>
      <c r="D3524" s="82" t="inlineStr">
        <is>
          <t>Rejunte Cimentício</t>
        </is>
      </c>
      <c r="E3524" s="11">
        <f t="array" ref="E3524">_xlfn.XLOOKUP(D3524,Insumos!B:B,Insumos!C:$C)</f>
        <v/>
      </c>
      <c r="F3524" s="2171" t="n">
        <v>0.01</v>
      </c>
      <c r="G3524" s="92">
        <f t="array" ref="G3524">IF(B3524="insumo",_xlfn.XLOOKUP($D3524,Insumos!$B$1:$B$996,Insumos!$D$1:$D$996),"")</f>
        <v/>
      </c>
      <c r="H3524" s="92" t="n">
        <v>0.1115</v>
      </c>
      <c r="I3524" s="2165" t="n">
        <v>0</v>
      </c>
      <c r="J3524" s="2165" t="n">
        <v>0</v>
      </c>
      <c r="K3524" s="2165" t="n"/>
    </row>
    <row r="3525" outlineLevel="2" ht="12.75" customHeight="1">
      <c r="A3525" s="1071" t="n">
        <v>1</v>
      </c>
      <c r="B3525" s="1071" t="inlineStr">
        <is>
          <t>Serviço</t>
        </is>
      </c>
      <c r="C3525" s="1071" t="inlineStr">
        <is>
          <t>Revestimento de Piso Porcelanato Acetinado Mirage, Placa 90x90cm</t>
        </is>
      </c>
      <c r="D3525" s="1071" t="inlineStr">
        <is>
          <t>Revestimento de Piso Porcelanato Acetinado Mirage, Placa 90x90cm</t>
        </is>
      </c>
      <c r="E3525" s="1072" t="inlineStr">
        <is>
          <t>M2</t>
        </is>
      </c>
      <c r="F3525" s="1071" t="n"/>
      <c r="G3525" s="1073">
        <f t="array" ref="G3525">IF(B3525="insumo",_xlfn.XLOOKUP($D3525,Insumos!$B$1:$B$996,Insumos!$D$1:$D$996),"")</f>
        <v/>
      </c>
      <c r="H3525" s="1073" t="n">
        <v>167.6951</v>
      </c>
      <c r="I3525" s="2163" t="n">
        <v>0</v>
      </c>
      <c r="J3525" s="2163" t="n">
        <v>0</v>
      </c>
      <c r="K3525" s="2163" t="n"/>
    </row>
    <row r="3526" outlineLevel="3" ht="12.75" customHeight="1">
      <c r="A3526" s="82" t="n">
        <v>1</v>
      </c>
      <c r="B3526" s="82" t="inlineStr">
        <is>
          <t>Insumo</t>
        </is>
      </c>
      <c r="C3526" s="82" t="inlineStr">
        <is>
          <t>Revestimento de Piso Porcelanato Acetinado Mirage, Placa 90x90cm</t>
        </is>
      </c>
      <c r="D3526" s="82" t="inlineStr">
        <is>
          <t>Porcenalato Interno Acetinado 90x90cm Mirage CTM Incesa</t>
        </is>
      </c>
      <c r="E3526" s="11">
        <f t="array" ref="E3526">_xlfn.XLOOKUP(D3526,Insumos!B:B,Insumos!C:$C)</f>
        <v/>
      </c>
      <c r="F3526" s="2171" t="n">
        <v>1.1</v>
      </c>
      <c r="G3526" s="92">
        <f t="array" ref="G3526">IF(B3526="insumo",_xlfn.XLOOKUP($D3526,Insumos!$B$1:$B$996,Insumos!$D$1:$D$996),"")</f>
        <v/>
      </c>
      <c r="H3526" s="92" t="n">
        <v>158.136</v>
      </c>
      <c r="I3526" s="2165" t="n">
        <v>0</v>
      </c>
      <c r="J3526" s="2165" t="n">
        <v>0</v>
      </c>
      <c r="K3526" s="2165" t="n"/>
    </row>
    <row r="3527" outlineLevel="3" ht="12.75" customHeight="1">
      <c r="A3527" s="82" t="n">
        <v>191</v>
      </c>
      <c r="B3527" s="82" t="inlineStr">
        <is>
          <t>Insumo</t>
        </is>
      </c>
      <c r="C3527" s="82" t="inlineStr">
        <is>
          <t>Revestimento de Piso Porcelanato Acetinado Mirage, Placa 90x90cm</t>
        </is>
      </c>
      <c r="D3527" s="82" t="inlineStr">
        <is>
          <t>Argamassa ACIII</t>
        </is>
      </c>
      <c r="E3527" s="11">
        <f t="array" ref="E3527">_xlfn.XLOOKUP(D3527,Insumos!B:B,Insumos!C:$C)</f>
        <v/>
      </c>
      <c r="F3527" s="2171" t="n">
        <v>8.800000000000001</v>
      </c>
      <c r="G3527" s="92">
        <f t="array" ref="G3527">IF(B3527="insumo",_xlfn.XLOOKUP($D3527,Insumos!$B$1:$B$996,Insumos!$D$1:$D$996),"")</f>
        <v/>
      </c>
      <c r="H3527" s="92" t="n">
        <v>9.367599999999999</v>
      </c>
      <c r="I3527" s="2165" t="n">
        <v>0</v>
      </c>
      <c r="J3527" s="2165" t="n">
        <v>0</v>
      </c>
      <c r="K3527" s="2165" t="n"/>
    </row>
    <row r="3528" outlineLevel="3" ht="12.75" customHeight="1">
      <c r="A3528" s="82" t="n">
        <v>142</v>
      </c>
      <c r="B3528" s="82" t="inlineStr">
        <is>
          <t>Insumo</t>
        </is>
      </c>
      <c r="C3528" s="82" t="inlineStr">
        <is>
          <t>Revestimento de Piso Porcelanato Acetinado Mirage, Placa 90x90cm</t>
        </is>
      </c>
      <c r="D3528" s="82" t="inlineStr">
        <is>
          <t>Espeçador junta piso 2mm</t>
        </is>
      </c>
      <c r="E3528" s="11">
        <f t="array" ref="E3528">_xlfn.XLOOKUP(D3528,Insumos!B:B,Insumos!C:$C)</f>
        <v/>
      </c>
      <c r="F3528" s="2171" t="n">
        <v>1</v>
      </c>
      <c r="G3528" s="92">
        <f t="array" ref="G3528">IF(B3528="insumo",_xlfn.XLOOKUP($D3528,Insumos!$B$1:$B$996,Insumos!$D$1:$D$996),"")</f>
        <v/>
      </c>
      <c r="H3528" s="92" t="n">
        <v>0.08</v>
      </c>
      <c r="I3528" s="2165" t="n">
        <v>0</v>
      </c>
      <c r="J3528" s="2165" t="n">
        <v>0</v>
      </c>
      <c r="K3528" s="2165" t="n"/>
    </row>
    <row r="3529" outlineLevel="3" ht="12.75" customHeight="1">
      <c r="A3529" s="82" t="n">
        <v>101</v>
      </c>
      <c r="B3529" s="82" t="inlineStr">
        <is>
          <t>Insumo</t>
        </is>
      </c>
      <c r="C3529" s="82" t="inlineStr">
        <is>
          <t>Revestimento de Piso Porcelanato Acetinado Mirage, Placa 90x90cm</t>
        </is>
      </c>
      <c r="D3529" s="82" t="inlineStr">
        <is>
          <t>Rejunte Cimentício</t>
        </is>
      </c>
      <c r="E3529" s="11">
        <f t="array" ref="E3529">_xlfn.XLOOKUP(D3529,Insumos!B:B,Insumos!C:$C)</f>
        <v/>
      </c>
      <c r="F3529" s="2171" t="n">
        <v>0.01</v>
      </c>
      <c r="G3529" s="92">
        <f t="array" ref="G3529">IF(B3529="insumo",_xlfn.XLOOKUP($D3529,Insumos!$B$1:$B$996,Insumos!$D$1:$D$996),"")</f>
        <v/>
      </c>
      <c r="H3529" s="92" t="n">
        <v>0.1115</v>
      </c>
      <c r="I3529" s="2165" t="n">
        <v>0</v>
      </c>
      <c r="J3529" s="2165" t="n">
        <v>0</v>
      </c>
      <c r="K3529" s="2165" t="n"/>
    </row>
    <row r="3530" outlineLevel="2" ht="12.75" customHeight="1">
      <c r="A3530" s="1071" t="n">
        <v>1</v>
      </c>
      <c r="B3530" s="1071" t="inlineStr">
        <is>
          <t>Serviço</t>
        </is>
      </c>
      <c r="C3530" s="1071" t="inlineStr">
        <is>
          <t>Revestimento de Piso Porcelanato externo ceres plus pisoforte, 76x76cm, simples</t>
        </is>
      </c>
      <c r="D3530" s="1071" t="inlineStr">
        <is>
          <t>Revestimento de Piso Porcelanato externo ceres plus pisoforte, 76x76cm, simples</t>
        </is>
      </c>
      <c r="E3530" s="1072" t="inlineStr">
        <is>
          <t>M2</t>
        </is>
      </c>
      <c r="F3530" s="1071" t="n"/>
      <c r="G3530" s="1073">
        <f t="array" ref="G3530">IF(B3530="insumo",_xlfn.XLOOKUP($D3530,Insumos!$B$1:$B$996,Insumos!$D$1:$D$996),"")</f>
        <v/>
      </c>
      <c r="H3530" s="1073" t="n">
        <v>123.9591</v>
      </c>
      <c r="I3530" s="2163" t="n">
        <v>0</v>
      </c>
      <c r="J3530" s="2163" t="n">
        <v>0</v>
      </c>
      <c r="K3530" s="2163" t="n"/>
    </row>
    <row r="3531" outlineLevel="3" ht="12.75" customHeight="1">
      <c r="A3531" s="82" t="n">
        <v>1</v>
      </c>
      <c r="B3531" s="82" t="inlineStr">
        <is>
          <t>Insumo</t>
        </is>
      </c>
      <c r="C3531" s="82" t="inlineStr">
        <is>
          <t>Revestimento de Piso Porcelanato externo ceres plus pisoforte, 76x76cm, simples</t>
        </is>
      </c>
      <c r="D3531" s="82" t="inlineStr">
        <is>
          <t>Piso Cerâmico Externo Ceres Plus Pisoforte | G-Haus</t>
        </is>
      </c>
      <c r="E3531" s="11">
        <f t="array" ref="E3531">_xlfn.XLOOKUP(D3531,Insumos!B:B,Insumos!C:$C)</f>
        <v/>
      </c>
      <c r="F3531" s="2171" t="n">
        <v>1.1</v>
      </c>
      <c r="G3531" s="92">
        <f t="array" ref="G3531">IF(B3531="insumo",_xlfn.XLOOKUP($D3531,Insumos!$B$1:$B$996,Insumos!$D$1:$D$996),"")</f>
        <v/>
      </c>
      <c r="H3531" s="92" t="n">
        <v>114.4</v>
      </c>
      <c r="I3531" s="2165" t="n">
        <v>0</v>
      </c>
      <c r="J3531" s="2165" t="n">
        <v>0</v>
      </c>
      <c r="K3531" s="2165" t="n"/>
    </row>
    <row r="3532" outlineLevel="3" ht="12.75" customHeight="1">
      <c r="A3532" s="82" t="n">
        <v>191</v>
      </c>
      <c r="B3532" s="82" t="inlineStr">
        <is>
          <t>Insumo</t>
        </is>
      </c>
      <c r="C3532" s="82" t="inlineStr">
        <is>
          <t>Revestimento de Piso Porcelanato externo ceres plus pisoforte, 76x76cm, simples</t>
        </is>
      </c>
      <c r="D3532" s="82" t="inlineStr">
        <is>
          <t>Argamassa ACIII</t>
        </is>
      </c>
      <c r="E3532" s="11">
        <f t="array" ref="E3532">_xlfn.XLOOKUP(D3532,Insumos!B:B,Insumos!C:$C)</f>
        <v/>
      </c>
      <c r="F3532" s="2171" t="n">
        <v>8.800000000000001</v>
      </c>
      <c r="G3532" s="92">
        <f t="array" ref="G3532">IF(B3532="insumo",_xlfn.XLOOKUP($D3532,Insumos!$B$1:$B$996,Insumos!$D$1:$D$996),"")</f>
        <v/>
      </c>
      <c r="H3532" s="92" t="n">
        <v>9.367599999999999</v>
      </c>
      <c r="I3532" s="2165" t="n">
        <v>0</v>
      </c>
      <c r="J3532" s="2165" t="n">
        <v>0</v>
      </c>
      <c r="K3532" s="2165" t="n"/>
    </row>
    <row r="3533" outlineLevel="3" ht="12.75" customHeight="1">
      <c r="A3533" s="82" t="n">
        <v>142</v>
      </c>
      <c r="B3533" s="82" t="inlineStr">
        <is>
          <t>Insumo</t>
        </is>
      </c>
      <c r="C3533" s="82" t="inlineStr">
        <is>
          <t>Revestimento de Piso Porcelanato externo ceres plus pisoforte, 76x76cm, simples</t>
        </is>
      </c>
      <c r="D3533" s="82" t="inlineStr">
        <is>
          <t>Espeçador junta piso 2mm</t>
        </is>
      </c>
      <c r="E3533" s="11">
        <f t="array" ref="E3533">_xlfn.XLOOKUP(D3533,Insumos!B:B,Insumos!C:$C)</f>
        <v/>
      </c>
      <c r="F3533" s="2171" t="n">
        <v>1</v>
      </c>
      <c r="G3533" s="92">
        <f t="array" ref="G3533">IF(B3533="insumo",_xlfn.XLOOKUP($D3533,Insumos!$B$1:$B$996,Insumos!$D$1:$D$996),"")</f>
        <v/>
      </c>
      <c r="H3533" s="92" t="n">
        <v>0.08</v>
      </c>
      <c r="I3533" s="2165" t="n">
        <v>0</v>
      </c>
      <c r="J3533" s="2165" t="n">
        <v>0</v>
      </c>
      <c r="K3533" s="2165" t="n"/>
    </row>
    <row r="3534" outlineLevel="3" ht="12.75" customHeight="1">
      <c r="A3534" s="82" t="n">
        <v>101</v>
      </c>
      <c r="B3534" s="82" t="inlineStr">
        <is>
          <t>Insumo</t>
        </is>
      </c>
      <c r="C3534" s="82" t="inlineStr">
        <is>
          <t>Revestimento de Piso Porcelanato externo ceres plus pisoforte, 76x76cm, simples</t>
        </is>
      </c>
      <c r="D3534" s="82" t="inlineStr">
        <is>
          <t>Rejunte Cimentício</t>
        </is>
      </c>
      <c r="E3534" s="11">
        <f t="array" ref="E3534">_xlfn.XLOOKUP(D3534,Insumos!B:B,Insumos!C:$C)</f>
        <v/>
      </c>
      <c r="F3534" s="2171" t="n">
        <v>0.01</v>
      </c>
      <c r="G3534" s="92">
        <f t="array" ref="G3534">IF(B3534="insumo",_xlfn.XLOOKUP($D3534,Insumos!$B$1:$B$996,Insumos!$D$1:$D$996),"")</f>
        <v/>
      </c>
      <c r="H3534" s="92" t="n">
        <v>0.1115</v>
      </c>
      <c r="I3534" s="2165" t="n">
        <v>0</v>
      </c>
      <c r="J3534" s="2165" t="n">
        <v>0</v>
      </c>
      <c r="K3534" s="2165" t="n"/>
    </row>
    <row r="3535" outlineLevel="2" ht="12.75" customHeight="1">
      <c r="A3535" s="1071" t="n">
        <v>1</v>
      </c>
      <c r="B3535" s="1071" t="inlineStr">
        <is>
          <t>Serviço</t>
        </is>
      </c>
      <c r="C3535" s="1071" t="inlineStr">
        <is>
          <t>Revestimento de Piso Porcelanato externo granilhado, 76x76cm, simples</t>
        </is>
      </c>
      <c r="D3535" s="1071" t="inlineStr">
        <is>
          <t>Revestimento de Piso Porcelanato externo granilhado, 76x76cm, simples</t>
        </is>
      </c>
      <c r="E3535" s="1072" t="inlineStr">
        <is>
          <t>M2</t>
        </is>
      </c>
      <c r="F3535" s="1071" t="n"/>
      <c r="G3535" s="1073">
        <f t="array" ref="G3535">IF(B3535="insumo",_xlfn.XLOOKUP($D3535,Insumos!$B$1:$B$996,Insumos!$D$1:$D$996),"")</f>
        <v/>
      </c>
      <c r="H3535" s="1073" t="n">
        <v>107.4591</v>
      </c>
      <c r="I3535" s="2163" t="n">
        <v>0</v>
      </c>
      <c r="J3535" s="2163" t="n">
        <v>0</v>
      </c>
      <c r="K3535" s="2163" t="n"/>
    </row>
    <row r="3536" outlineLevel="3" ht="12.75" customHeight="1">
      <c r="A3536" s="82" t="n">
        <v>1</v>
      </c>
      <c r="B3536" s="82" t="inlineStr">
        <is>
          <t>Insumo</t>
        </is>
      </c>
      <c r="C3536" s="82" t="inlineStr">
        <is>
          <t>Revestimento de Piso Porcelanato externo granilhado, 76x76cm, simples</t>
        </is>
      </c>
      <c r="D3536" s="82" t="inlineStr">
        <is>
          <t>Piso Cerâmico Externo Granilhado Pietra 75x75cm</t>
        </is>
      </c>
      <c r="E3536" s="11">
        <f t="array" ref="E3536">_xlfn.XLOOKUP(D3536,Insumos!B:B,Insumos!C:$C)</f>
        <v/>
      </c>
      <c r="F3536" s="2171" t="n">
        <v>1.1</v>
      </c>
      <c r="G3536" s="92">
        <f t="array" ref="G3536">IF(B3536="insumo",_xlfn.XLOOKUP($D3536,Insumos!$B$1:$B$996,Insumos!$D$1:$D$996),"")</f>
        <v/>
      </c>
      <c r="H3536" s="92" t="n">
        <v>97.90000000000001</v>
      </c>
      <c r="I3536" s="2165" t="n">
        <v>0</v>
      </c>
      <c r="J3536" s="2165" t="n">
        <v>0</v>
      </c>
      <c r="K3536" s="2165" t="n"/>
    </row>
    <row r="3537" outlineLevel="3" ht="12.75" customHeight="1">
      <c r="A3537" s="82" t="n">
        <v>191</v>
      </c>
      <c r="B3537" s="82" t="inlineStr">
        <is>
          <t>Insumo</t>
        </is>
      </c>
      <c r="C3537" s="82" t="inlineStr">
        <is>
          <t>Revestimento de Piso Porcelanato externo granilhado, 76x76cm, simples</t>
        </is>
      </c>
      <c r="D3537" s="82" t="inlineStr">
        <is>
          <t>Argamassa ACIII</t>
        </is>
      </c>
      <c r="E3537" s="11">
        <f t="array" ref="E3537">_xlfn.XLOOKUP(D3537,Insumos!B:B,Insumos!C:$C)</f>
        <v/>
      </c>
      <c r="F3537" s="2171" t="n">
        <v>8.800000000000001</v>
      </c>
      <c r="G3537" s="92">
        <f t="array" ref="G3537">IF(B3537="insumo",_xlfn.XLOOKUP($D3537,Insumos!$B$1:$B$996,Insumos!$D$1:$D$996),"")</f>
        <v/>
      </c>
      <c r="H3537" s="92" t="n">
        <v>9.367599999999999</v>
      </c>
      <c r="I3537" s="2165" t="n">
        <v>0</v>
      </c>
      <c r="J3537" s="2165" t="n">
        <v>0</v>
      </c>
      <c r="K3537" s="2165" t="n"/>
    </row>
    <row r="3538" outlineLevel="3" ht="12.75" customHeight="1">
      <c r="A3538" s="82" t="n">
        <v>142</v>
      </c>
      <c r="B3538" s="82" t="inlineStr">
        <is>
          <t>Insumo</t>
        </is>
      </c>
      <c r="C3538" s="82" t="inlineStr">
        <is>
          <t>Revestimento de Piso Porcelanato externo granilhado, 76x76cm, simples</t>
        </is>
      </c>
      <c r="D3538" s="82" t="inlineStr">
        <is>
          <t>Espeçador junta piso 2mm</t>
        </is>
      </c>
      <c r="E3538" s="11">
        <f t="array" ref="E3538">_xlfn.XLOOKUP(D3538,Insumos!B:B,Insumos!C:$C)</f>
        <v/>
      </c>
      <c r="F3538" s="2171" t="n">
        <v>1</v>
      </c>
      <c r="G3538" s="92">
        <f t="array" ref="G3538">IF(B3538="insumo",_xlfn.XLOOKUP($D3538,Insumos!$B$1:$B$996,Insumos!$D$1:$D$996),"")</f>
        <v/>
      </c>
      <c r="H3538" s="92" t="n">
        <v>0.08</v>
      </c>
      <c r="I3538" s="2165" t="n">
        <v>0</v>
      </c>
      <c r="J3538" s="2165" t="n">
        <v>0</v>
      </c>
      <c r="K3538" s="2165" t="n"/>
    </row>
    <row r="3539" outlineLevel="3" ht="12.75" customHeight="1">
      <c r="A3539" s="82" t="n">
        <v>101</v>
      </c>
      <c r="B3539" s="82" t="inlineStr">
        <is>
          <t>Insumo</t>
        </is>
      </c>
      <c r="C3539" s="82" t="inlineStr">
        <is>
          <t>Revestimento de Piso Porcelanato externo granilhado, 76x76cm, simples</t>
        </is>
      </c>
      <c r="D3539" s="82" t="inlineStr">
        <is>
          <t>Rejunte Cimentício</t>
        </is>
      </c>
      <c r="E3539" s="11">
        <f t="array" ref="E3539">_xlfn.XLOOKUP(D3539,Insumos!B:B,Insumos!C:$C)</f>
        <v/>
      </c>
      <c r="F3539" s="2171" t="n">
        <v>0.01</v>
      </c>
      <c r="G3539" s="92">
        <f t="array" ref="G3539">IF(B3539="insumo",_xlfn.XLOOKUP($D3539,Insumos!$B$1:$B$996,Insumos!$D$1:$D$996),"")</f>
        <v/>
      </c>
      <c r="H3539" s="92" t="n">
        <v>0.1115</v>
      </c>
      <c r="I3539" s="2165" t="n">
        <v>0</v>
      </c>
      <c r="J3539" s="2165" t="n">
        <v>0</v>
      </c>
      <c r="K3539" s="2165" t="n"/>
    </row>
    <row r="3540" outlineLevel="2" ht="12.75" customHeight="1">
      <c r="A3540" s="1071" t="n">
        <v>1</v>
      </c>
      <c r="B3540" s="1071" t="inlineStr">
        <is>
          <t>Serviço</t>
        </is>
      </c>
      <c r="C3540" s="1071" t="inlineStr">
        <is>
          <t>Revestimento de Piso Porcelanato, 76x76cm, simples</t>
        </is>
      </c>
      <c r="D3540" s="1071" t="inlineStr">
        <is>
          <t>Revestimento de Piso Porcelanato, 76x76cm, simples</t>
        </is>
      </c>
      <c r="E3540" s="1072" t="inlineStr">
        <is>
          <t>M2</t>
        </is>
      </c>
      <c r="F3540" s="1071" t="n"/>
      <c r="G3540" s="1073">
        <f t="array" ref="G3540">IF(B3540="insumo",_xlfn.XLOOKUP($D3540,Insumos!$B$1:$B$996,Insumos!$D$1:$D$996),"")</f>
        <v/>
      </c>
      <c r="H3540" s="1073" t="n">
        <v>47.9491</v>
      </c>
      <c r="I3540" s="2163" t="n">
        <v>0</v>
      </c>
      <c r="J3540" s="2163" t="n">
        <v>0</v>
      </c>
      <c r="K3540" s="2163" t="n"/>
    </row>
    <row r="3541" outlineLevel="3" ht="12.75" customHeight="1">
      <c r="A3541" s="82" t="n">
        <v>2</v>
      </c>
      <c r="B3541" s="82" t="inlineStr">
        <is>
          <t>Insumo</t>
        </is>
      </c>
      <c r="C3541" s="82" t="inlineStr">
        <is>
          <t>Revestimento de Piso Porcelanato, 76x76cm, simples</t>
        </is>
      </c>
      <c r="D3541" s="82" t="inlineStr">
        <is>
          <t>Porcelanato Piso Retificado Embramaco 76x76cm Acetinado Nevada Mate Plus Retificado</t>
        </is>
      </c>
      <c r="E3541" s="11">
        <f t="array" ref="E3541">_xlfn.XLOOKUP(D3541,Insumos!B:B,Insumos!C:$C)</f>
        <v/>
      </c>
      <c r="F3541" s="2171" t="n">
        <v>1.1</v>
      </c>
      <c r="G3541" s="92">
        <f t="array" ref="G3541">IF(B3541="insumo",_xlfn.XLOOKUP($D3541,Insumos!$B$1:$B$996,Insumos!$D$1:$D$996),"")</f>
        <v/>
      </c>
      <c r="H3541" s="92" t="n">
        <v>38.39</v>
      </c>
      <c r="I3541" s="2165" t="n">
        <v>0</v>
      </c>
      <c r="J3541" s="2165" t="n">
        <v>0</v>
      </c>
      <c r="K3541" s="2165" t="n"/>
    </row>
    <row r="3542" outlineLevel="3" ht="12.75" customHeight="1">
      <c r="A3542" s="82" t="n">
        <v>191</v>
      </c>
      <c r="B3542" s="82" t="inlineStr">
        <is>
          <t>Insumo</t>
        </is>
      </c>
      <c r="C3542" s="82" t="inlineStr">
        <is>
          <t>Revestimento de Piso Porcelanato, 76x76cm, simples</t>
        </is>
      </c>
      <c r="D3542" s="82" t="inlineStr">
        <is>
          <t>Argamassa ACIII</t>
        </is>
      </c>
      <c r="E3542" s="11">
        <f t="array" ref="E3542">_xlfn.XLOOKUP(D3542,Insumos!B:B,Insumos!C:$C)</f>
        <v/>
      </c>
      <c r="F3542" s="2171" t="n">
        <v>8.800000000000001</v>
      </c>
      <c r="G3542" s="92">
        <f t="array" ref="G3542">IF(B3542="insumo",_xlfn.XLOOKUP($D3542,Insumos!$B$1:$B$996,Insumos!$D$1:$D$996),"")</f>
        <v/>
      </c>
      <c r="H3542" s="92" t="n">
        <v>9.367599999999999</v>
      </c>
      <c r="I3542" s="2165" t="n">
        <v>0</v>
      </c>
      <c r="J3542" s="2165" t="n">
        <v>0</v>
      </c>
      <c r="K3542" s="2165" t="n"/>
    </row>
    <row r="3543" outlineLevel="3" ht="12.75" customHeight="1">
      <c r="A3543" s="82" t="n">
        <v>142</v>
      </c>
      <c r="B3543" s="82" t="inlineStr">
        <is>
          <t>Insumo</t>
        </is>
      </c>
      <c r="C3543" s="82" t="inlineStr">
        <is>
          <t>Revestimento de Piso Porcelanato, 76x76cm, simples</t>
        </is>
      </c>
      <c r="D3543" s="82" t="inlineStr">
        <is>
          <t>Espeçador junta piso 2mm</t>
        </is>
      </c>
      <c r="E3543" s="11">
        <f t="array" ref="E3543">_xlfn.XLOOKUP(D3543,Insumos!B:B,Insumos!C:$C)</f>
        <v/>
      </c>
      <c r="F3543" s="2171" t="n">
        <v>1</v>
      </c>
      <c r="G3543" s="92">
        <f t="array" ref="G3543">IF(B3543="insumo",_xlfn.XLOOKUP($D3543,Insumos!$B$1:$B$996,Insumos!$D$1:$D$996),"")</f>
        <v/>
      </c>
      <c r="H3543" s="92" t="n">
        <v>0.08</v>
      </c>
      <c r="I3543" s="2165" t="n">
        <v>0</v>
      </c>
      <c r="J3543" s="2165" t="n">
        <v>0</v>
      </c>
      <c r="K3543" s="2165" t="n"/>
    </row>
    <row r="3544" outlineLevel="3" ht="12.75" customHeight="1">
      <c r="A3544" s="82" t="n">
        <v>101</v>
      </c>
      <c r="B3544" s="82" t="inlineStr">
        <is>
          <t>Insumo</t>
        </is>
      </c>
      <c r="C3544" s="82" t="inlineStr">
        <is>
          <t>Revestimento de Piso Porcelanato, 76x76cm, simples</t>
        </is>
      </c>
      <c r="D3544" s="82" t="inlineStr">
        <is>
          <t>Rejunte Cimentício</t>
        </is>
      </c>
      <c r="E3544" s="11">
        <f t="array" ref="E3544">_xlfn.XLOOKUP(D3544,Insumos!B:B,Insumos!C:$C)</f>
        <v/>
      </c>
      <c r="F3544" s="2171" t="n">
        <v>0.01</v>
      </c>
      <c r="G3544" s="92">
        <f t="array" ref="G3544">IF(B3544="insumo",_xlfn.XLOOKUP($D3544,Insumos!$B$1:$B$996,Insumos!$D$1:$D$996),"")</f>
        <v/>
      </c>
      <c r="H3544" s="92" t="n">
        <v>0.1115</v>
      </c>
      <c r="I3544" s="2165" t="n">
        <v>0</v>
      </c>
      <c r="J3544" s="2165" t="n">
        <v>0</v>
      </c>
      <c r="K3544" s="2165" t="n"/>
    </row>
    <row r="3545" outlineLevel="2" ht="12.75" customHeight="1">
      <c r="A3545" s="1071" t="n">
        <v>1</v>
      </c>
      <c r="B3545" s="1071" t="inlineStr">
        <is>
          <t>Serviço</t>
        </is>
      </c>
      <c r="C3545" s="1071" t="inlineStr">
        <is>
          <t>Revestimento de Piso Porcelanato Interno Cimentício Acetinado Borda Reta Interno 120x120cm Munari Branco Eliane</t>
        </is>
      </c>
      <c r="D3545" s="1071" t="inlineStr">
        <is>
          <t>Revestimento de Piso Porcelanato Interno Cimentício Acetinado Borda Reta Interno 120x120cm Munari Branco Eliane</t>
        </is>
      </c>
      <c r="E3545" s="1072" t="inlineStr">
        <is>
          <t>M2</t>
        </is>
      </c>
      <c r="F3545" s="1071" t="n"/>
      <c r="G3545" s="1073">
        <f t="array" ref="G3545">IF(B3545="insumo",_xlfn.XLOOKUP($D3545,Insumos!$B$1:$B$996,Insumos!$D$1:$D$996),"")</f>
        <v/>
      </c>
      <c r="H3545" s="1073" t="n">
        <v>217.0065</v>
      </c>
      <c r="I3545" s="2163" t="n">
        <v>0</v>
      </c>
      <c r="J3545" s="2163" t="n">
        <v>0</v>
      </c>
      <c r="K3545" s="2163" t="n"/>
    </row>
    <row r="3546" outlineLevel="3" ht="12.75" customHeight="1">
      <c r="A3546" s="82" t="n">
        <v>1</v>
      </c>
      <c r="B3546" s="82" t="inlineStr">
        <is>
          <t>Insumo</t>
        </is>
      </c>
      <c r="C3546" s="82" t="inlineStr">
        <is>
          <t>Revestimento de Piso Porcelanato Interno Cimentício Acetinado Borda Reta Interno 120x120cm Munari Branco Eliane</t>
        </is>
      </c>
      <c r="D3546" s="82" t="inlineStr">
        <is>
          <t>Porcelanato Cimentício Acetinado Borda Reta Interno 120x120cm Munari Branco Eliane</t>
        </is>
      </c>
      <c r="E3546" s="11">
        <f t="array" ref="E3546">_xlfn.XLOOKUP(D3546,Insumos!B:B,Insumos!C:$C)</f>
        <v/>
      </c>
      <c r="F3546" s="2164" t="n">
        <v>1.1</v>
      </c>
      <c r="G3546" s="92">
        <f t="array" ref="G3546">IF(B3546="insumo",_xlfn.XLOOKUP($D3546,Insumos!$B$1:$B$996,Insumos!$D$1:$D$996),"")</f>
        <v/>
      </c>
      <c r="H3546" s="92" t="n">
        <v>201.531</v>
      </c>
      <c r="I3546" s="2165" t="n">
        <v>0</v>
      </c>
      <c r="J3546" s="2165" t="n">
        <v>0</v>
      </c>
      <c r="K3546" s="2165" t="n"/>
    </row>
    <row r="3547" outlineLevel="3" ht="12.75" customHeight="1">
      <c r="A3547" s="82" t="n">
        <v>191</v>
      </c>
      <c r="B3547" s="82" t="inlineStr">
        <is>
          <t>Insumo</t>
        </is>
      </c>
      <c r="C3547" s="82" t="inlineStr">
        <is>
          <t>Revestimento de Piso Porcelanato Interno Cimentício Acetinado Borda Reta Interno 120x120cm Munari Branco Eliane</t>
        </is>
      </c>
      <c r="D3547" s="82" t="inlineStr">
        <is>
          <t>Argamassa ACIII</t>
        </is>
      </c>
      <c r="E3547" s="11">
        <f t="array" ref="E3547">_xlfn.XLOOKUP(D3547,Insumos!B:B,Insumos!C:$C)</f>
        <v/>
      </c>
      <c r="F3547" s="2164" t="n">
        <v>9</v>
      </c>
      <c r="G3547" s="92">
        <f t="array" ref="G3547">IF(B3547="insumo",_xlfn.XLOOKUP($D3547,Insumos!$B$1:$B$996,Insumos!$D$1:$D$996),"")</f>
        <v/>
      </c>
      <c r="H3547" s="92" t="n">
        <v>9.580500000000001</v>
      </c>
      <c r="I3547" s="2165" t="n">
        <v>0</v>
      </c>
      <c r="J3547" s="2165" t="n">
        <v>0</v>
      </c>
      <c r="K3547" s="2165" t="n"/>
    </row>
    <row r="3548" outlineLevel="3" ht="12.75" customHeight="1">
      <c r="A3548" s="82" t="n">
        <v>142</v>
      </c>
      <c r="B3548" s="82" t="inlineStr">
        <is>
          <t>Insumo</t>
        </is>
      </c>
      <c r="C3548" s="82" t="inlineStr">
        <is>
          <t>Revestimento de Piso Porcelanato Interno Cimentício Acetinado Borda Reta Interno 120x120cm Munari Branco Eliane</t>
        </is>
      </c>
      <c r="D3548" s="82" t="inlineStr">
        <is>
          <t>Espeçador junta piso 2mm</t>
        </is>
      </c>
      <c r="E3548" s="11">
        <f t="array" ref="E3548">_xlfn.XLOOKUP(D3548,Insumos!B:B,Insumos!C:$C)</f>
        <v/>
      </c>
      <c r="F3548" s="2164" t="n">
        <v>4</v>
      </c>
      <c r="G3548" s="92">
        <f t="array" ref="G3548">IF(B3548="insumo",_xlfn.XLOOKUP($D3548,Insumos!$B$1:$B$996,Insumos!$D$1:$D$996),"")</f>
        <v/>
      </c>
      <c r="H3548" s="92" t="n">
        <v>0.32</v>
      </c>
      <c r="I3548" s="2165" t="n">
        <v>0</v>
      </c>
      <c r="J3548" s="2165" t="n">
        <v>0</v>
      </c>
      <c r="K3548" s="2165" t="n"/>
    </row>
    <row r="3549" outlineLevel="3" ht="12.75" customHeight="1">
      <c r="A3549" s="82" t="n">
        <v>101</v>
      </c>
      <c r="B3549" s="82" t="inlineStr">
        <is>
          <t>Insumo</t>
        </is>
      </c>
      <c r="C3549" s="82" t="inlineStr">
        <is>
          <t>Revestimento de Piso Porcelanato Interno Cimentício Acetinado Borda Reta Interno 120x120cm Munari Branco Eliane</t>
        </is>
      </c>
      <c r="D3549" s="82" t="inlineStr">
        <is>
          <t>Rejunte Cimentício</t>
        </is>
      </c>
      <c r="E3549" s="11">
        <f t="array" ref="E3549">_xlfn.XLOOKUP(D3549,Insumos!B:B,Insumos!C:$C)</f>
        <v/>
      </c>
      <c r="F3549" s="2164" t="n">
        <v>0.5</v>
      </c>
      <c r="G3549" s="92">
        <f t="array" ref="G3549">IF(B3549="insumo",_xlfn.XLOOKUP($D3549,Insumos!$B$1:$B$996,Insumos!$D$1:$D$996),"")</f>
        <v/>
      </c>
      <c r="H3549" s="92" t="n">
        <v>5.575</v>
      </c>
      <c r="I3549" s="2165" t="n">
        <v>0</v>
      </c>
      <c r="J3549" s="2165" t="n">
        <v>0</v>
      </c>
      <c r="K3549" s="2165" t="n"/>
    </row>
    <row r="3550" outlineLevel="1" ht="15.75" customHeight="1">
      <c r="A3550" s="1090" t="n">
        <v>1</v>
      </c>
      <c r="B3550" s="1090" t="inlineStr">
        <is>
          <t>Subetapa</t>
        </is>
      </c>
      <c r="C3550" s="1090" t="inlineStr">
        <is>
          <t>Revestimento de Piso Porcelanato Interno Cimentício Acetinado Borda Reta Interno 120x120cm Munari Branco Eliane</t>
        </is>
      </c>
      <c r="D3550" s="1090" t="inlineStr">
        <is>
          <t>PASTILHAS CERÂMICAS</t>
        </is>
      </c>
      <c r="E3550" s="1091" t="n"/>
      <c r="F3550" s="2160" t="n"/>
      <c r="G3550" s="1091" t="n"/>
      <c r="H3550" s="1091" t="n">
        <v>0</v>
      </c>
      <c r="I3550" s="2160" t="n">
        <v>0</v>
      </c>
      <c r="J3550" s="2160" t="n">
        <v>0</v>
      </c>
      <c r="K3550" s="2160" t="n"/>
    </row>
    <row r="3551" outlineLevel="2" ht="15.75" customHeight="1">
      <c r="A3551" s="1067" t="n">
        <v>1</v>
      </c>
      <c r="B3551" s="1067" t="inlineStr">
        <is>
          <t>Serviço</t>
        </is>
      </c>
      <c r="C3551" s="1067" t="inlineStr">
        <is>
          <t xml:space="preserve">Revestimento em Pastilhas Cerâmicas Para Piscinas , 14,5 x 14,5cm com Junta de 2mm </t>
        </is>
      </c>
      <c r="D3551" s="1067" t="inlineStr">
        <is>
          <t xml:space="preserve">Revestimento em Pastilhas Cerâmicas Para Piscinas , 14,5 x 14,5cm com Junta de 2mm </t>
        </is>
      </c>
      <c r="E3551" s="1068" t="inlineStr">
        <is>
          <t>M2</t>
        </is>
      </c>
      <c r="F3551" s="1067" t="n"/>
      <c r="G3551" s="1069">
        <f t="array" ref="G3551">IF(B3551="insumo",_xlfn.XLOOKUP($D3551,Insumos!$B$1:$B$996,Insumos!$D$1:$D$996),"")</f>
        <v/>
      </c>
      <c r="H3551" s="1069" t="n">
        <v>156.1655</v>
      </c>
      <c r="I3551" s="2161" t="n">
        <v>0</v>
      </c>
      <c r="J3551" s="2161" t="n">
        <v>0</v>
      </c>
      <c r="K3551" s="2161" t="n"/>
    </row>
    <row r="3552" outlineLevel="3" ht="15.75" customHeight="1">
      <c r="A3552" s="10" t="n">
        <v>3</v>
      </c>
      <c r="B3552" s="10" t="inlineStr">
        <is>
          <t>Insumo</t>
        </is>
      </c>
      <c r="C3552" s="10" t="inlineStr">
        <is>
          <t xml:space="preserve">Revestimento em Pastilhas Cerâmicas Para Piscinas , 14,5 x 14,5cm com Junta de 2mm </t>
        </is>
      </c>
      <c r="D3552" s="10" t="inlineStr">
        <is>
          <t>Revestimento Pastilha 14,5x14,5cm</t>
        </is>
      </c>
      <c r="E3552" s="11">
        <f t="array" ref="E3552">_xlfn.XLOOKUP(D3552,Insumos!B:B,Insumos!C:$C)</f>
        <v/>
      </c>
      <c r="F3552" s="14" t="n">
        <v>1.1</v>
      </c>
      <c r="G3552" s="92">
        <f t="array" ref="G3552">IF(B3552="insumo",_xlfn.XLOOKUP($D3552,Insumos!$B$1:$B$996,Insumos!$D$1:$D$996),"")</f>
        <v/>
      </c>
      <c r="H3552" s="92" t="n">
        <v>140.69</v>
      </c>
      <c r="I3552" s="2162" t="n">
        <v>0</v>
      </c>
      <c r="J3552" s="2162" t="n">
        <v>0</v>
      </c>
      <c r="K3552" s="2162" t="n"/>
    </row>
    <row r="3553" outlineLevel="3" ht="15.75" customHeight="1">
      <c r="A3553" s="10" t="n">
        <v>191</v>
      </c>
      <c r="B3553" s="10" t="inlineStr">
        <is>
          <t>Insumo</t>
        </is>
      </c>
      <c r="C3553" s="10" t="inlineStr">
        <is>
          <t xml:space="preserve">Revestimento em Pastilhas Cerâmicas Para Piscinas , 14,5 x 14,5cm com Junta de 2mm </t>
        </is>
      </c>
      <c r="D3553" s="10" t="inlineStr">
        <is>
          <t>Argamassa ACIII</t>
        </is>
      </c>
      <c r="E3553" s="11">
        <f t="array" ref="E3553">_xlfn.XLOOKUP(D3553,Insumos!B:B,Insumos!C:$C)</f>
        <v/>
      </c>
      <c r="F3553" s="14" t="n">
        <v>9</v>
      </c>
      <c r="G3553" s="92">
        <f t="array" ref="G3553">IF(B3553="insumo",_xlfn.XLOOKUP($D3553,Insumos!$B$1:$B$996,Insumos!$D$1:$D$996),"")</f>
        <v/>
      </c>
      <c r="H3553" s="92" t="n">
        <v>9.580500000000001</v>
      </c>
      <c r="I3553" s="2162" t="n">
        <v>0</v>
      </c>
      <c r="J3553" s="2162" t="n">
        <v>0</v>
      </c>
      <c r="K3553" s="2162" t="n"/>
    </row>
    <row r="3554" outlineLevel="3" ht="15.75" customHeight="1">
      <c r="A3554" s="10" t="n">
        <v>142</v>
      </c>
      <c r="B3554" s="10" t="inlineStr">
        <is>
          <t>Insumo</t>
        </is>
      </c>
      <c r="C3554" s="10" t="inlineStr">
        <is>
          <t xml:space="preserve">Revestimento em Pastilhas Cerâmicas Para Piscinas , 14,5 x 14,5cm com Junta de 2mm </t>
        </is>
      </c>
      <c r="D3554" s="10" t="inlineStr">
        <is>
          <t>Espeçador junta piso 2mm</t>
        </is>
      </c>
      <c r="E3554" s="11">
        <f t="array" ref="E3554">_xlfn.XLOOKUP(D3554,Insumos!B:B,Insumos!C:$C)</f>
        <v/>
      </c>
      <c r="F3554" s="14" t="n">
        <v>4</v>
      </c>
      <c r="G3554" s="92">
        <f t="array" ref="G3554">IF(B3554="insumo",_xlfn.XLOOKUP($D3554,Insumos!$B$1:$B$996,Insumos!$D$1:$D$996),"")</f>
        <v/>
      </c>
      <c r="H3554" s="92" t="n">
        <v>0.32</v>
      </c>
      <c r="I3554" s="2162" t="n">
        <v>0</v>
      </c>
      <c r="J3554" s="2162" t="n">
        <v>0</v>
      </c>
      <c r="K3554" s="2162" t="n"/>
    </row>
    <row r="3555" outlineLevel="3" ht="15.75" customHeight="1">
      <c r="A3555" s="10" t="n">
        <v>101</v>
      </c>
      <c r="B3555" s="10" t="inlineStr">
        <is>
          <t>Insumo</t>
        </is>
      </c>
      <c r="C3555" s="10" t="inlineStr">
        <is>
          <t xml:space="preserve">Revestimento em Pastilhas Cerâmicas Para Piscinas , 14,5 x 14,5cm com Junta de 2mm </t>
        </is>
      </c>
      <c r="D3555" s="10" t="inlineStr">
        <is>
          <t>Rejunte Cimentício</t>
        </is>
      </c>
      <c r="E3555" s="11">
        <f t="array" ref="E3555">_xlfn.XLOOKUP(D3555,Insumos!B:B,Insumos!C:$C)</f>
        <v/>
      </c>
      <c r="F3555" s="14" t="n">
        <v>0.5</v>
      </c>
      <c r="G3555" s="92">
        <f t="array" ref="G3555">IF(B3555="insumo",_xlfn.XLOOKUP($D3555,Insumos!$B$1:$B$996,Insumos!$D$1:$D$996),"")</f>
        <v/>
      </c>
      <c r="H3555" s="92" t="n">
        <v>5.575</v>
      </c>
      <c r="I3555" s="2162" t="n">
        <v>0</v>
      </c>
      <c r="J3555" s="2162" t="n">
        <v>0</v>
      </c>
      <c r="K3555" s="2162" t="n"/>
    </row>
    <row r="3556" outlineLevel="2" ht="12.75" customHeight="1">
      <c r="A3556" s="1071" t="n">
        <v>1</v>
      </c>
      <c r="B3556" s="1071" t="inlineStr">
        <is>
          <t>Serviço</t>
        </is>
      </c>
      <c r="C3556" s="1071" t="inlineStr">
        <is>
          <t>Revestimento em Pastilha vítrea decorada, padrão customizado, placa 30x30 cm</t>
        </is>
      </c>
      <c r="D3556" s="1071" t="inlineStr">
        <is>
          <t>Revestimento em Pastilha vítrea decorada, padrão customizado, placa 30x30 cm</t>
        </is>
      </c>
      <c r="E3556" s="1072" t="inlineStr">
        <is>
          <t>M2</t>
        </is>
      </c>
      <c r="F3556" s="1071" t="n"/>
      <c r="G3556" s="1073">
        <f t="array" ref="G3556">IF(B3556="insumo",_xlfn.XLOOKUP($D3556,Insumos!$B$1:$B$996,Insumos!$D$1:$D$996),"")</f>
        <v/>
      </c>
      <c r="H3556" s="1073" t="n">
        <v>533.955275</v>
      </c>
      <c r="I3556" s="2163" t="n">
        <v>0</v>
      </c>
      <c r="J3556" s="2163" t="n">
        <v>0</v>
      </c>
      <c r="K3556" s="2163" t="n"/>
    </row>
    <row r="3557" outlineLevel="3" ht="12.75" customHeight="1">
      <c r="A3557" s="82" t="n">
        <v>1</v>
      </c>
      <c r="B3557" s="82" t="inlineStr">
        <is>
          <t>Insumo</t>
        </is>
      </c>
      <c r="C3557" s="82" t="inlineStr">
        <is>
          <t>Revestimento em Pastilha vítrea decorada, padrão customizado, placa 30x30 cm</t>
        </is>
      </c>
      <c r="D3557" s="82" t="inlineStr">
        <is>
          <t>Pastilha vítrea decorada, padrão customizado, placa 30x30 cm - Jatobá / NGK Pastilhas</t>
        </is>
      </c>
      <c r="E3557" s="11">
        <f t="array" ref="E3557">_xlfn.XLOOKUP(D3557,Insumos!B:B,Insumos!C:$C)</f>
        <v/>
      </c>
      <c r="F3557" s="2171" t="n">
        <v>1.1</v>
      </c>
      <c r="G3557" s="92">
        <f t="array" ref="G3557">IF(B3557="insumo",_xlfn.XLOOKUP($D3557,Insumos!$B$1:$B$996,Insumos!$D$1:$D$996),"")</f>
        <v/>
      </c>
      <c r="H3557" s="92" t="n">
        <v>528</v>
      </c>
      <c r="I3557" s="2165" t="n">
        <v>0</v>
      </c>
      <c r="J3557" s="2165" t="n">
        <v>0</v>
      </c>
      <c r="K3557" s="2165" t="n"/>
    </row>
    <row r="3558" outlineLevel="3" ht="12.75" customHeight="1">
      <c r="A3558" s="82" t="n">
        <v>191</v>
      </c>
      <c r="B3558" s="82" t="inlineStr">
        <is>
          <t>Insumo</t>
        </is>
      </c>
      <c r="C3558" s="82" t="inlineStr">
        <is>
          <t>Revestimento em Pastilha vítrea decorada, padrão customizado, placa 30x30 cm</t>
        </is>
      </c>
      <c r="D3558" s="82" t="inlineStr">
        <is>
          <t>Argamassa ACIII</t>
        </is>
      </c>
      <c r="E3558" s="11">
        <f t="array" ref="E3558">_xlfn.XLOOKUP(D3558,Insumos!B:B,Insumos!C:$C)</f>
        <v/>
      </c>
      <c r="F3558" s="2171" t="n">
        <v>4.95</v>
      </c>
      <c r="G3558" s="92">
        <f t="array" ref="G3558">IF(B3558="insumo",_xlfn.XLOOKUP($D3558,Insumos!$B$1:$B$996,Insumos!$D$1:$D$996),"")</f>
        <v/>
      </c>
      <c r="H3558" s="92" t="n">
        <v>5.269275</v>
      </c>
      <c r="I3558" s="2165" t="n">
        <v>0</v>
      </c>
      <c r="J3558" s="2165" t="n">
        <v>0</v>
      </c>
      <c r="K3558" s="2165" t="n"/>
    </row>
    <row r="3559" outlineLevel="3" ht="12.75" customHeight="1">
      <c r="A3559" s="82" t="n">
        <v>142</v>
      </c>
      <c r="B3559" s="82" t="inlineStr">
        <is>
          <t>Insumo</t>
        </is>
      </c>
      <c r="C3559" s="82" t="inlineStr">
        <is>
          <t>Revestimento em Pastilha vítrea decorada, padrão customizado, placa 30x30 cm</t>
        </is>
      </c>
      <c r="D3559" s="82" t="inlineStr">
        <is>
          <t>Espeçador junta piso 2mm</t>
        </is>
      </c>
      <c r="E3559" s="11">
        <f t="array" ref="E3559">_xlfn.XLOOKUP(D3559,Insumos!B:B,Insumos!C:$C)</f>
        <v/>
      </c>
      <c r="F3559" s="2171" t="n">
        <v>3</v>
      </c>
      <c r="G3559" s="92">
        <f t="array" ref="G3559">IF(B3559="insumo",_xlfn.XLOOKUP($D3559,Insumos!$B$1:$B$996,Insumos!$D$1:$D$996),"")</f>
        <v/>
      </c>
      <c r="H3559" s="92" t="n">
        <v>0.24</v>
      </c>
      <c r="I3559" s="2165" t="n">
        <v>0</v>
      </c>
      <c r="J3559" s="2165" t="n">
        <v>0</v>
      </c>
      <c r="K3559" s="2165" t="n"/>
    </row>
    <row r="3560" outlineLevel="3" ht="12.75" customHeight="1">
      <c r="A3560" s="82" t="n">
        <v>101</v>
      </c>
      <c r="B3560" s="82" t="inlineStr">
        <is>
          <t>Insumo</t>
        </is>
      </c>
      <c r="C3560" s="82" t="inlineStr">
        <is>
          <t>Revestimento em Pastilha vítrea decorada, padrão customizado, placa 30x30 cm</t>
        </is>
      </c>
      <c r="D3560" s="82" t="inlineStr">
        <is>
          <t>Rejunte Cimentício</t>
        </is>
      </c>
      <c r="E3560" s="11">
        <f t="array" ref="E3560">_xlfn.XLOOKUP(D3560,Insumos!B:B,Insumos!C:$C)</f>
        <v/>
      </c>
      <c r="F3560" s="2171" t="n">
        <v>0.04</v>
      </c>
      <c r="G3560" s="92">
        <f t="array" ref="G3560">IF(B3560="insumo",_xlfn.XLOOKUP($D3560,Insumos!$B$1:$B$996,Insumos!$D$1:$D$996),"")</f>
        <v/>
      </c>
      <c r="H3560" s="92" t="n">
        <v>0.446</v>
      </c>
      <c r="I3560" s="2165" t="n">
        <v>0</v>
      </c>
      <c r="J3560" s="2165" t="n">
        <v>0</v>
      </c>
      <c r="K3560" s="2165" t="n"/>
    </row>
    <row r="3561" outlineLevel="2" ht="15.75" customHeight="1">
      <c r="A3561" s="1067" t="n">
        <v>1</v>
      </c>
      <c r="B3561" s="1067" t="inlineStr">
        <is>
          <t>Serviço</t>
        </is>
      </c>
      <c r="C3561" s="1067" t="inlineStr">
        <is>
          <t xml:space="preserve">Revestimento em Pastilhas Cerâmicas Para Piscinas , 20 x 20cm com Junta de 2mm </t>
        </is>
      </c>
      <c r="D3561" s="1067" t="inlineStr">
        <is>
          <t xml:space="preserve">Revestimento em Pastilhas Cerâmicas Para Piscinas , 20 x 20cm com Junta de 2mm </t>
        </is>
      </c>
      <c r="E3561" s="1068" t="inlineStr">
        <is>
          <t>M2</t>
        </is>
      </c>
      <c r="F3561" s="1067" t="n"/>
      <c r="G3561" s="1069">
        <f t="array" ref="G3561">IF(B3561="insumo",_xlfn.XLOOKUP($D3561,Insumos!$B$1:$B$996,Insumos!$D$1:$D$996),"")</f>
        <v/>
      </c>
      <c r="H3561" s="1069" t="n">
        <v>206.650275</v>
      </c>
      <c r="I3561" s="2161" t="n">
        <v>0</v>
      </c>
      <c r="J3561" s="2161" t="n">
        <v>0</v>
      </c>
      <c r="K3561" s="2161" t="n"/>
    </row>
    <row r="3562" outlineLevel="3" ht="15.75" customHeight="1">
      <c r="A3562" s="10" t="n">
        <v>1</v>
      </c>
      <c r="B3562" s="10" t="inlineStr">
        <is>
          <t>Insumo</t>
        </is>
      </c>
      <c r="C3562" s="10" t="inlineStr">
        <is>
          <t xml:space="preserve">Revestimento em Pastilhas Cerâmicas Para Piscinas , 20 x 20cm com Junta de 2mm </t>
        </is>
      </c>
      <c r="D3562" s="10" t="inlineStr">
        <is>
          <t>Revestimento Portinari Pacific Bl Lux Bold 20x20</t>
        </is>
      </c>
      <c r="E3562" s="11">
        <f t="array" ref="E3562">_xlfn.XLOOKUP(D3562,Insumos!B:B,Insumos!C:$C)</f>
        <v/>
      </c>
      <c r="F3562" s="14" t="n">
        <v>1.1</v>
      </c>
      <c r="G3562" s="92">
        <f t="array" ref="G3562">IF(B3562="insumo",_xlfn.XLOOKUP($D3562,Insumos!$B$1:$B$996,Insumos!$D$1:$D$996),"")</f>
        <v/>
      </c>
      <c r="H3562" s="92" t="n">
        <v>200.695</v>
      </c>
      <c r="I3562" s="2162" t="n">
        <v>0</v>
      </c>
      <c r="J3562" s="2162" t="n">
        <v>0</v>
      </c>
      <c r="K3562" s="2162" t="n"/>
    </row>
    <row r="3563" outlineLevel="3" ht="15.75" customHeight="1">
      <c r="A3563" s="10" t="n">
        <v>191</v>
      </c>
      <c r="B3563" s="10" t="inlineStr">
        <is>
          <t>Insumo</t>
        </is>
      </c>
      <c r="C3563" s="10" t="inlineStr">
        <is>
          <t xml:space="preserve">Revestimento em Pastilhas Cerâmicas Para Piscinas , 20 x 20cm com Junta de 2mm </t>
        </is>
      </c>
      <c r="D3563" s="10" t="inlineStr">
        <is>
          <t>Argamassa ACIII</t>
        </is>
      </c>
      <c r="E3563" s="11">
        <f t="array" ref="E3563">_xlfn.XLOOKUP(D3563,Insumos!B:B,Insumos!C:$C)</f>
        <v/>
      </c>
      <c r="F3563" s="14" t="n">
        <v>4.95</v>
      </c>
      <c r="G3563" s="92">
        <f t="array" ref="G3563">IF(B3563="insumo",_xlfn.XLOOKUP($D3563,Insumos!$B$1:$B$996,Insumos!$D$1:$D$996),"")</f>
        <v/>
      </c>
      <c r="H3563" s="92" t="n">
        <v>5.269275</v>
      </c>
      <c r="I3563" s="2162" t="n">
        <v>0</v>
      </c>
      <c r="J3563" s="2162" t="n">
        <v>0</v>
      </c>
      <c r="K3563" s="2162" t="n"/>
    </row>
    <row r="3564" outlineLevel="3" ht="15.75" customHeight="1">
      <c r="A3564" s="10" t="n">
        <v>142</v>
      </c>
      <c r="B3564" s="10" t="inlineStr">
        <is>
          <t>Insumo</t>
        </is>
      </c>
      <c r="C3564" s="10" t="inlineStr">
        <is>
          <t xml:space="preserve">Revestimento em Pastilhas Cerâmicas Para Piscinas , 20 x 20cm com Junta de 2mm </t>
        </is>
      </c>
      <c r="D3564" s="10" t="inlineStr">
        <is>
          <t>Espeçador junta piso 2mm</t>
        </is>
      </c>
      <c r="E3564" s="11">
        <f t="array" ref="E3564">_xlfn.XLOOKUP(D3564,Insumos!B:B,Insumos!C:$C)</f>
        <v/>
      </c>
      <c r="F3564" s="14" t="n">
        <v>3</v>
      </c>
      <c r="G3564" s="92">
        <f t="array" ref="G3564">IF(B3564="insumo",_xlfn.XLOOKUP($D3564,Insumos!$B$1:$B$996,Insumos!$D$1:$D$996),"")</f>
        <v/>
      </c>
      <c r="H3564" s="92" t="n">
        <v>0.24</v>
      </c>
      <c r="I3564" s="2162" t="n">
        <v>0</v>
      </c>
      <c r="J3564" s="2162" t="n">
        <v>0</v>
      </c>
      <c r="K3564" s="2162" t="n"/>
    </row>
    <row r="3565" outlineLevel="3" ht="15.75" customHeight="1">
      <c r="A3565" s="10" t="n">
        <v>101</v>
      </c>
      <c r="B3565" s="10" t="inlineStr">
        <is>
          <t>Insumo</t>
        </is>
      </c>
      <c r="C3565" s="10" t="inlineStr">
        <is>
          <t xml:space="preserve">Revestimento em Pastilhas Cerâmicas Para Piscinas , 20 x 20cm com Junta de 2mm </t>
        </is>
      </c>
      <c r="D3565" s="10" t="inlineStr">
        <is>
          <t>Rejunte Cimentício</t>
        </is>
      </c>
      <c r="E3565" s="11">
        <f t="array" ref="E3565">_xlfn.XLOOKUP(D3565,Insumos!B:B,Insumos!C:$C)</f>
        <v/>
      </c>
      <c r="F3565" s="14" t="n">
        <v>0.04</v>
      </c>
      <c r="G3565" s="92">
        <f t="array" ref="G3565">IF(B3565="insumo",_xlfn.XLOOKUP($D3565,Insumos!$B$1:$B$996,Insumos!$D$1:$D$996),"")</f>
        <v/>
      </c>
      <c r="H3565" s="92" t="n">
        <v>0.446</v>
      </c>
      <c r="I3565" s="2162" t="n">
        <v>0</v>
      </c>
      <c r="J3565" s="2162" t="n">
        <v>0</v>
      </c>
      <c r="K3565" s="2162" t="n"/>
    </row>
    <row r="3566" outlineLevel="2" ht="15.75" customHeight="1">
      <c r="A3566" s="1067" t="n">
        <v>1</v>
      </c>
      <c r="B3566" s="1067" t="inlineStr">
        <is>
          <t>Serviço</t>
        </is>
      </c>
      <c r="C3566" s="1067" t="inlineStr">
        <is>
          <t>Revestimento em Piso,  Pastilha Bege 2,5X2,5Cm</t>
        </is>
      </c>
      <c r="D3566" s="1067" t="inlineStr">
        <is>
          <t>Revestimento em Piso,  Pastilha Bege 2,5X2,5Cm</t>
        </is>
      </c>
      <c r="E3566" s="1068" t="inlineStr">
        <is>
          <t>M2</t>
        </is>
      </c>
      <c r="F3566" s="1067" t="n"/>
      <c r="G3566" s="1069">
        <f t="array" ref="G3566">IF(B3566="insumo",_xlfn.XLOOKUP($D3566,Insumos!$B$1:$B$996,Insumos!$D$1:$D$996),"")</f>
        <v/>
      </c>
      <c r="H3566" s="1069" t="n">
        <v>262.853775</v>
      </c>
      <c r="I3566" s="2161" t="n">
        <v>0</v>
      </c>
      <c r="J3566" s="2161" t="n">
        <v>0</v>
      </c>
      <c r="K3566" s="2161" t="n"/>
    </row>
    <row r="3567" outlineLevel="3" ht="15.75" customHeight="1">
      <c r="A3567" s="10" t="n">
        <v>3</v>
      </c>
      <c r="B3567" s="10" t="inlineStr">
        <is>
          <t>Insumo</t>
        </is>
      </c>
      <c r="C3567" s="10" t="inlineStr">
        <is>
          <t>Revestimento em Piso,  Pastilha Bege 2,5X2,5Cm</t>
        </is>
      </c>
      <c r="D3567" s="10" t="inlineStr">
        <is>
          <t>Revestimento Pastilha 2,5x2,5cm</t>
        </is>
      </c>
      <c r="E3567" s="11">
        <f t="array" ref="E3567">_xlfn.XLOOKUP(D3567,Insumos!B:B,Insumos!C:$C)</f>
        <v/>
      </c>
      <c r="F3567" s="14" t="n">
        <v>1.1</v>
      </c>
      <c r="G3567" s="92">
        <f t="array" ref="G3567">IF(B3567="insumo",_xlfn.XLOOKUP($D3567,Insumos!$B$1:$B$996,Insumos!$D$1:$D$996),"")</f>
        <v/>
      </c>
      <c r="H3567" s="92" t="n">
        <v>256.707</v>
      </c>
      <c r="I3567" s="2162" t="n">
        <v>0</v>
      </c>
      <c r="J3567" s="2162" t="n">
        <v>0</v>
      </c>
      <c r="K3567" s="2162" t="n"/>
    </row>
    <row r="3568" outlineLevel="3" ht="15.75" customHeight="1">
      <c r="A3568" s="10" t="n">
        <v>191</v>
      </c>
      <c r="B3568" s="10" t="inlineStr">
        <is>
          <t>Insumo</t>
        </is>
      </c>
      <c r="C3568" s="10" t="inlineStr">
        <is>
          <t>Revestimento em Piso,  Pastilha Bege 2,5X2,5Cm</t>
        </is>
      </c>
      <c r="D3568" s="10" t="inlineStr">
        <is>
          <t>Argamassa ACIII</t>
        </is>
      </c>
      <c r="E3568" s="11">
        <f t="array" ref="E3568">_xlfn.XLOOKUP(D3568,Insumos!B:B,Insumos!C:$C)</f>
        <v/>
      </c>
      <c r="F3568" s="14" t="n">
        <v>4.95</v>
      </c>
      <c r="G3568" s="92">
        <f t="array" ref="G3568">IF(B3568="insumo",_xlfn.XLOOKUP($D3568,Insumos!$B$1:$B$996,Insumos!$D$1:$D$996),"")</f>
        <v/>
      </c>
      <c r="H3568" s="92" t="n">
        <v>5.269275</v>
      </c>
      <c r="I3568" s="2162" t="n">
        <v>0</v>
      </c>
      <c r="J3568" s="2162" t="n">
        <v>0</v>
      </c>
      <c r="K3568" s="2162" t="n"/>
    </row>
    <row r="3569" outlineLevel="3" ht="15.75" customHeight="1">
      <c r="A3569" s="10" t="n">
        <v>142</v>
      </c>
      <c r="B3569" s="10" t="inlineStr">
        <is>
          <t>Insumo</t>
        </is>
      </c>
      <c r="C3569" s="10" t="inlineStr">
        <is>
          <t>Revestimento em Piso,  Pastilha Bege 2,5X2,5Cm</t>
        </is>
      </c>
      <c r="D3569" s="10" t="inlineStr">
        <is>
          <t>Espeçador junta piso 2mm</t>
        </is>
      </c>
      <c r="E3569" s="11">
        <f t="array" ref="E3569">_xlfn.XLOOKUP(D3569,Insumos!B:B,Insumos!C:$C)</f>
        <v/>
      </c>
      <c r="F3569" s="14" t="n">
        <v>4</v>
      </c>
      <c r="G3569" s="92">
        <f t="array" ref="G3569">IF(B3569="insumo",_xlfn.XLOOKUP($D3569,Insumos!$B$1:$B$996,Insumos!$D$1:$D$996),"")</f>
        <v/>
      </c>
      <c r="H3569" s="92" t="n">
        <v>0.32</v>
      </c>
      <c r="I3569" s="2162" t="n">
        <v>0</v>
      </c>
      <c r="J3569" s="2162" t="n">
        <v>0</v>
      </c>
      <c r="K3569" s="2162" t="n"/>
    </row>
    <row r="3570" outlineLevel="3" ht="15.75" customHeight="1">
      <c r="A3570" s="10" t="n">
        <v>101</v>
      </c>
      <c r="B3570" s="10" t="inlineStr">
        <is>
          <t>Insumo</t>
        </is>
      </c>
      <c r="C3570" s="10" t="inlineStr">
        <is>
          <t>Revestimento em Piso,  Pastilha Bege 2,5X2,5Cm</t>
        </is>
      </c>
      <c r="D3570" s="10" t="inlineStr">
        <is>
          <t>Rejunte Cimentício</t>
        </is>
      </c>
      <c r="E3570" s="11">
        <f t="array" ref="E3570">_xlfn.XLOOKUP(D3570,Insumos!B:B,Insumos!C:$C)</f>
        <v/>
      </c>
      <c r="F3570" s="14" t="n">
        <v>0.05</v>
      </c>
      <c r="G3570" s="92">
        <f t="array" ref="G3570">IF(B3570="insumo",_xlfn.XLOOKUP($D3570,Insumos!$B$1:$B$996,Insumos!$D$1:$D$996),"")</f>
        <v/>
      </c>
      <c r="H3570" s="92" t="n">
        <v>0.5575</v>
      </c>
      <c r="I3570" s="2162" t="n">
        <v>0</v>
      </c>
      <c r="J3570" s="2162" t="n">
        <v>0</v>
      </c>
      <c r="K3570" s="2162" t="n"/>
    </row>
    <row r="3571" outlineLevel="2" ht="15.75" customHeight="1">
      <c r="A3571" s="1067" t="n">
        <v>1</v>
      </c>
      <c r="B3571" s="1067" t="inlineStr">
        <is>
          <t>Serviço</t>
        </is>
      </c>
      <c r="C3571" s="1067" t="inlineStr">
        <is>
          <t>Revestimento em Piso,  Pastilha 20X20 Cm</t>
        </is>
      </c>
      <c r="D3571" s="1067" t="inlineStr">
        <is>
          <t>Revestimento em Piso,  Pastilha 20X20 Cm</t>
        </is>
      </c>
      <c r="E3571" s="1068" t="inlineStr">
        <is>
          <t>M2</t>
        </is>
      </c>
      <c r="F3571" s="1067" t="n"/>
      <c r="G3571" s="1069">
        <f t="array" ref="G3571">IF(B3571="insumo",_xlfn.XLOOKUP($D3571,Insumos!$B$1:$B$996,Insumos!$D$1:$D$996),"")</f>
        <v/>
      </c>
      <c r="H3571" s="1069" t="n">
        <v>186.172775</v>
      </c>
      <c r="I3571" s="2161" t="n">
        <v>0</v>
      </c>
      <c r="J3571" s="2161" t="n">
        <v>0</v>
      </c>
      <c r="K3571" s="2161" t="n"/>
    </row>
    <row r="3572" outlineLevel="3" ht="15.75" customHeight="1">
      <c r="A3572" s="10" t="n">
        <v>2</v>
      </c>
      <c r="B3572" s="10" t="inlineStr">
        <is>
          <t>Insumo</t>
        </is>
      </c>
      <c r="C3572" s="10" t="inlineStr">
        <is>
          <t>Revestimento em Piso,  Pastilha 20X20 Cm</t>
        </is>
      </c>
      <c r="D3572" s="10" t="inlineStr">
        <is>
          <t>Revestimento Pastilha 20x20cm</t>
        </is>
      </c>
      <c r="E3572" s="11">
        <f t="array" ref="E3572">_xlfn.XLOOKUP(D3572,Insumos!B:B,Insumos!C:$C)</f>
        <v/>
      </c>
      <c r="F3572" s="14" t="n">
        <v>1.1</v>
      </c>
      <c r="G3572" s="92">
        <f t="array" ref="G3572">IF(B3572="insumo",_xlfn.XLOOKUP($D3572,Insumos!$B$1:$B$996,Insumos!$D$1:$D$996),"")</f>
        <v/>
      </c>
      <c r="H3572" s="92" t="n">
        <v>180.026</v>
      </c>
      <c r="I3572" s="2162" t="n">
        <v>0</v>
      </c>
      <c r="J3572" s="2162" t="n">
        <v>0</v>
      </c>
      <c r="K3572" s="2162" t="n"/>
    </row>
    <row r="3573" outlineLevel="3" ht="15.75" customHeight="1">
      <c r="A3573" s="10" t="n">
        <v>191</v>
      </c>
      <c r="B3573" s="10" t="inlineStr">
        <is>
          <t>Insumo</t>
        </is>
      </c>
      <c r="C3573" s="10" t="inlineStr">
        <is>
          <t>Revestimento em Piso,  Pastilha 20X20 Cm</t>
        </is>
      </c>
      <c r="D3573" s="10" t="inlineStr">
        <is>
          <t>Argamassa ACIII</t>
        </is>
      </c>
      <c r="E3573" s="11">
        <f t="array" ref="E3573">_xlfn.XLOOKUP(D3573,Insumos!B:B,Insumos!C:$C)</f>
        <v/>
      </c>
      <c r="F3573" s="14" t="n">
        <v>4.95</v>
      </c>
      <c r="G3573" s="92">
        <f t="array" ref="G3573">IF(B3573="insumo",_xlfn.XLOOKUP($D3573,Insumos!$B$1:$B$996,Insumos!$D$1:$D$996),"")</f>
        <v/>
      </c>
      <c r="H3573" s="92" t="n">
        <v>5.269275</v>
      </c>
      <c r="I3573" s="2162" t="n">
        <v>0</v>
      </c>
      <c r="J3573" s="2162" t="n">
        <v>0</v>
      </c>
      <c r="K3573" s="2162" t="n"/>
    </row>
    <row r="3574" outlineLevel="3" ht="15.75" customHeight="1">
      <c r="A3574" s="10" t="n">
        <v>142</v>
      </c>
      <c r="B3574" s="10" t="inlineStr">
        <is>
          <t>Insumo</t>
        </is>
      </c>
      <c r="C3574" s="10" t="inlineStr">
        <is>
          <t>Revestimento em Piso,  Pastilha 20X20 Cm</t>
        </is>
      </c>
      <c r="D3574" s="10" t="inlineStr">
        <is>
          <t>Espeçador junta piso 2mm</t>
        </is>
      </c>
      <c r="E3574" s="11">
        <f t="array" ref="E3574">_xlfn.XLOOKUP(D3574,Insumos!B:B,Insumos!C:$C)</f>
        <v/>
      </c>
      <c r="F3574" s="14" t="n">
        <v>4</v>
      </c>
      <c r="G3574" s="92">
        <f t="array" ref="G3574">IF(B3574="insumo",_xlfn.XLOOKUP($D3574,Insumos!$B$1:$B$996,Insumos!$D$1:$D$996),"")</f>
        <v/>
      </c>
      <c r="H3574" s="92" t="n">
        <v>0.32</v>
      </c>
      <c r="I3574" s="2162" t="n">
        <v>0</v>
      </c>
      <c r="J3574" s="2162" t="n">
        <v>0</v>
      </c>
      <c r="K3574" s="2162" t="n"/>
    </row>
    <row r="3575" outlineLevel="3" ht="15.75" customHeight="1">
      <c r="A3575" s="10" t="n">
        <v>101</v>
      </c>
      <c r="B3575" s="10" t="inlineStr">
        <is>
          <t>Insumo</t>
        </is>
      </c>
      <c r="C3575" s="10" t="inlineStr">
        <is>
          <t>Revestimento em Piso,  Pastilha 20X20 Cm</t>
        </is>
      </c>
      <c r="D3575" s="10" t="inlineStr">
        <is>
          <t>Rejunte Cimentício</t>
        </is>
      </c>
      <c r="E3575" s="11">
        <f t="array" ref="E3575">_xlfn.XLOOKUP(D3575,Insumos!B:B,Insumos!C:$C)</f>
        <v/>
      </c>
      <c r="F3575" s="14" t="n">
        <v>0.05</v>
      </c>
      <c r="G3575" s="92">
        <f t="array" ref="G3575">IF(B3575="insumo",_xlfn.XLOOKUP($D3575,Insumos!$B$1:$B$996,Insumos!$D$1:$D$996),"")</f>
        <v/>
      </c>
      <c r="H3575" s="92" t="n">
        <v>0.5575</v>
      </c>
      <c r="I3575" s="2162" t="n">
        <v>0</v>
      </c>
      <c r="J3575" s="2162" t="n">
        <v>0</v>
      </c>
      <c r="K3575" s="2162" t="n"/>
    </row>
    <row r="3576" outlineLevel="1" ht="15.75" customHeight="1">
      <c r="A3576" s="1090" t="n">
        <v>1</v>
      </c>
      <c r="B3576" s="1090" t="inlineStr">
        <is>
          <t>Subetapa</t>
        </is>
      </c>
      <c r="C3576" s="1090" t="inlineStr">
        <is>
          <t>Revestimento em Piso,  Pastilha 20X20 Cm</t>
        </is>
      </c>
      <c r="D3576" s="1090" t="inlineStr">
        <is>
          <t>PEDRAS E GRANITOS</t>
        </is>
      </c>
      <c r="E3576" s="1091" t="n"/>
      <c r="F3576" s="2160" t="n"/>
      <c r="G3576" s="1091" t="n"/>
      <c r="H3576" s="1091" t="n">
        <v>0</v>
      </c>
      <c r="I3576" s="2160" t="n">
        <v>0</v>
      </c>
      <c r="J3576" s="2160" t="n">
        <v>0</v>
      </c>
      <c r="K3576" s="2160" t="n"/>
    </row>
    <row r="3577" outlineLevel="2" ht="15.75" customHeight="1">
      <c r="A3577" s="1067" t="n">
        <v>1</v>
      </c>
      <c r="B3577" s="1067" t="inlineStr">
        <is>
          <t>Serviço</t>
        </is>
      </c>
      <c r="C3577" s="1067" t="inlineStr">
        <is>
          <t>Revestimento De Granito Branco Ceará Flameado</t>
        </is>
      </c>
      <c r="D3577" s="1067" t="inlineStr">
        <is>
          <t>Revestimento De Granito Branco Ceará Flameado</t>
        </is>
      </c>
      <c r="E3577" s="1068" t="inlineStr">
        <is>
          <t>M2</t>
        </is>
      </c>
      <c r="F3577" s="1067" t="n"/>
      <c r="G3577" s="1069">
        <f t="array" ref="G3577">IF(B3577="insumo",_xlfn.XLOOKUP($D3577,Insumos!$B$1:$B$996,Insumos!$D$1:$D$996),"")</f>
        <v/>
      </c>
      <c r="H3577" s="1069" t="n">
        <v>997.2455</v>
      </c>
      <c r="I3577" s="2161" t="n">
        <v>0</v>
      </c>
      <c r="J3577" s="2161" t="n">
        <v>0</v>
      </c>
      <c r="K3577" s="2161" t="n"/>
    </row>
    <row r="3578" outlineLevel="3" ht="15.75" customHeight="1">
      <c r="A3578" s="10" t="n">
        <v>1</v>
      </c>
      <c r="B3578" s="10" t="inlineStr">
        <is>
          <t>Insumo</t>
        </is>
      </c>
      <c r="C3578" s="10" t="inlineStr">
        <is>
          <t>Revestimento De Granito Branco Ceará Flameado</t>
        </is>
      </c>
      <c r="D3578" s="10" t="inlineStr">
        <is>
          <t>Granito Branco Ceará Flameado</t>
        </is>
      </c>
      <c r="E3578" s="11">
        <f t="array" ref="E3578">_xlfn.XLOOKUP(D3578,Insumos!B:B,Insumos!C:$C)</f>
        <v/>
      </c>
      <c r="F3578" s="14" t="n">
        <v>1.1</v>
      </c>
      <c r="G3578" s="92">
        <f t="array" ref="G3578">IF(B3578="insumo",_xlfn.XLOOKUP($D3578,Insumos!$B$1:$B$996,Insumos!$D$1:$D$996),"")</f>
        <v/>
      </c>
      <c r="H3578" s="92" t="n">
        <v>979</v>
      </c>
      <c r="I3578" s="2162" t="n">
        <v>0</v>
      </c>
      <c r="J3578" s="2162" t="n">
        <v>0</v>
      </c>
      <c r="K3578" s="2162" t="n"/>
    </row>
    <row r="3579" outlineLevel="3" ht="15.75" customHeight="1">
      <c r="A3579" s="10" t="n">
        <v>191</v>
      </c>
      <c r="B3579" s="10" t="inlineStr">
        <is>
          <t>Insumo</t>
        </is>
      </c>
      <c r="C3579" s="10" t="inlineStr">
        <is>
          <t>Revestimento De Granito Branco Ceará Flameado</t>
        </is>
      </c>
      <c r="D3579" s="10" t="inlineStr">
        <is>
          <t>Argamassa ACIII</t>
        </is>
      </c>
      <c r="E3579" s="11">
        <f t="array" ref="E3579">_xlfn.XLOOKUP(D3579,Insumos!B:B,Insumos!C:$C)</f>
        <v/>
      </c>
      <c r="F3579" s="14" t="n">
        <v>9</v>
      </c>
      <c r="G3579" s="92">
        <f t="array" ref="G3579">IF(B3579="insumo",_xlfn.XLOOKUP($D3579,Insumos!$B$1:$B$996,Insumos!$D$1:$D$996),"")</f>
        <v/>
      </c>
      <c r="H3579" s="92" t="n">
        <v>9.580500000000001</v>
      </c>
      <c r="I3579" s="2162" t="n">
        <v>0</v>
      </c>
      <c r="J3579" s="2162" t="n">
        <v>0</v>
      </c>
      <c r="K3579" s="2162" t="n"/>
    </row>
    <row r="3580" outlineLevel="3" ht="15.75" customHeight="1">
      <c r="A3580" s="10" t="n">
        <v>34</v>
      </c>
      <c r="B3580" s="10" t="inlineStr">
        <is>
          <t>Insumo</t>
        </is>
      </c>
      <c r="C3580" s="10" t="inlineStr">
        <is>
          <t>Revestimento De Granito Branco Ceará Flameado</t>
        </is>
      </c>
      <c r="D3580" s="10" t="inlineStr">
        <is>
          <t>Massa Plastica 400g</t>
        </is>
      </c>
      <c r="E3580" s="11">
        <f t="array" ref="E3580">_xlfn.XLOOKUP(D3580,Insumos!B:B,Insumos!C:$C)</f>
        <v/>
      </c>
      <c r="F3580" s="14" t="n">
        <v>0.5</v>
      </c>
      <c r="G3580" s="92">
        <f t="array" ref="G3580">IF(B3580="insumo",_xlfn.XLOOKUP($D3580,Insumos!$B$1:$B$996,Insumos!$D$1:$D$996),"")</f>
        <v/>
      </c>
      <c r="H3580" s="92" t="n">
        <v>8.664999999999999</v>
      </c>
      <c r="I3580" s="2162" t="n">
        <v>0</v>
      </c>
      <c r="J3580" s="2162" t="n">
        <v>0</v>
      </c>
      <c r="K3580" s="2162" t="n"/>
    </row>
    <row r="3581" outlineLevel="2" ht="15.75" customHeight="1">
      <c r="A3581" s="1067" t="n">
        <v>1</v>
      </c>
      <c r="B3581" s="1067" t="inlineStr">
        <is>
          <t>Serviço</t>
        </is>
      </c>
      <c r="C3581" s="1067" t="inlineStr">
        <is>
          <t>Revestimento de Granito cinza em Pisos</t>
        </is>
      </c>
      <c r="D3581" s="1067" t="inlineStr">
        <is>
          <t>Revestimento de Granito cinza em Pisos</t>
        </is>
      </c>
      <c r="E3581" s="1068" t="inlineStr">
        <is>
          <t>M2</t>
        </is>
      </c>
      <c r="F3581" s="1067" t="n"/>
      <c r="G3581" s="1069">
        <f t="array" ref="G3581">IF(B3581="insumo",_xlfn.XLOOKUP($D3581,Insumos!$B$1:$B$996,Insumos!$D$1:$D$996),"")</f>
        <v/>
      </c>
      <c r="H3581" s="1069" t="n">
        <v>546.2455</v>
      </c>
      <c r="I3581" s="2161" t="n">
        <v>0</v>
      </c>
      <c r="J3581" s="2161" t="n">
        <v>0</v>
      </c>
      <c r="K3581" s="2161" t="n"/>
    </row>
    <row r="3582" outlineLevel="3" ht="15.75" customHeight="1">
      <c r="A3582" s="10" t="n">
        <v>3</v>
      </c>
      <c r="B3582" s="10" t="inlineStr">
        <is>
          <t>Insumo</t>
        </is>
      </c>
      <c r="C3582" s="10" t="inlineStr">
        <is>
          <t>Revestimento de Granito cinza em Pisos</t>
        </is>
      </c>
      <c r="D3582" s="10" t="inlineStr">
        <is>
          <t>Marmore Cinza</t>
        </is>
      </c>
      <c r="E3582" s="11">
        <f t="array" ref="E3582">_xlfn.XLOOKUP(D3582,Insumos!B:B,Insumos!C:$C)</f>
        <v/>
      </c>
      <c r="F3582" s="14" t="n">
        <v>1.1</v>
      </c>
      <c r="G3582" s="92">
        <f t="array" ref="G3582">IF(B3582="insumo",_xlfn.XLOOKUP($D3582,Insumos!$B$1:$B$996,Insumos!$D$1:$D$996),"")</f>
        <v/>
      </c>
      <c r="H3582" s="92" t="n">
        <v>528</v>
      </c>
      <c r="I3582" s="2162" t="n">
        <v>0</v>
      </c>
      <c r="J3582" s="2162" t="n">
        <v>0</v>
      </c>
      <c r="K3582" s="2162" t="n"/>
    </row>
    <row r="3583" outlineLevel="3" ht="15.75" customHeight="1">
      <c r="A3583" s="10" t="n">
        <v>191</v>
      </c>
      <c r="B3583" s="10" t="inlineStr">
        <is>
          <t>Insumo</t>
        </is>
      </c>
      <c r="C3583" s="10" t="inlineStr">
        <is>
          <t>Revestimento de Granito cinza em Pisos</t>
        </is>
      </c>
      <c r="D3583" s="10" t="inlineStr">
        <is>
          <t>Argamassa ACIII</t>
        </is>
      </c>
      <c r="E3583" s="11">
        <f t="array" ref="E3583">_xlfn.XLOOKUP(D3583,Insumos!B:B,Insumos!C:$C)</f>
        <v/>
      </c>
      <c r="F3583" s="14" t="n">
        <v>9</v>
      </c>
      <c r="G3583" s="92">
        <f t="array" ref="G3583">IF(B3583="insumo",_xlfn.XLOOKUP($D3583,Insumos!$B$1:$B$996,Insumos!$D$1:$D$996),"")</f>
        <v/>
      </c>
      <c r="H3583" s="92" t="n">
        <v>9.580500000000001</v>
      </c>
      <c r="I3583" s="2162" t="n">
        <v>0</v>
      </c>
      <c r="J3583" s="2162" t="n">
        <v>0</v>
      </c>
      <c r="K3583" s="2162" t="n"/>
    </row>
    <row r="3584" outlineLevel="3" ht="15.75" customHeight="1">
      <c r="A3584" s="10" t="n">
        <v>34</v>
      </c>
      <c r="B3584" s="10" t="inlineStr">
        <is>
          <t>Insumo</t>
        </is>
      </c>
      <c r="C3584" s="10" t="inlineStr">
        <is>
          <t>Revestimento de Granito cinza em Pisos</t>
        </is>
      </c>
      <c r="D3584" s="10" t="inlineStr">
        <is>
          <t>Massa Plastica 400g</t>
        </is>
      </c>
      <c r="E3584" s="11">
        <f t="array" ref="E3584">_xlfn.XLOOKUP(D3584,Insumos!B:B,Insumos!C:$C)</f>
        <v/>
      </c>
      <c r="F3584" s="14" t="n">
        <v>0.5</v>
      </c>
      <c r="G3584" s="92">
        <f t="array" ref="G3584">IF(B3584="insumo",_xlfn.XLOOKUP($D3584,Insumos!$B$1:$B$996,Insumos!$D$1:$D$996),"")</f>
        <v/>
      </c>
      <c r="H3584" s="92" t="n">
        <v>8.664999999999999</v>
      </c>
      <c r="I3584" s="2162" t="n">
        <v>0</v>
      </c>
      <c r="J3584" s="2162" t="n">
        <v>0</v>
      </c>
      <c r="K3584" s="2162" t="n"/>
    </row>
    <row r="3585" outlineLevel="2" ht="15.75" customHeight="1">
      <c r="A3585" s="1067" t="n">
        <v>1</v>
      </c>
      <c r="B3585" s="1067" t="inlineStr">
        <is>
          <t>Serviço</t>
        </is>
      </c>
      <c r="C3585" s="1067" t="inlineStr">
        <is>
          <t>Revestimento de Pedras Naturais em Pisos</t>
        </is>
      </c>
      <c r="D3585" s="1067" t="inlineStr">
        <is>
          <t>Revestimento de Pedras Naturais em Pisos</t>
        </is>
      </c>
      <c r="E3585" s="1068" t="inlineStr">
        <is>
          <t>M2</t>
        </is>
      </c>
      <c r="F3585" s="1067" t="n"/>
      <c r="G3585" s="1069">
        <f t="array" ref="G3585">IF(B3585="insumo",_xlfn.XLOOKUP($D3585,Insumos!$B$1:$B$996,Insumos!$D$1:$D$996),"")</f>
        <v/>
      </c>
      <c r="H3585" s="1069" t="n">
        <v>898.2455</v>
      </c>
      <c r="I3585" s="2161" t="n">
        <v>0</v>
      </c>
      <c r="J3585" s="2161" t="n">
        <v>0</v>
      </c>
      <c r="K3585" s="2161" t="n"/>
    </row>
    <row r="3586" outlineLevel="3" ht="15.75" customHeight="1">
      <c r="A3586" s="10" t="n">
        <v>10</v>
      </c>
      <c r="B3586" s="10" t="inlineStr">
        <is>
          <t>Insumo</t>
        </is>
      </c>
      <c r="C3586" s="10" t="inlineStr">
        <is>
          <t>Revestimento de Pedras Naturais em Pisos</t>
        </is>
      </c>
      <c r="D3586" s="10" t="inlineStr">
        <is>
          <t>Pedra Natural  para Revestimento</t>
        </is>
      </c>
      <c r="E3586" s="11">
        <f t="array" ref="E3586">_xlfn.XLOOKUP(D3586,Insumos!B:B,Insumos!C:$C)</f>
        <v/>
      </c>
      <c r="F3586" s="14" t="n">
        <v>1.1</v>
      </c>
      <c r="G3586" s="92">
        <f t="array" ref="G3586">IF(B3586="insumo",_xlfn.XLOOKUP($D3586,Insumos!$B$1:$B$996,Insumos!$D$1:$D$996),"")</f>
        <v/>
      </c>
      <c r="H3586" s="92" t="n">
        <v>880</v>
      </c>
      <c r="I3586" s="2162" t="n">
        <v>0</v>
      </c>
      <c r="J3586" s="2162" t="n">
        <v>0</v>
      </c>
      <c r="K3586" s="2162" t="n"/>
    </row>
    <row r="3587" outlineLevel="3" ht="15.75" customHeight="1">
      <c r="A3587" s="10" t="n">
        <v>191</v>
      </c>
      <c r="B3587" s="10" t="inlineStr">
        <is>
          <t>Insumo</t>
        </is>
      </c>
      <c r="C3587" s="10" t="inlineStr">
        <is>
          <t>Revestimento de Pedras Naturais em Pisos</t>
        </is>
      </c>
      <c r="D3587" s="10" t="inlineStr">
        <is>
          <t>Argamassa ACIII</t>
        </is>
      </c>
      <c r="E3587" s="11">
        <f t="array" ref="E3587">_xlfn.XLOOKUP(D3587,Insumos!B:B,Insumos!C:$C)</f>
        <v/>
      </c>
      <c r="F3587" s="14" t="n">
        <v>9</v>
      </c>
      <c r="G3587" s="92">
        <f t="array" ref="G3587">IF(B3587="insumo",_xlfn.XLOOKUP($D3587,Insumos!$B$1:$B$996,Insumos!$D$1:$D$996),"")</f>
        <v/>
      </c>
      <c r="H3587" s="92" t="n">
        <v>9.580500000000001</v>
      </c>
      <c r="I3587" s="2162" t="n">
        <v>0</v>
      </c>
      <c r="J3587" s="2162" t="n">
        <v>0</v>
      </c>
      <c r="K3587" s="2162" t="n"/>
    </row>
    <row r="3588" outlineLevel="3" ht="15.75" customHeight="1">
      <c r="A3588" s="10" t="n">
        <v>34</v>
      </c>
      <c r="B3588" s="10" t="inlineStr">
        <is>
          <t>Insumo</t>
        </is>
      </c>
      <c r="C3588" s="10" t="inlineStr">
        <is>
          <t>Revestimento de Pedras Naturais em Pisos</t>
        </is>
      </c>
      <c r="D3588" s="10" t="inlineStr">
        <is>
          <t>Massa Plastica 400g</t>
        </is>
      </c>
      <c r="E3588" s="11">
        <f t="array" ref="E3588">_xlfn.XLOOKUP(D3588,Insumos!B:B,Insumos!C:$C)</f>
        <v/>
      </c>
      <c r="F3588" s="14" t="n">
        <v>0.5</v>
      </c>
      <c r="G3588" s="92">
        <f t="array" ref="G3588">IF(B3588="insumo",_xlfn.XLOOKUP($D3588,Insumos!$B$1:$B$996,Insumos!$D$1:$D$996),"")</f>
        <v/>
      </c>
      <c r="H3588" s="92" t="n">
        <v>8.664999999999999</v>
      </c>
      <c r="I3588" s="2162" t="n">
        <v>0</v>
      </c>
      <c r="J3588" s="2162" t="n">
        <v>0</v>
      </c>
      <c r="K3588" s="2162" t="n"/>
    </row>
    <row r="3589" outlineLevel="2" ht="15.75" customHeight="1">
      <c r="A3589" s="1067" t="n">
        <v>1</v>
      </c>
      <c r="B3589" s="1067" t="inlineStr">
        <is>
          <t>Serviço</t>
        </is>
      </c>
      <c r="C3589" s="1067" t="inlineStr">
        <is>
          <t>Revestimento de Mármore Natural  Aquecido em Piso</t>
        </is>
      </c>
      <c r="D3589" s="1067" t="inlineStr">
        <is>
          <t>Revestimento de Mármore Natural  Aquecido em Piso</t>
        </is>
      </c>
      <c r="E3589" s="1068" t="inlineStr">
        <is>
          <t>M2</t>
        </is>
      </c>
      <c r="F3589" s="1067" t="n"/>
      <c r="G3589" s="1069">
        <f t="array" ref="G3589">IF(B3589="insumo",_xlfn.XLOOKUP($D3589,Insumos!$B$1:$B$996,Insumos!$D$1:$D$996),"")</f>
        <v/>
      </c>
      <c r="H3589" s="1069" t="n">
        <v>1498.2455</v>
      </c>
      <c r="I3589" s="2161" t="e">
        <v>#REF!</v>
      </c>
      <c r="J3589" s="2161" t="e">
        <v>#REF!</v>
      </c>
      <c r="K3589" s="2161" t="n"/>
    </row>
    <row r="3590" outlineLevel="3" ht="15.75" customHeight="1">
      <c r="A3590" s="10" t="n">
        <v>4</v>
      </c>
      <c r="B3590" s="10" t="inlineStr">
        <is>
          <t>Insumo</t>
        </is>
      </c>
      <c r="C3590" s="10" t="inlineStr">
        <is>
          <t>Revestimento de Mármore Natural  Aquecido em Piso</t>
        </is>
      </c>
      <c r="D3590" s="10" t="inlineStr">
        <is>
          <t>Mármore Natural</t>
        </is>
      </c>
      <c r="E3590" s="11">
        <f t="array" ref="E3590">_xlfn.XLOOKUP(D3590,Insumos!B:B,Insumos!C:$C)</f>
        <v/>
      </c>
      <c r="F3590" s="14" t="n">
        <v>1.1</v>
      </c>
      <c r="G3590" s="92">
        <f t="array" ref="G3590">IF(B3590="insumo",_xlfn.XLOOKUP($D3590,Insumos!$B$1:$B$996,Insumos!$D$1:$D$996),"")</f>
        <v/>
      </c>
      <c r="H3590" s="92" t="n">
        <v>880</v>
      </c>
      <c r="I3590" s="2162" t="e">
        <v>#REF!</v>
      </c>
      <c r="J3590" s="2162" t="e">
        <v>#REF!</v>
      </c>
      <c r="K3590" s="2162" t="n"/>
    </row>
    <row r="3591" outlineLevel="3" ht="15.75" customHeight="1">
      <c r="A3591" s="10" t="n">
        <v>1</v>
      </c>
      <c r="B3591" s="10" t="inlineStr">
        <is>
          <t>Insumo</t>
        </is>
      </c>
      <c r="C3591" s="10" t="inlineStr">
        <is>
          <t>Revestimento de Mármore Natural  Aquecido em Piso</t>
        </is>
      </c>
      <c r="D3591" s="10" t="inlineStr">
        <is>
          <t>SISTEMA DE PISO AQUECIDO</t>
        </is>
      </c>
      <c r="E3591" s="11">
        <f t="array" ref="E3591">_xlfn.XLOOKUP(D3591,Insumos!B:B,Insumos!C:$C)</f>
        <v/>
      </c>
      <c r="F3591" s="14" t="n">
        <v>1</v>
      </c>
      <c r="G3591" s="92">
        <f t="array" ref="G3591">IF(B3591="insumo",_xlfn.XLOOKUP($D3591,Insumos!$B$1:$B$996,Insumos!$D$1:$D$996),"")</f>
        <v/>
      </c>
      <c r="H3591" s="92" t="n">
        <v>600</v>
      </c>
      <c r="I3591" s="2162" t="e">
        <v>#REF!</v>
      </c>
      <c r="J3591" s="2162" t="e">
        <v>#REF!</v>
      </c>
      <c r="K3591" s="2162" t="n"/>
    </row>
    <row r="3592" outlineLevel="3" ht="15.75" customHeight="1">
      <c r="A3592" s="10" t="n">
        <v>191</v>
      </c>
      <c r="B3592" s="10" t="inlineStr">
        <is>
          <t>Insumo</t>
        </is>
      </c>
      <c r="C3592" s="10" t="inlineStr">
        <is>
          <t>Revestimento de Mármore Natural  Aquecido em Piso</t>
        </is>
      </c>
      <c r="D3592" s="10" t="inlineStr">
        <is>
          <t>Argamassa ACIII</t>
        </is>
      </c>
      <c r="E3592" s="11">
        <f t="array" ref="E3592">_xlfn.XLOOKUP(D3592,Insumos!B:B,Insumos!C:$C)</f>
        <v/>
      </c>
      <c r="F3592" s="14" t="n">
        <v>9</v>
      </c>
      <c r="G3592" s="92">
        <f t="array" ref="G3592">IF(B3592="insumo",_xlfn.XLOOKUP($D3592,Insumos!$B$1:$B$996,Insumos!$D$1:$D$996),"")</f>
        <v/>
      </c>
      <c r="H3592" s="92" t="n">
        <v>9.580500000000001</v>
      </c>
      <c r="I3592" s="2162" t="e">
        <v>#REF!</v>
      </c>
      <c r="J3592" s="2162" t="e">
        <v>#REF!</v>
      </c>
      <c r="K3592" s="2162" t="n"/>
    </row>
    <row r="3593" outlineLevel="3" ht="15.75" customHeight="1">
      <c r="A3593" s="10" t="n">
        <v>34</v>
      </c>
      <c r="B3593" s="10" t="inlineStr">
        <is>
          <t>Insumo</t>
        </is>
      </c>
      <c r="C3593" s="10" t="inlineStr">
        <is>
          <t>Revestimento de Mármore Natural  Aquecido em Piso</t>
        </is>
      </c>
      <c r="D3593" s="10" t="inlineStr">
        <is>
          <t>Massa Plastica 400g</t>
        </is>
      </c>
      <c r="E3593" s="11">
        <f t="array" ref="E3593">_xlfn.XLOOKUP(D3593,Insumos!B:B,Insumos!C:$C)</f>
        <v/>
      </c>
      <c r="F3593" s="14" t="n">
        <v>0.5</v>
      </c>
      <c r="G3593" s="92">
        <f t="array" ref="G3593">IF(B3593="insumo",_xlfn.XLOOKUP($D3593,Insumos!$B$1:$B$996,Insumos!$D$1:$D$996),"")</f>
        <v/>
      </c>
      <c r="H3593" s="92" t="n">
        <v>8.664999999999999</v>
      </c>
      <c r="I3593" s="2162" t="e">
        <v>#REF!</v>
      </c>
      <c r="J3593" s="2162" t="e">
        <v>#REF!</v>
      </c>
      <c r="K3593" s="2162" t="n"/>
    </row>
    <row r="3594" outlineLevel="2" ht="15.75" customHeight="1">
      <c r="A3594" s="1067" t="n">
        <v>1</v>
      </c>
      <c r="B3594" s="1067" t="inlineStr">
        <is>
          <t>Serviço</t>
        </is>
      </c>
      <c r="C3594" s="1067" t="inlineStr">
        <is>
          <t>Revestimento de Mármore Natural em Piso</t>
        </is>
      </c>
      <c r="D3594" s="1067" t="inlineStr">
        <is>
          <t>Revestimento de Mármore Natural em Piso</t>
        </is>
      </c>
      <c r="E3594" s="1068" t="inlineStr">
        <is>
          <t>M2</t>
        </is>
      </c>
      <c r="F3594" s="1067" t="n"/>
      <c r="G3594" s="1069">
        <f t="array" ref="G3594">IF(B3594="insumo",_xlfn.XLOOKUP($D3594,Insumos!$B$1:$B$996,Insumos!$D$1:$D$996),"")</f>
        <v/>
      </c>
      <c r="H3594" s="1069" t="n">
        <v>898.2455</v>
      </c>
      <c r="I3594" s="2161" t="e">
        <v>#REF!</v>
      </c>
      <c r="J3594" s="2161" t="e">
        <v>#REF!</v>
      </c>
      <c r="K3594" s="2161" t="n"/>
    </row>
    <row r="3595" outlineLevel="3" ht="15.75" customHeight="1">
      <c r="A3595" s="10" t="n">
        <v>4</v>
      </c>
      <c r="B3595" s="10" t="inlineStr">
        <is>
          <t>Insumo</t>
        </is>
      </c>
      <c r="C3595" s="10" t="inlineStr">
        <is>
          <t>Revestimento de Mármore Natural em Piso</t>
        </is>
      </c>
      <c r="D3595" s="10" t="inlineStr">
        <is>
          <t>Mármore Natural</t>
        </is>
      </c>
      <c r="E3595" s="11">
        <f t="array" ref="E3595">_xlfn.XLOOKUP(D3595,Insumos!B:B,Insumos!C:$C)</f>
        <v/>
      </c>
      <c r="F3595" s="14" t="n">
        <v>1.1</v>
      </c>
      <c r="G3595" s="92">
        <f t="array" ref="G3595">IF(B3595="insumo",_xlfn.XLOOKUP($D3595,Insumos!$B$1:$B$996,Insumos!$D$1:$D$996),"")</f>
        <v/>
      </c>
      <c r="H3595" s="92" t="n">
        <v>880</v>
      </c>
      <c r="I3595" s="2162" t="e">
        <v>#REF!</v>
      </c>
      <c r="J3595" s="2162" t="e">
        <v>#REF!</v>
      </c>
      <c r="K3595" s="2162" t="n"/>
    </row>
    <row r="3596" outlineLevel="3" ht="15.75" customHeight="1">
      <c r="A3596" s="10" t="n">
        <v>191</v>
      </c>
      <c r="B3596" s="10" t="inlineStr">
        <is>
          <t>Insumo</t>
        </is>
      </c>
      <c r="C3596" s="10" t="inlineStr">
        <is>
          <t>Revestimento de Mármore Natural em Piso</t>
        </is>
      </c>
      <c r="D3596" s="10" t="inlineStr">
        <is>
          <t>Argamassa ACIII</t>
        </is>
      </c>
      <c r="E3596" s="11">
        <f t="array" ref="E3596">_xlfn.XLOOKUP(D3596,Insumos!B:B,Insumos!C:$C)</f>
        <v/>
      </c>
      <c r="F3596" s="14" t="n">
        <v>9</v>
      </c>
      <c r="G3596" s="92">
        <f t="array" ref="G3596">IF(B3596="insumo",_xlfn.XLOOKUP($D3596,Insumos!$B$1:$B$996,Insumos!$D$1:$D$996),"")</f>
        <v/>
      </c>
      <c r="H3596" s="92" t="n">
        <v>9.580500000000001</v>
      </c>
      <c r="I3596" s="2162" t="e">
        <v>#REF!</v>
      </c>
      <c r="J3596" s="2162" t="e">
        <v>#REF!</v>
      </c>
      <c r="K3596" s="2162" t="n"/>
    </row>
    <row r="3597" outlineLevel="3" ht="15.75" customHeight="1">
      <c r="A3597" s="10" t="n">
        <v>34</v>
      </c>
      <c r="B3597" s="10" t="inlineStr">
        <is>
          <t>Insumo</t>
        </is>
      </c>
      <c r="C3597" s="10" t="inlineStr">
        <is>
          <t>Revestimento de Mármore Natural em Piso</t>
        </is>
      </c>
      <c r="D3597" s="10" t="inlineStr">
        <is>
          <t>Massa Plastica 400g</t>
        </is>
      </c>
      <c r="E3597" s="11">
        <f t="array" ref="E3597">_xlfn.XLOOKUP(D3597,Insumos!B:B,Insumos!C:$C)</f>
        <v/>
      </c>
      <c r="F3597" s="14" t="n">
        <v>0.5</v>
      </c>
      <c r="G3597" s="92">
        <f t="array" ref="G3597">IF(B3597="insumo",_xlfn.XLOOKUP($D3597,Insumos!$B$1:$B$996,Insumos!$D$1:$D$996),"")</f>
        <v/>
      </c>
      <c r="H3597" s="92" t="n">
        <v>8.664999999999999</v>
      </c>
      <c r="I3597" s="2162" t="e">
        <v>#REF!</v>
      </c>
      <c r="J3597" s="2162" t="e">
        <v>#REF!</v>
      </c>
      <c r="K3597" s="2162" t="n"/>
    </row>
    <row r="3598" outlineLevel="2" ht="15.75" customHeight="1">
      <c r="A3598" s="1067" t="n">
        <v>1</v>
      </c>
      <c r="B3598" s="1067" t="inlineStr">
        <is>
          <t>Serviço</t>
        </is>
      </c>
      <c r="C3598" s="1067" t="inlineStr">
        <is>
          <t>Revestimento de Mármore Travertino Nacional em Piso</t>
        </is>
      </c>
      <c r="D3598" s="1067" t="inlineStr">
        <is>
          <t>Revestimento de Mármore Travertino Nacional em Piso</t>
        </is>
      </c>
      <c r="E3598" s="1068" t="inlineStr">
        <is>
          <t>M2</t>
        </is>
      </c>
      <c r="F3598" s="1067" t="n"/>
      <c r="G3598" s="1069">
        <f t="array" ref="G3598">IF(B3598="insumo",_xlfn.XLOOKUP($D3598,Insumos!$B$1:$B$996,Insumos!$D$1:$D$996),"")</f>
        <v/>
      </c>
      <c r="H3598" s="1069" t="n">
        <v>1008.2455</v>
      </c>
      <c r="I3598" s="2161" t="n">
        <v>0</v>
      </c>
      <c r="J3598" s="2161" t="n">
        <v>0</v>
      </c>
      <c r="K3598" s="2161" t="n"/>
    </row>
    <row r="3599" outlineLevel="3" ht="15.75" customHeight="1">
      <c r="A3599" s="10" t="n">
        <v>2</v>
      </c>
      <c r="B3599" s="10" t="inlineStr">
        <is>
          <t>Insumo</t>
        </is>
      </c>
      <c r="C3599" s="10" t="inlineStr">
        <is>
          <t>Revestimento de Mármore Travertino Nacional em Piso</t>
        </is>
      </c>
      <c r="D3599" s="10" t="inlineStr">
        <is>
          <t>Mármore Travertino Nacional</t>
        </is>
      </c>
      <c r="E3599" s="11">
        <f t="array" ref="E3599">_xlfn.XLOOKUP(D3599,Insumos!B:B,Insumos!C:$C)</f>
        <v/>
      </c>
      <c r="F3599" s="14" t="n">
        <v>1.1</v>
      </c>
      <c r="G3599" s="92">
        <f t="array" ref="G3599">IF(B3599="insumo",_xlfn.XLOOKUP($D3599,Insumos!$B$1:$B$996,Insumos!$D$1:$D$996),"")</f>
        <v/>
      </c>
      <c r="H3599" s="92" t="n">
        <v>990</v>
      </c>
      <c r="I3599" s="2162" t="n">
        <v>0</v>
      </c>
      <c r="J3599" s="2162" t="n">
        <v>0</v>
      </c>
      <c r="K3599" s="2162" t="n"/>
    </row>
    <row r="3600" outlineLevel="3" ht="15.75" customHeight="1">
      <c r="A3600" s="10" t="n">
        <v>191</v>
      </c>
      <c r="B3600" s="10" t="inlineStr">
        <is>
          <t>Insumo</t>
        </is>
      </c>
      <c r="C3600" s="10" t="inlineStr">
        <is>
          <t>Revestimento de Mármore Travertino Nacional em Piso</t>
        </is>
      </c>
      <c r="D3600" s="10" t="inlineStr">
        <is>
          <t>Argamassa ACIII</t>
        </is>
      </c>
      <c r="E3600" s="11">
        <f t="array" ref="E3600">_xlfn.XLOOKUP(D3600,Insumos!B:B,Insumos!C:$C)</f>
        <v/>
      </c>
      <c r="F3600" s="14" t="n">
        <v>9</v>
      </c>
      <c r="G3600" s="92">
        <f t="array" ref="G3600">IF(B3600="insumo",_xlfn.XLOOKUP($D3600,Insumos!$B$1:$B$996,Insumos!$D$1:$D$996),"")</f>
        <v/>
      </c>
      <c r="H3600" s="92" t="n">
        <v>9.580500000000001</v>
      </c>
      <c r="I3600" s="2162" t="n">
        <v>0</v>
      </c>
      <c r="J3600" s="2162" t="n">
        <v>0</v>
      </c>
      <c r="K3600" s="2162" t="n"/>
    </row>
    <row r="3601" outlineLevel="3" ht="15.75" customHeight="1">
      <c r="A3601" s="10" t="n">
        <v>34</v>
      </c>
      <c r="B3601" s="10" t="inlineStr">
        <is>
          <t>Insumo</t>
        </is>
      </c>
      <c r="C3601" s="10" t="inlineStr">
        <is>
          <t>Revestimento de Mármore Travertino Nacional em Piso</t>
        </is>
      </c>
      <c r="D3601" s="10" t="inlineStr">
        <is>
          <t>Massa Plastica 400g</t>
        </is>
      </c>
      <c r="E3601" s="11">
        <f t="array" ref="E3601">_xlfn.XLOOKUP(D3601,Insumos!B:B,Insumos!C:$C)</f>
        <v/>
      </c>
      <c r="F3601" s="14" t="n">
        <v>0.5</v>
      </c>
      <c r="G3601" s="92">
        <f t="array" ref="G3601">IF(B3601="insumo",_xlfn.XLOOKUP($D3601,Insumos!$B$1:$B$996,Insumos!$D$1:$D$996),"")</f>
        <v/>
      </c>
      <c r="H3601" s="92" t="n">
        <v>8.664999999999999</v>
      </c>
      <c r="I3601" s="2162" t="n">
        <v>0</v>
      </c>
      <c r="J3601" s="2162" t="n">
        <v>0</v>
      </c>
      <c r="K3601" s="2162" t="n"/>
    </row>
    <row r="3602" outlineLevel="2" ht="15.75" customHeight="1">
      <c r="A3602" s="1067" t="n">
        <v>1</v>
      </c>
      <c r="B3602" s="1067" t="inlineStr">
        <is>
          <t>Serviço</t>
        </is>
      </c>
      <c r="C3602" s="1067" t="inlineStr">
        <is>
          <t>Revestimento de Mármore Travertino Navona em Piso</t>
        </is>
      </c>
      <c r="D3602" s="1067" t="inlineStr">
        <is>
          <t>Revestimento de Mármore Travertino Navona em Piso</t>
        </is>
      </c>
      <c r="E3602" s="1068" t="inlineStr">
        <is>
          <t>M2</t>
        </is>
      </c>
      <c r="F3602" s="1067" t="n"/>
      <c r="G3602" s="1069">
        <f t="array" ref="G3602">IF(B3602="insumo",_xlfn.XLOOKUP($D3602,Insumos!$B$1:$B$996,Insumos!$D$1:$D$996),"")</f>
        <v/>
      </c>
      <c r="H3602" s="1069" t="n">
        <v>1448.2455</v>
      </c>
      <c r="I3602" s="2161" t="n">
        <v>0</v>
      </c>
      <c r="J3602" s="2161" t="n">
        <v>0</v>
      </c>
      <c r="K3602" s="2161" t="n"/>
    </row>
    <row r="3603" outlineLevel="3" ht="15.75" customHeight="1">
      <c r="A3603" s="10" t="n">
        <v>2</v>
      </c>
      <c r="B3603" s="10" t="inlineStr">
        <is>
          <t>Insumo</t>
        </is>
      </c>
      <c r="C3603" s="10" t="inlineStr">
        <is>
          <t>Revestimento de Mármore Travertino Navona em Piso</t>
        </is>
      </c>
      <c r="D3603" s="10" t="inlineStr">
        <is>
          <t>Mármore Travertino Navona</t>
        </is>
      </c>
      <c r="E3603" s="11">
        <f t="array" ref="E3603">_xlfn.XLOOKUP(D3603,Insumos!B:B,Insumos!C:$C)</f>
        <v/>
      </c>
      <c r="F3603" s="14" t="n">
        <v>1.1</v>
      </c>
      <c r="G3603" s="92">
        <f t="array" ref="G3603">IF(B3603="insumo",_xlfn.XLOOKUP($D3603,Insumos!$B$1:$B$996,Insumos!$D$1:$D$996),"")</f>
        <v/>
      </c>
      <c r="H3603" s="92" t="n">
        <v>1430</v>
      </c>
      <c r="I3603" s="2162" t="n">
        <v>0</v>
      </c>
      <c r="J3603" s="2162" t="n">
        <v>0</v>
      </c>
      <c r="K3603" s="2162" t="n"/>
    </row>
    <row r="3604" outlineLevel="3" ht="15.75" customHeight="1">
      <c r="A3604" s="10" t="n">
        <v>191</v>
      </c>
      <c r="B3604" s="10" t="inlineStr">
        <is>
          <t>Insumo</t>
        </is>
      </c>
      <c r="C3604" s="10" t="inlineStr">
        <is>
          <t>Revestimento de Mármore Travertino Navona em Piso</t>
        </is>
      </c>
      <c r="D3604" s="10" t="inlineStr">
        <is>
          <t>Argamassa ACIII</t>
        </is>
      </c>
      <c r="E3604" s="11">
        <f t="array" ref="E3604">_xlfn.XLOOKUP(D3604,Insumos!B:B,Insumos!C:$C)</f>
        <v/>
      </c>
      <c r="F3604" s="14" t="n">
        <v>9</v>
      </c>
      <c r="G3604" s="92">
        <f t="array" ref="G3604">IF(B3604="insumo",_xlfn.XLOOKUP($D3604,Insumos!$B$1:$B$996,Insumos!$D$1:$D$996),"")</f>
        <v/>
      </c>
      <c r="H3604" s="92" t="n">
        <v>9.580500000000001</v>
      </c>
      <c r="I3604" s="2162" t="n">
        <v>0</v>
      </c>
      <c r="J3604" s="2162" t="n">
        <v>0</v>
      </c>
      <c r="K3604" s="2162" t="n"/>
    </row>
    <row r="3605" outlineLevel="3" ht="15.75" customHeight="1">
      <c r="A3605" s="10" t="n">
        <v>34</v>
      </c>
      <c r="B3605" s="10" t="inlineStr">
        <is>
          <t>Insumo</t>
        </is>
      </c>
      <c r="C3605" s="10" t="inlineStr">
        <is>
          <t>Revestimento de Mármore Travertino Navona em Piso</t>
        </is>
      </c>
      <c r="D3605" s="10" t="inlineStr">
        <is>
          <t>Massa Plastica 400g</t>
        </is>
      </c>
      <c r="E3605" s="11">
        <f t="array" ref="E3605">_xlfn.XLOOKUP(D3605,Insumos!B:B,Insumos!C:$C)</f>
        <v/>
      </c>
      <c r="F3605" s="14" t="n">
        <v>0.5</v>
      </c>
      <c r="G3605" s="92">
        <f t="array" ref="G3605">IF(B3605="insumo",_xlfn.XLOOKUP($D3605,Insumos!$B$1:$B$996,Insumos!$D$1:$D$996),"")</f>
        <v/>
      </c>
      <c r="H3605" s="92" t="n">
        <v>8.664999999999999</v>
      </c>
      <c r="I3605" s="2162" t="n">
        <v>0</v>
      </c>
      <c r="J3605" s="2162" t="n">
        <v>0</v>
      </c>
      <c r="K3605" s="2162" t="n"/>
    </row>
    <row r="3606" outlineLevel="2" ht="15.75" customHeight="1">
      <c r="A3606" s="1067" t="n">
        <v>1</v>
      </c>
      <c r="B3606" s="1067" t="inlineStr">
        <is>
          <t>Serviço</t>
        </is>
      </c>
      <c r="C3606" s="1067" t="inlineStr">
        <is>
          <t>Revestimento de Mármore Travertino Importado em Piso</t>
        </is>
      </c>
      <c r="D3606" s="1067" t="inlineStr">
        <is>
          <t>Revestimento de Mármore Travertino Importado em Piso</t>
        </is>
      </c>
      <c r="E3606" s="1068" t="inlineStr">
        <is>
          <t>M2</t>
        </is>
      </c>
      <c r="F3606" s="1067" t="n"/>
      <c r="G3606" s="1069">
        <f t="array" ref="G3606">IF(B3606="insumo",_xlfn.XLOOKUP($D3606,Insumos!$B$1:$B$996,Insumos!$D$1:$D$996),"")</f>
        <v/>
      </c>
      <c r="H3606" s="1069" t="n">
        <v>2438.2455</v>
      </c>
      <c r="I3606" s="2161" t="n">
        <v>0</v>
      </c>
      <c r="J3606" s="2161" t="n">
        <v>0</v>
      </c>
      <c r="K3606" s="2161" t="n"/>
    </row>
    <row r="3607" outlineLevel="3" ht="15.75" customHeight="1">
      <c r="A3607" s="10" t="n">
        <v>2</v>
      </c>
      <c r="B3607" s="10" t="inlineStr">
        <is>
          <t>Insumo</t>
        </is>
      </c>
      <c r="C3607" s="10" t="inlineStr">
        <is>
          <t>Revestimento de Mármore Travertino Importado em Piso</t>
        </is>
      </c>
      <c r="D3607" s="10" t="inlineStr">
        <is>
          <t>Mármore Travertino Importado</t>
        </is>
      </c>
      <c r="E3607" s="11">
        <f t="array" ref="E3607">_xlfn.XLOOKUP(D3607,Insumos!B:B,Insumos!C:$C)</f>
        <v/>
      </c>
      <c r="F3607" s="14" t="n">
        <v>1.1</v>
      </c>
      <c r="G3607" s="92">
        <f t="array" ref="G3607">IF(B3607="insumo",_xlfn.XLOOKUP($D3607,Insumos!$B$1:$B$996,Insumos!$D$1:$D$996),"")</f>
        <v/>
      </c>
      <c r="H3607" s="92" t="n">
        <v>2420</v>
      </c>
      <c r="I3607" s="2162" t="n">
        <v>0</v>
      </c>
      <c r="J3607" s="2162" t="n">
        <v>0</v>
      </c>
      <c r="K3607" s="2162" t="n"/>
    </row>
    <row r="3608" outlineLevel="3" ht="15.75" customHeight="1">
      <c r="A3608" s="10" t="n">
        <v>191</v>
      </c>
      <c r="B3608" s="10" t="inlineStr">
        <is>
          <t>Insumo</t>
        </is>
      </c>
      <c r="C3608" s="10" t="inlineStr">
        <is>
          <t>Revestimento de Mármore Travertino Importado em Piso</t>
        </is>
      </c>
      <c r="D3608" s="10" t="inlineStr">
        <is>
          <t>Argamassa ACIII</t>
        </is>
      </c>
      <c r="E3608" s="11">
        <f t="array" ref="E3608">_xlfn.XLOOKUP(D3608,Insumos!B:B,Insumos!C:$C)</f>
        <v/>
      </c>
      <c r="F3608" s="14" t="n">
        <v>9</v>
      </c>
      <c r="G3608" s="92">
        <f t="array" ref="G3608">IF(B3608="insumo",_xlfn.XLOOKUP($D3608,Insumos!$B$1:$B$996,Insumos!$D$1:$D$996),"")</f>
        <v/>
      </c>
      <c r="H3608" s="92" t="n">
        <v>9.580500000000001</v>
      </c>
      <c r="I3608" s="2162" t="n">
        <v>0</v>
      </c>
      <c r="J3608" s="2162" t="n">
        <v>0</v>
      </c>
      <c r="K3608" s="2162" t="n"/>
    </row>
    <row r="3609" outlineLevel="3" ht="15.75" customHeight="1">
      <c r="A3609" s="10" t="n">
        <v>34</v>
      </c>
      <c r="B3609" s="10" t="inlineStr">
        <is>
          <t>Insumo</t>
        </is>
      </c>
      <c r="C3609" s="10" t="inlineStr">
        <is>
          <t>Revestimento de Mármore Travertino Importado em Piso</t>
        </is>
      </c>
      <c r="D3609" s="10" t="inlineStr">
        <is>
          <t>Massa Plastica 400g</t>
        </is>
      </c>
      <c r="E3609" s="11">
        <f t="array" ref="E3609">_xlfn.XLOOKUP(D3609,Insumos!B:B,Insumos!C:$C)</f>
        <v/>
      </c>
      <c r="F3609" s="14" t="n">
        <v>0.5</v>
      </c>
      <c r="G3609" s="92">
        <f t="array" ref="G3609">IF(B3609="insumo",_xlfn.XLOOKUP($D3609,Insumos!$B$1:$B$996,Insumos!$D$1:$D$996),"")</f>
        <v/>
      </c>
      <c r="H3609" s="92" t="n">
        <v>8.664999999999999</v>
      </c>
      <c r="I3609" s="2162" t="n">
        <v>0</v>
      </c>
      <c r="J3609" s="2162" t="n">
        <v>0</v>
      </c>
      <c r="K3609" s="2162" t="n"/>
    </row>
    <row r="3610" outlineLevel="2" ht="15.75" customHeight="1">
      <c r="A3610" s="1067" t="n">
        <v>1</v>
      </c>
      <c r="B3610" s="1067" t="inlineStr">
        <is>
          <t>Serviço</t>
        </is>
      </c>
      <c r="C3610" s="1067" t="inlineStr">
        <is>
          <t>Revestimento de Mármore Travertino Romano em Piso</t>
        </is>
      </c>
      <c r="D3610" s="1067" t="inlineStr">
        <is>
          <t>Revestimento de Mármore Travertino Romano em Piso</t>
        </is>
      </c>
      <c r="E3610" s="1068" t="inlineStr">
        <is>
          <t>M2</t>
        </is>
      </c>
      <c r="F3610" s="1067" t="n"/>
      <c r="G3610" s="1069">
        <f t="array" ref="G3610">IF(B3610="insumo",_xlfn.XLOOKUP($D3610,Insumos!$B$1:$B$996,Insumos!$D$1:$D$996),"")</f>
        <v/>
      </c>
      <c r="H3610" s="1069" t="n">
        <v>1448.2455</v>
      </c>
      <c r="I3610" s="2161" t="e">
        <v>#REF!</v>
      </c>
      <c r="J3610" s="2161" t="e">
        <v>#REF!</v>
      </c>
      <c r="K3610" s="2161" t="n"/>
    </row>
    <row r="3611" outlineLevel="3" ht="15.75" customHeight="1">
      <c r="A3611" s="10" t="n">
        <v>5</v>
      </c>
      <c r="B3611" s="10" t="inlineStr">
        <is>
          <t>Insumo</t>
        </is>
      </c>
      <c r="C3611" s="10" t="inlineStr">
        <is>
          <t>Revestimento de Mármore Travertino Romano em Piso</t>
        </is>
      </c>
      <c r="D3611" s="10" t="inlineStr">
        <is>
          <t>Mármore Travertino Romano</t>
        </is>
      </c>
      <c r="E3611" s="11">
        <f t="array" ref="E3611">_xlfn.XLOOKUP(D3611,Insumos!B:B,Insumos!C:$C)</f>
        <v/>
      </c>
      <c r="F3611" s="14" t="n">
        <v>1.1</v>
      </c>
      <c r="G3611" s="92">
        <f t="array" ref="G3611">IF(B3611="insumo",_xlfn.XLOOKUP($D3611,Insumos!$B$1:$B$996,Insumos!$D$1:$D$996),"")</f>
        <v/>
      </c>
      <c r="H3611" s="92" t="n">
        <v>1430</v>
      </c>
      <c r="I3611" s="2162" t="e">
        <v>#REF!</v>
      </c>
      <c r="J3611" s="2162" t="e">
        <v>#REF!</v>
      </c>
      <c r="K3611" s="2162" t="n"/>
    </row>
    <row r="3612" outlineLevel="3" ht="15.75" customHeight="1">
      <c r="A3612" s="10" t="n">
        <v>191</v>
      </c>
      <c r="B3612" s="10" t="inlineStr">
        <is>
          <t>Insumo</t>
        </is>
      </c>
      <c r="C3612" s="10" t="inlineStr">
        <is>
          <t>Revestimento de Mármore Travertino Romano em Piso</t>
        </is>
      </c>
      <c r="D3612" s="10" t="inlineStr">
        <is>
          <t>Argamassa ACIII</t>
        </is>
      </c>
      <c r="E3612" s="11">
        <f t="array" ref="E3612">_xlfn.XLOOKUP(D3612,Insumos!B:B,Insumos!C:$C)</f>
        <v/>
      </c>
      <c r="F3612" s="14" t="n">
        <v>9</v>
      </c>
      <c r="G3612" s="92">
        <f t="array" ref="G3612">IF(B3612="insumo",_xlfn.XLOOKUP($D3612,Insumos!$B$1:$B$996,Insumos!$D$1:$D$996),"")</f>
        <v/>
      </c>
      <c r="H3612" s="92" t="n">
        <v>9.580500000000001</v>
      </c>
      <c r="I3612" s="2162" t="e">
        <v>#REF!</v>
      </c>
      <c r="J3612" s="2162" t="e">
        <v>#REF!</v>
      </c>
      <c r="K3612" s="2162" t="n"/>
    </row>
    <row r="3613" outlineLevel="3" ht="15.75" customHeight="1">
      <c r="A3613" s="10" t="n">
        <v>34</v>
      </c>
      <c r="B3613" s="10" t="inlineStr">
        <is>
          <t>Insumo</t>
        </is>
      </c>
      <c r="C3613" s="10" t="inlineStr">
        <is>
          <t>Revestimento de Mármore Travertino Romano em Piso</t>
        </is>
      </c>
      <c r="D3613" s="10" t="inlineStr">
        <is>
          <t>Massa Plastica 400g</t>
        </is>
      </c>
      <c r="E3613" s="11">
        <f t="array" ref="E3613">_xlfn.XLOOKUP(D3613,Insumos!B:B,Insumos!C:$C)</f>
        <v/>
      </c>
      <c r="F3613" s="14" t="n">
        <v>0.5</v>
      </c>
      <c r="G3613" s="92">
        <f t="array" ref="G3613">IF(B3613="insumo",_xlfn.XLOOKUP($D3613,Insumos!$B$1:$B$996,Insumos!$D$1:$D$996),"")</f>
        <v/>
      </c>
      <c r="H3613" s="92" t="n">
        <v>8.664999999999999</v>
      </c>
      <c r="I3613" s="2162" t="e">
        <v>#REF!</v>
      </c>
      <c r="J3613" s="2162" t="e">
        <v>#REF!</v>
      </c>
      <c r="K3613" s="2162" t="n"/>
    </row>
    <row r="3614" outlineLevel="2" ht="15.75" customHeight="1">
      <c r="A3614" s="1067" t="n">
        <v>1</v>
      </c>
      <c r="B3614" s="1067" t="inlineStr">
        <is>
          <t>Serviço</t>
        </is>
      </c>
      <c r="C3614" s="1067" t="inlineStr">
        <is>
          <t>Revestimento de Pedras Quartzito Van Gogh em Piso</t>
        </is>
      </c>
      <c r="D3614" s="1067" t="inlineStr">
        <is>
          <t>Revestimento de Pedras Quartzito Van Gogh em Piso</t>
        </is>
      </c>
      <c r="E3614" s="1068" t="inlineStr">
        <is>
          <t>M2</t>
        </is>
      </c>
      <c r="F3614" s="1067" t="n"/>
      <c r="G3614" s="1069">
        <f t="array" ref="G3614">IF(B3614="insumo",_xlfn.XLOOKUP($D3614,Insumos!$B$1:$B$996,Insumos!$D$1:$D$996),"")</f>
        <v/>
      </c>
      <c r="H3614" s="1069" t="n">
        <v>3538.2455</v>
      </c>
      <c r="I3614" s="2161" t="e">
        <v>#REF!</v>
      </c>
      <c r="J3614" s="2161" t="e">
        <v>#REF!</v>
      </c>
      <c r="K3614" s="2161" t="n"/>
    </row>
    <row r="3615" outlineLevel="3" ht="15.75" customHeight="1">
      <c r="A3615" s="10" t="n">
        <v>2</v>
      </c>
      <c r="B3615" s="10" t="inlineStr">
        <is>
          <t>Insumo</t>
        </is>
      </c>
      <c r="C3615" s="10" t="inlineStr">
        <is>
          <t>Revestimento de Pedras Quartzito Van Gogh em Piso</t>
        </is>
      </c>
      <c r="D3615" s="10" t="inlineStr">
        <is>
          <t>Pedras Quartzito Van Gogh</t>
        </is>
      </c>
      <c r="E3615" s="11">
        <f t="array" ref="E3615">_xlfn.XLOOKUP(D3615,Insumos!B:B,Insumos!C:$C)</f>
        <v/>
      </c>
      <c r="F3615" s="14" t="n">
        <v>1.1</v>
      </c>
      <c r="G3615" s="92">
        <f t="array" ref="G3615">IF(B3615="insumo",_xlfn.XLOOKUP($D3615,Insumos!$B$1:$B$996,Insumos!$D$1:$D$996),"")</f>
        <v/>
      </c>
      <c r="H3615" s="92" t="n">
        <v>3520</v>
      </c>
      <c r="I3615" s="2162" t="e">
        <v>#REF!</v>
      </c>
      <c r="J3615" s="2162" t="e">
        <v>#REF!</v>
      </c>
      <c r="K3615" s="2162" t="n"/>
    </row>
    <row r="3616" outlineLevel="3" ht="15.75" customHeight="1">
      <c r="A3616" s="10" t="n">
        <v>191</v>
      </c>
      <c r="B3616" s="10" t="inlineStr">
        <is>
          <t>Insumo</t>
        </is>
      </c>
      <c r="C3616" s="10" t="inlineStr">
        <is>
          <t>Revestimento de Pedras Quartzito Van Gogh em Piso</t>
        </is>
      </c>
      <c r="D3616" s="10" t="inlineStr">
        <is>
          <t>Argamassa ACIII</t>
        </is>
      </c>
      <c r="E3616" s="11">
        <f t="array" ref="E3616">_xlfn.XLOOKUP(D3616,Insumos!B:B,Insumos!C:$C)</f>
        <v/>
      </c>
      <c r="F3616" s="14" t="n">
        <v>9</v>
      </c>
      <c r="G3616" s="92">
        <f t="array" ref="G3616">IF(B3616="insumo",_xlfn.XLOOKUP($D3616,Insumos!$B$1:$B$996,Insumos!$D$1:$D$996),"")</f>
        <v/>
      </c>
      <c r="H3616" s="92" t="n">
        <v>9.580500000000001</v>
      </c>
      <c r="I3616" s="2162" t="e">
        <v>#REF!</v>
      </c>
      <c r="J3616" s="2162" t="e">
        <v>#REF!</v>
      </c>
      <c r="K3616" s="2162" t="n"/>
    </row>
    <row r="3617" outlineLevel="3" ht="15.75" customHeight="1">
      <c r="A3617" s="10" t="n">
        <v>34</v>
      </c>
      <c r="B3617" s="10" t="inlineStr">
        <is>
          <t>Insumo</t>
        </is>
      </c>
      <c r="C3617" s="10" t="inlineStr">
        <is>
          <t>Revestimento de Pedras Quartzito Van Gogh em Piso</t>
        </is>
      </c>
      <c r="D3617" s="10" t="inlineStr">
        <is>
          <t>Massa Plastica 400g</t>
        </is>
      </c>
      <c r="E3617" s="11">
        <f t="array" ref="E3617">_xlfn.XLOOKUP(D3617,Insumos!B:B,Insumos!C:$C)</f>
        <v/>
      </c>
      <c r="F3617" s="14" t="n">
        <v>0.5</v>
      </c>
      <c r="G3617" s="92">
        <f t="array" ref="G3617">IF(B3617="insumo",_xlfn.XLOOKUP($D3617,Insumos!$B$1:$B$996,Insumos!$D$1:$D$996),"")</f>
        <v/>
      </c>
      <c r="H3617" s="92" t="n">
        <v>8.664999999999999</v>
      </c>
      <c r="I3617" s="2162" t="e">
        <v>#REF!</v>
      </c>
      <c r="J3617" s="2162" t="e">
        <v>#REF!</v>
      </c>
      <c r="K3617" s="2162" t="n"/>
    </row>
    <row r="3618" outlineLevel="2" ht="15.75" customHeight="1">
      <c r="A3618" s="1067" t="n">
        <v>1</v>
      </c>
      <c r="B3618" s="1067" t="inlineStr">
        <is>
          <t>Serviço</t>
        </is>
      </c>
      <c r="C3618" s="1067" t="inlineStr">
        <is>
          <t>Revestimento de Pedra natural em batente de elevador</t>
        </is>
      </c>
      <c r="D3618" s="1067" t="inlineStr">
        <is>
          <t>Revestimento de Pedra natural em batente de elevador</t>
        </is>
      </c>
      <c r="E3618" s="1068" t="inlineStr">
        <is>
          <t>M</t>
        </is>
      </c>
      <c r="F3618" s="1067" t="n"/>
      <c r="G3618" s="1069">
        <f t="array" ref="G3618">IF(B3618="insumo",_xlfn.XLOOKUP($D3618,Insumos!$B$1:$B$996,Insumos!$D$1:$D$996),"")</f>
        <v/>
      </c>
      <c r="H3618" s="1069" t="n">
        <v>898.0326</v>
      </c>
      <c r="I3618" s="2161" t="n">
        <v>0</v>
      </c>
      <c r="J3618" s="2161" t="n">
        <v>0</v>
      </c>
      <c r="K3618" s="2161" t="n"/>
    </row>
    <row r="3619" outlineLevel="3" ht="15.75" customHeight="1">
      <c r="A3619" s="10" t="n">
        <v>10</v>
      </c>
      <c r="B3619" s="10" t="inlineStr">
        <is>
          <t>Insumo</t>
        </is>
      </c>
      <c r="C3619" s="10" t="inlineStr">
        <is>
          <t>Revestimento de Pedra natural em batente de elevador</t>
        </is>
      </c>
      <c r="D3619" s="10" t="inlineStr">
        <is>
          <t>Pedra Natural  para Revestimento</t>
        </is>
      </c>
      <c r="E3619" s="11">
        <f t="array" ref="E3619">_xlfn.XLOOKUP(D3619,Insumos!B:B,Insumos!C:$C)</f>
        <v/>
      </c>
      <c r="F3619" s="14" t="n">
        <v>1.1</v>
      </c>
      <c r="G3619" s="92">
        <f t="array" ref="G3619">IF(B3619="insumo",_xlfn.XLOOKUP($D3619,Insumos!$B$1:$B$996,Insumos!$D$1:$D$996),"")</f>
        <v/>
      </c>
      <c r="H3619" s="92" t="n">
        <v>880</v>
      </c>
      <c r="I3619" s="2162" t="n">
        <v>0</v>
      </c>
      <c r="J3619" s="2162" t="n">
        <v>0</v>
      </c>
      <c r="K3619" s="2162" t="n"/>
    </row>
    <row r="3620" outlineLevel="3" ht="15.75" customHeight="1">
      <c r="A3620" s="10" t="n">
        <v>191</v>
      </c>
      <c r="B3620" s="10" t="inlineStr">
        <is>
          <t>Insumo</t>
        </is>
      </c>
      <c r="C3620" s="10" t="inlineStr">
        <is>
          <t>Revestimento de Pedra natural em batente de elevador</t>
        </is>
      </c>
      <c r="D3620" s="10" t="inlineStr">
        <is>
          <t>Argamassa ACIII</t>
        </is>
      </c>
      <c r="E3620" s="11">
        <f t="array" ref="E3620">_xlfn.XLOOKUP(D3620,Insumos!B:B,Insumos!C:$C)</f>
        <v/>
      </c>
      <c r="F3620" s="14" t="n">
        <v>8.800000000000001</v>
      </c>
      <c r="G3620" s="92">
        <f t="array" ref="G3620">IF(B3620="insumo",_xlfn.XLOOKUP($D3620,Insumos!$B$1:$B$996,Insumos!$D$1:$D$996),"")</f>
        <v/>
      </c>
      <c r="H3620" s="92" t="n">
        <v>9.367599999999999</v>
      </c>
      <c r="I3620" s="2162" t="n">
        <v>0</v>
      </c>
      <c r="J3620" s="2162" t="n">
        <v>0</v>
      </c>
      <c r="K3620" s="2162" t="n"/>
    </row>
    <row r="3621" outlineLevel="3" ht="15.75" customHeight="1">
      <c r="A3621" s="10" t="n">
        <v>34</v>
      </c>
      <c r="B3621" s="10" t="inlineStr">
        <is>
          <t>Insumo</t>
        </is>
      </c>
      <c r="C3621" s="10" t="inlineStr">
        <is>
          <t>Revestimento de Pedra natural em batente de elevador</t>
        </is>
      </c>
      <c r="D3621" s="10" t="inlineStr">
        <is>
          <t>Massa Plastica 400g</t>
        </is>
      </c>
      <c r="E3621" s="11">
        <f t="array" ref="E3621">_xlfn.XLOOKUP(D3621,Insumos!B:B,Insumos!C:$C)</f>
        <v/>
      </c>
      <c r="F3621" s="14" t="n">
        <v>0.5</v>
      </c>
      <c r="G3621" s="92">
        <f t="array" ref="G3621">IF(B3621="insumo",_xlfn.XLOOKUP($D3621,Insumos!$B$1:$B$996,Insumos!$D$1:$D$996),"")</f>
        <v/>
      </c>
      <c r="H3621" s="92" t="n">
        <v>8.664999999999999</v>
      </c>
      <c r="I3621" s="2162" t="n">
        <v>0</v>
      </c>
      <c r="J3621" s="2162" t="n">
        <v>0</v>
      </c>
      <c r="K3621" s="2162" t="n"/>
    </row>
    <row r="3622" outlineLevel="1" ht="15.75" customHeight="1">
      <c r="A3622" s="1090" t="n">
        <v>1</v>
      </c>
      <c r="B3622" s="1090" t="inlineStr">
        <is>
          <t>Subetapa</t>
        </is>
      </c>
      <c r="C3622" s="1090" t="inlineStr">
        <is>
          <t>Revestimento de Pedra natural em batente de elevador</t>
        </is>
      </c>
      <c r="D3622" s="1090" t="inlineStr">
        <is>
          <t>RODAPÉS</t>
        </is>
      </c>
      <c r="E3622" s="1091" t="n"/>
      <c r="F3622" s="2160" t="n"/>
      <c r="G3622" s="1091" t="n"/>
      <c r="H3622" s="1091" t="n">
        <v>0</v>
      </c>
      <c r="I3622" s="2160" t="n">
        <v>0</v>
      </c>
      <c r="J3622" s="2160" t="n">
        <v>0</v>
      </c>
      <c r="K3622" s="2160" t="n"/>
    </row>
    <row r="3623" outlineLevel="2" ht="15.75" customHeight="1">
      <c r="A3623" s="1067" t="n">
        <v>1</v>
      </c>
      <c r="B3623" s="1067" t="inlineStr">
        <is>
          <t>Serviço</t>
        </is>
      </c>
      <c r="C3623" s="1067" t="inlineStr">
        <is>
          <t>Rodape Madeira - 20Cm</t>
        </is>
      </c>
      <c r="D3623" s="1067" t="inlineStr">
        <is>
          <t>Rodape Madeira - 20Cm</t>
        </is>
      </c>
      <c r="E3623" s="1068" t="inlineStr">
        <is>
          <t>M</t>
        </is>
      </c>
      <c r="F3623" s="1067" t="n"/>
      <c r="G3623" s="1069">
        <f t="array" ref="G3623">IF(B3623="insumo",_xlfn.XLOOKUP($D3623,Insumos!$B$1:$B$996,Insumos!$D$1:$D$996),"")</f>
        <v/>
      </c>
      <c r="H3623" s="1069" t="n">
        <v>19.960489</v>
      </c>
      <c r="I3623" s="2161" t="n">
        <v>0</v>
      </c>
      <c r="J3623" s="2161" t="n">
        <v>0</v>
      </c>
      <c r="K3623" s="2161" t="n"/>
    </row>
    <row r="3624" outlineLevel="3" ht="15.75" customHeight="1">
      <c r="A3624" s="10" t="n">
        <v>3</v>
      </c>
      <c r="B3624" s="10" t="inlineStr">
        <is>
          <t>Insumo</t>
        </is>
      </c>
      <c r="C3624" s="10" t="inlineStr">
        <is>
          <t>Rodape Madeira - 20Cm</t>
        </is>
      </c>
      <c r="D3624" s="10" t="inlineStr">
        <is>
          <t>PREGO DE ACO POLIDO COM CABECA 15 X 15 (1 1/4 X 13)</t>
        </is>
      </c>
      <c r="E3624" s="11">
        <f t="array" ref="E3624">_xlfn.XLOOKUP(D3624,Insumos!B:B,Insumos!C:$C)</f>
        <v/>
      </c>
      <c r="F3624" s="14" t="n">
        <v>0.0403</v>
      </c>
      <c r="G3624" s="92">
        <f t="array" ref="G3624">IF(B3624="insumo",_xlfn.XLOOKUP($D3624,Insumos!$B$1:$B$996,Insumos!$D$1:$D$996),"")</f>
        <v/>
      </c>
      <c r="H3624" s="92" t="n">
        <v>0.710489</v>
      </c>
      <c r="I3624" s="2162" t="n">
        <v>0</v>
      </c>
      <c r="J3624" s="2162" t="n">
        <v>0</v>
      </c>
      <c r="K3624" s="2162" t="n"/>
    </row>
    <row r="3625" outlineLevel="3" ht="15.75" customHeight="1">
      <c r="A3625" s="10" t="n">
        <v>2</v>
      </c>
      <c r="B3625" s="10" t="inlineStr">
        <is>
          <t>Insumo</t>
        </is>
      </c>
      <c r="C3625" s="10" t="inlineStr">
        <is>
          <t>Rodape Madeira - 20Cm</t>
        </is>
      </c>
      <c r="D3625" s="10" t="inlineStr">
        <is>
          <t>Rodapé de MDF h=5cm</t>
        </is>
      </c>
      <c r="E3625" s="11">
        <f t="array" ref="E3625">_xlfn.XLOOKUP(D3625,Insumos!B:B,Insumos!C:$C)</f>
        <v/>
      </c>
      <c r="F3625" s="14" t="n">
        <v>1</v>
      </c>
      <c r="G3625" s="92">
        <f t="array" ref="G3625">IF(B3625="insumo",_xlfn.XLOOKUP($D3625,Insumos!$B$1:$B$996,Insumos!$D$1:$D$996),"")</f>
        <v/>
      </c>
      <c r="H3625" s="92" t="n">
        <v>19.25</v>
      </c>
      <c r="I3625" s="2162" t="n">
        <v>0</v>
      </c>
      <c r="J3625" s="2162" t="n">
        <v>0</v>
      </c>
      <c r="K3625" s="2162" t="n"/>
    </row>
    <row r="3626" outlineLevel="2" ht="15.75" customHeight="1">
      <c r="A3626" s="1067" t="n">
        <v>1</v>
      </c>
      <c r="B3626" s="1067" t="inlineStr">
        <is>
          <t>Serviço</t>
        </is>
      </c>
      <c r="C3626" s="1067" t="inlineStr">
        <is>
          <t>Rodapé de MDF h=5cm</t>
        </is>
      </c>
      <c r="D3626" s="1067" t="inlineStr">
        <is>
          <t>Rodapé de MDF h=5cm</t>
        </is>
      </c>
      <c r="E3626" s="1068" t="inlineStr">
        <is>
          <t>M</t>
        </is>
      </c>
      <c r="F3626" s="1067" t="n"/>
      <c r="G3626" s="1069">
        <f t="array" ref="G3626">IF(B3626="insumo",_xlfn.XLOOKUP($D3626,Insumos!$B$1:$B$996,Insumos!$D$1:$D$996),"")</f>
        <v/>
      </c>
      <c r="H3626" s="1069" t="n">
        <v>2.136439</v>
      </c>
      <c r="I3626" s="2161" t="n">
        <v>0</v>
      </c>
      <c r="J3626" s="2161" t="n">
        <v>0</v>
      </c>
      <c r="K3626" s="2161" t="n"/>
    </row>
    <row r="3627" outlineLevel="3" ht="15.75" customHeight="1">
      <c r="A3627" s="10" t="n">
        <v>2</v>
      </c>
      <c r="B3627" s="10" t="inlineStr">
        <is>
          <t>Insumo</t>
        </is>
      </c>
      <c r="C3627" s="10" t="inlineStr">
        <is>
          <t>Rodapé de MDF h=5cm</t>
        </is>
      </c>
      <c r="D3627" s="10" t="inlineStr">
        <is>
          <t>Cola Branca base PVA</t>
        </is>
      </c>
      <c r="E3627" s="11">
        <f t="array" ref="E3627">_xlfn.XLOOKUP(D3627,Insumos!B:B,Insumos!C:$C)</f>
        <v/>
      </c>
      <c r="F3627" s="14" t="n">
        <v>0.0403</v>
      </c>
      <c r="G3627" s="92">
        <f t="array" ref="G3627">IF(B3627="insumo",_xlfn.XLOOKUP($D3627,Insumos!$B$1:$B$996,Insumos!$D$1:$D$996),"")</f>
        <v/>
      </c>
      <c r="H3627" s="92" t="n">
        <v>1.173939</v>
      </c>
      <c r="I3627" s="2162" t="n">
        <v>0</v>
      </c>
      <c r="J3627" s="2162" t="n">
        <v>0</v>
      </c>
      <c r="K3627" s="2162" t="n"/>
    </row>
    <row r="3628" outlineLevel="3" ht="15.75" customHeight="1">
      <c r="A3628" s="10" t="n">
        <v>2</v>
      </c>
      <c r="B3628" s="10" t="inlineStr">
        <is>
          <t>Insumo</t>
        </is>
      </c>
      <c r="C3628" s="10" t="inlineStr">
        <is>
          <t>Rodapé de MDF h=5cm</t>
        </is>
      </c>
      <c r="D3628" s="10" t="inlineStr">
        <is>
          <t>Rodapé de MDF h=5cm</t>
        </is>
      </c>
      <c r="E3628" s="11">
        <f t="array" ref="E3628">_xlfn.XLOOKUP(D3628,Insumos!B:B,Insumos!C:$C)</f>
        <v/>
      </c>
      <c r="F3628" s="14" t="n">
        <v>0.05</v>
      </c>
      <c r="G3628" s="92">
        <f t="array" ref="G3628">IF(B3628="insumo",_xlfn.XLOOKUP($D3628,Insumos!$B$1:$B$996,Insumos!$D$1:$D$996),"")</f>
        <v/>
      </c>
      <c r="H3628" s="92" t="n">
        <v>0.9625</v>
      </c>
      <c r="I3628" s="2162" t="n">
        <v>0</v>
      </c>
      <c r="J3628" s="2162" t="n">
        <v>0</v>
      </c>
      <c r="K3628" s="2162" t="n"/>
    </row>
    <row r="3629" outlineLevel="2" ht="15.75" customHeight="1">
      <c r="A3629" s="1067" t="n">
        <v>1</v>
      </c>
      <c r="B3629" s="1067" t="inlineStr">
        <is>
          <t>Serviço</t>
        </is>
      </c>
      <c r="C3629" s="1067" t="inlineStr">
        <is>
          <t>Rodapé de MDF h=20cm</t>
        </is>
      </c>
      <c r="D3629" s="1067" t="inlineStr">
        <is>
          <t>Rodapé de MDF h=20cm</t>
        </is>
      </c>
      <c r="E3629" s="1068" t="inlineStr">
        <is>
          <t>M</t>
        </is>
      </c>
      <c r="F3629" s="1067" t="n"/>
      <c r="G3629" s="1069">
        <f t="array" ref="G3629">IF(B3629="insumo",_xlfn.XLOOKUP($D3629,Insumos!$B$1:$B$996,Insumos!$D$1:$D$996),"")</f>
        <v/>
      </c>
      <c r="H3629" s="1069" t="n">
        <v>16.573939</v>
      </c>
      <c r="I3629" s="2161" t="n">
        <v>0</v>
      </c>
      <c r="J3629" s="2161" t="n">
        <v>0</v>
      </c>
      <c r="K3629" s="2161" t="n"/>
    </row>
    <row r="3630" outlineLevel="3" ht="15.75" customHeight="1">
      <c r="A3630" s="10" t="n">
        <v>2</v>
      </c>
      <c r="B3630" s="10" t="inlineStr">
        <is>
          <t>Insumo</t>
        </is>
      </c>
      <c r="C3630" s="10" t="inlineStr">
        <is>
          <t>Rodapé de MDF h=20cm</t>
        </is>
      </c>
      <c r="D3630" s="10" t="inlineStr">
        <is>
          <t>Cola Branca base PVA</t>
        </is>
      </c>
      <c r="E3630" s="11">
        <f t="array" ref="E3630">_xlfn.XLOOKUP(D3630,Insumos!B:B,Insumos!C:$C)</f>
        <v/>
      </c>
      <c r="F3630" s="14" t="n">
        <v>0.0403</v>
      </c>
      <c r="G3630" s="92">
        <f t="array" ref="G3630">IF(B3630="insumo",_xlfn.XLOOKUP($D3630,Insumos!$B$1:$B$996,Insumos!$D$1:$D$996),"")</f>
        <v/>
      </c>
      <c r="H3630" s="92" t="n">
        <v>1.173939</v>
      </c>
      <c r="I3630" s="2162" t="n">
        <v>0</v>
      </c>
      <c r="J3630" s="2162" t="n">
        <v>0</v>
      </c>
      <c r="K3630" s="2162" t="n"/>
    </row>
    <row r="3631" outlineLevel="3" ht="15.75" customHeight="1">
      <c r="A3631" s="10" t="n">
        <v>1</v>
      </c>
      <c r="B3631" s="10" t="inlineStr">
        <is>
          <t>Insumo</t>
        </is>
      </c>
      <c r="C3631" s="10" t="inlineStr">
        <is>
          <t>Rodapé de MDF h=20cm</t>
        </is>
      </c>
      <c r="D3631" s="10" t="inlineStr">
        <is>
          <t>Rodapé de MDF h=20cm</t>
        </is>
      </c>
      <c r="E3631" s="11">
        <f t="array" ref="E3631">_xlfn.XLOOKUP(D3631,Insumos!B:B,Insumos!C:$C)</f>
        <v/>
      </c>
      <c r="F3631" s="14" t="n">
        <v>0.2</v>
      </c>
      <c r="G3631" s="92">
        <f t="array" ref="G3631">IF(B3631="insumo",_xlfn.XLOOKUP($D3631,Insumos!$B$1:$B$996,Insumos!$D$1:$D$996),"")</f>
        <v/>
      </c>
      <c r="H3631" s="92" t="n">
        <v>15.4</v>
      </c>
      <c r="I3631" s="2162" t="n">
        <v>0</v>
      </c>
      <c r="J3631" s="2162" t="n">
        <v>0</v>
      </c>
      <c r="K3631" s="2162" t="n"/>
    </row>
    <row r="3632" outlineLevel="2" ht="15.75" customHeight="1">
      <c r="A3632" s="1067" t="n">
        <v>1</v>
      </c>
      <c r="B3632" s="1067" t="inlineStr">
        <is>
          <t>Serviço</t>
        </is>
      </c>
      <c r="C3632" s="1067" t="inlineStr">
        <is>
          <t>Rodapé de Pedra Natural h=5cm</t>
        </is>
      </c>
      <c r="D3632" s="1067" t="inlineStr">
        <is>
          <t>Rodapé de Pedra Natural h=5cm</t>
        </is>
      </c>
      <c r="E3632" s="1068" t="inlineStr">
        <is>
          <t>M</t>
        </is>
      </c>
      <c r="F3632" s="1067" t="n"/>
      <c r="G3632" s="1069">
        <f t="array" ref="G3632">IF(B3632="insumo",_xlfn.XLOOKUP($D3632,Insumos!$B$1:$B$996,Insumos!$D$1:$D$996),"")</f>
        <v/>
      </c>
      <c r="H3632" s="1069" t="n">
        <v>44.912275</v>
      </c>
      <c r="I3632" s="2161" t="n">
        <v>0</v>
      </c>
      <c r="J3632" s="2161" t="n">
        <v>0</v>
      </c>
      <c r="K3632" s="2161" t="n"/>
    </row>
    <row r="3633" outlineLevel="3" ht="15.75" customHeight="1">
      <c r="A3633" s="10" t="n">
        <v>10</v>
      </c>
      <c r="B3633" s="10" t="inlineStr">
        <is>
          <t>Insumo</t>
        </is>
      </c>
      <c r="C3633" s="10" t="inlineStr">
        <is>
          <t>Rodapé de Pedra Natural h=5cm</t>
        </is>
      </c>
      <c r="D3633" s="10" t="inlineStr">
        <is>
          <t>Pedra Natural  para Revestimento</t>
        </is>
      </c>
      <c r="E3633" s="11">
        <f t="array" ref="E3633">_xlfn.XLOOKUP(D3633,Insumos!B:B,Insumos!C:$C)</f>
        <v/>
      </c>
      <c r="F3633" s="14" t="n">
        <v>0.05500000000000001</v>
      </c>
      <c r="G3633" s="92">
        <f t="array" ref="G3633">IF(B3633="insumo",_xlfn.XLOOKUP($D3633,Insumos!$B$1:$B$996,Insumos!$D$1:$D$996),"")</f>
        <v/>
      </c>
      <c r="H3633" s="92" t="n">
        <v>44</v>
      </c>
      <c r="I3633" s="2162" t="n">
        <v>0</v>
      </c>
      <c r="J3633" s="2162" t="n">
        <v>0</v>
      </c>
      <c r="K3633" s="2162" t="n"/>
    </row>
    <row r="3634" outlineLevel="3" ht="15.75" customHeight="1">
      <c r="A3634" s="10" t="n">
        <v>191</v>
      </c>
      <c r="B3634" s="10" t="inlineStr">
        <is>
          <t>Insumo</t>
        </is>
      </c>
      <c r="C3634" s="10" t="inlineStr">
        <is>
          <t>Rodapé de Pedra Natural h=5cm</t>
        </is>
      </c>
      <c r="D3634" s="10" t="inlineStr">
        <is>
          <t>Argamassa ACIII</t>
        </is>
      </c>
      <c r="E3634" s="11">
        <f t="array" ref="E3634">_xlfn.XLOOKUP(D3634,Insumos!B:B,Insumos!C:$C)</f>
        <v/>
      </c>
      <c r="F3634" s="14" t="n">
        <v>0.45</v>
      </c>
      <c r="G3634" s="92">
        <f t="array" ref="G3634">IF(B3634="insumo",_xlfn.XLOOKUP($D3634,Insumos!$B$1:$B$996,Insumos!$D$1:$D$996),"")</f>
        <v/>
      </c>
      <c r="H3634" s="92" t="n">
        <v>0.479025</v>
      </c>
      <c r="I3634" s="2162" t="n">
        <v>0</v>
      </c>
      <c r="J3634" s="2162" t="n">
        <v>0</v>
      </c>
      <c r="K3634" s="2162" t="n"/>
    </row>
    <row r="3635" outlineLevel="3" ht="15.75" customHeight="1">
      <c r="A3635" s="10" t="n">
        <v>34</v>
      </c>
      <c r="B3635" s="10" t="inlineStr">
        <is>
          <t>Insumo</t>
        </is>
      </c>
      <c r="C3635" s="10" t="inlineStr">
        <is>
          <t>Rodapé de Pedra Natural h=5cm</t>
        </is>
      </c>
      <c r="D3635" s="10" t="inlineStr">
        <is>
          <t>Massa Plastica 400g</t>
        </is>
      </c>
      <c r="E3635" s="11">
        <f t="array" ref="E3635">_xlfn.XLOOKUP(D3635,Insumos!B:B,Insumos!C:$C)</f>
        <v/>
      </c>
      <c r="F3635" s="14" t="n">
        <v>0.025</v>
      </c>
      <c r="G3635" s="92">
        <f t="array" ref="G3635">IF(B3635="insumo",_xlfn.XLOOKUP($D3635,Insumos!$B$1:$B$996,Insumos!$D$1:$D$996),"")</f>
        <v/>
      </c>
      <c r="H3635" s="92" t="n">
        <v>0.43325</v>
      </c>
      <c r="I3635" s="2162" t="n">
        <v>0</v>
      </c>
      <c r="J3635" s="2162" t="n">
        <v>0</v>
      </c>
      <c r="K3635" s="2162" t="n"/>
    </row>
    <row r="3636" outlineLevel="2" ht="15.75" customHeight="1">
      <c r="A3636" s="1067" t="n">
        <v>1</v>
      </c>
      <c r="B3636" s="1067" t="inlineStr">
        <is>
          <t>Serviço</t>
        </is>
      </c>
      <c r="C3636" s="1067" t="inlineStr">
        <is>
          <t>Rodapé de Pedra Natural h=15cm</t>
        </is>
      </c>
      <c r="D3636" s="1067" t="inlineStr">
        <is>
          <t>Rodapé de Pedra Natural h=15cm</t>
        </is>
      </c>
      <c r="E3636" s="1068" t="inlineStr">
        <is>
          <t>M</t>
        </is>
      </c>
      <c r="F3636" s="1067" t="n"/>
      <c r="G3636" s="1069">
        <f t="array" ref="G3636">IF(B3636="insumo",_xlfn.XLOOKUP($D3636,Insumos!$B$1:$B$996,Insumos!$D$1:$D$996),"")</f>
        <v/>
      </c>
      <c r="H3636" s="1069" t="n">
        <v>134.736825</v>
      </c>
      <c r="I3636" s="2161" t="n">
        <v>0</v>
      </c>
      <c r="J3636" s="2161" t="n">
        <v>0</v>
      </c>
      <c r="K3636" s="2161" t="n"/>
    </row>
    <row r="3637" outlineLevel="3" ht="15.75" customHeight="1">
      <c r="A3637" s="10" t="n">
        <v>10</v>
      </c>
      <c r="B3637" s="10" t="inlineStr">
        <is>
          <t>Insumo</t>
        </is>
      </c>
      <c r="C3637" s="10" t="inlineStr">
        <is>
          <t>Rodapé de Pedra Natural h=15cm</t>
        </is>
      </c>
      <c r="D3637" s="10" t="inlineStr">
        <is>
          <t>Pedra Natural  para Revestimento</t>
        </is>
      </c>
      <c r="E3637" s="11">
        <f t="array" ref="E3637">_xlfn.XLOOKUP(D3637,Insumos!B:B,Insumos!C:$C)</f>
        <v/>
      </c>
      <c r="F3637" s="14" t="n">
        <v>0.165</v>
      </c>
      <c r="G3637" s="92">
        <f t="array" ref="G3637">IF(B3637="insumo",_xlfn.XLOOKUP($D3637,Insumos!$B$1:$B$996,Insumos!$D$1:$D$996),"")</f>
        <v/>
      </c>
      <c r="H3637" s="92" t="n">
        <v>132</v>
      </c>
      <c r="I3637" s="2162" t="n">
        <v>0</v>
      </c>
      <c r="J3637" s="2162" t="n">
        <v>0</v>
      </c>
      <c r="K3637" s="2162" t="n"/>
    </row>
    <row r="3638" outlineLevel="3" ht="15.75" customHeight="1">
      <c r="A3638" s="10" t="n">
        <v>191</v>
      </c>
      <c r="B3638" s="10" t="inlineStr">
        <is>
          <t>Insumo</t>
        </is>
      </c>
      <c r="C3638" s="10" t="inlineStr">
        <is>
          <t>Rodapé de Pedra Natural h=15cm</t>
        </is>
      </c>
      <c r="D3638" s="10" t="inlineStr">
        <is>
          <t>Argamassa ACIII</t>
        </is>
      </c>
      <c r="E3638" s="11">
        <f t="array" ref="E3638">_xlfn.XLOOKUP(D3638,Insumos!B:B,Insumos!C:$C)</f>
        <v/>
      </c>
      <c r="F3638" s="14" t="n">
        <v>1.35</v>
      </c>
      <c r="G3638" s="92">
        <f t="array" ref="G3638">IF(B3638="insumo",_xlfn.XLOOKUP($D3638,Insumos!$B$1:$B$996,Insumos!$D$1:$D$996),"")</f>
        <v/>
      </c>
      <c r="H3638" s="92" t="n">
        <v>1.437075</v>
      </c>
      <c r="I3638" s="2162" t="n">
        <v>0</v>
      </c>
      <c r="J3638" s="2162" t="n">
        <v>0</v>
      </c>
      <c r="K3638" s="2162" t="n"/>
    </row>
    <row r="3639" outlineLevel="3" ht="15.75" customHeight="1">
      <c r="A3639" s="10" t="n">
        <v>34</v>
      </c>
      <c r="B3639" s="10" t="inlineStr">
        <is>
          <t>Insumo</t>
        </is>
      </c>
      <c r="C3639" s="10" t="inlineStr">
        <is>
          <t>Rodapé de Pedra Natural h=15cm</t>
        </is>
      </c>
      <c r="D3639" s="10" t="inlineStr">
        <is>
          <t>Massa Plastica 400g</t>
        </is>
      </c>
      <c r="E3639" s="11">
        <f t="array" ref="E3639">_xlfn.XLOOKUP(D3639,Insumos!B:B,Insumos!C:$C)</f>
        <v/>
      </c>
      <c r="F3639" s="14" t="n">
        <v>0.075</v>
      </c>
      <c r="G3639" s="92">
        <f t="array" ref="G3639">IF(B3639="insumo",_xlfn.XLOOKUP($D3639,Insumos!$B$1:$B$996,Insumos!$D$1:$D$996),"")</f>
        <v/>
      </c>
      <c r="H3639" s="92" t="n">
        <v>1.29975</v>
      </c>
      <c r="I3639" s="2162" t="n">
        <v>0</v>
      </c>
      <c r="J3639" s="2162" t="n">
        <v>0</v>
      </c>
      <c r="K3639" s="2162" t="n"/>
    </row>
    <row r="3640" outlineLevel="2" ht="15.75" customHeight="1">
      <c r="A3640" s="1067" t="n">
        <v>1</v>
      </c>
      <c r="B3640" s="1067" t="inlineStr">
        <is>
          <t>Serviço</t>
        </is>
      </c>
      <c r="C3640" s="1067" t="inlineStr">
        <is>
          <t>Rodapé de Pedra h=20cm</t>
        </is>
      </c>
      <c r="D3640" s="1067" t="inlineStr">
        <is>
          <t>Rodapé de Pedra h=20cm</t>
        </is>
      </c>
      <c r="E3640" s="1068" t="inlineStr">
        <is>
          <t>M</t>
        </is>
      </c>
      <c r="F3640" s="1067" t="n"/>
      <c r="G3640" s="1069">
        <f t="array" ref="G3640">IF(B3640="insumo",_xlfn.XLOOKUP($D3640,Insumos!$B$1:$B$996,Insumos!$D$1:$D$996),"")</f>
        <v/>
      </c>
      <c r="H3640" s="1069" t="n">
        <v>170.736825</v>
      </c>
      <c r="I3640" s="2161" t="n">
        <v>0</v>
      </c>
      <c r="J3640" s="2161" t="n">
        <v>0</v>
      </c>
      <c r="K3640" s="2161" t="n"/>
    </row>
    <row r="3641" outlineLevel="3" ht="15.75" customHeight="1">
      <c r="A3641" s="10" t="n">
        <v>10</v>
      </c>
      <c r="B3641" s="10" t="inlineStr">
        <is>
          <t>Insumo</t>
        </is>
      </c>
      <c r="C3641" s="10" t="inlineStr">
        <is>
          <t>Rodapé de Pedra h=20cm</t>
        </is>
      </c>
      <c r="D3641" s="10" t="inlineStr">
        <is>
          <t>Pedra Natural  para Revestimento</t>
        </is>
      </c>
      <c r="E3641" s="11">
        <f t="array" ref="E3641">_xlfn.XLOOKUP(D3641,Insumos!B:B,Insumos!C:$C)</f>
        <v/>
      </c>
      <c r="F3641" s="14">
        <f>0.2*1.05</f>
        <v/>
      </c>
      <c r="G3641" s="92">
        <f t="array" ref="G3641">IF(B3641="insumo",_xlfn.XLOOKUP($D3641,Insumos!$B$1:$B$996,Insumos!$D$1:$D$996),"")</f>
        <v/>
      </c>
      <c r="H3641" s="92" t="n">
        <v>168</v>
      </c>
      <c r="I3641" s="2162" t="n">
        <v>0</v>
      </c>
      <c r="J3641" s="2162" t="n">
        <v>0</v>
      </c>
      <c r="K3641" s="2162" t="n"/>
    </row>
    <row r="3642" outlineLevel="3" ht="15.75" customHeight="1">
      <c r="A3642" s="10" t="n">
        <v>191</v>
      </c>
      <c r="B3642" s="10" t="inlineStr">
        <is>
          <t>Insumo</t>
        </is>
      </c>
      <c r="C3642" s="10" t="inlineStr">
        <is>
          <t>Rodapé de Pedra h=20cm</t>
        </is>
      </c>
      <c r="D3642" s="10" t="inlineStr">
        <is>
          <t>Argamassa ACIII</t>
        </is>
      </c>
      <c r="E3642" s="11">
        <f t="array" ref="E3642">_xlfn.XLOOKUP(D3642,Insumos!B:B,Insumos!C:$C)</f>
        <v/>
      </c>
      <c r="F3642" s="14" t="n">
        <v>1.35</v>
      </c>
      <c r="G3642" s="92">
        <f t="array" ref="G3642">IF(B3642="insumo",_xlfn.XLOOKUP($D3642,Insumos!$B$1:$B$996,Insumos!$D$1:$D$996),"")</f>
        <v/>
      </c>
      <c r="H3642" s="92" t="n">
        <v>1.437075</v>
      </c>
      <c r="I3642" s="2162" t="n">
        <v>0</v>
      </c>
      <c r="J3642" s="2162" t="n">
        <v>0</v>
      </c>
      <c r="K3642" s="2162" t="n"/>
    </row>
    <row r="3643" outlineLevel="3" ht="15.75" customHeight="1">
      <c r="A3643" s="10" t="n">
        <v>34</v>
      </c>
      <c r="B3643" s="10" t="inlineStr">
        <is>
          <t>Insumo</t>
        </is>
      </c>
      <c r="C3643" s="10" t="inlineStr">
        <is>
          <t>Rodapé de Pedra h=20cm</t>
        </is>
      </c>
      <c r="D3643" s="10" t="inlineStr">
        <is>
          <t>Massa Plastica 400g</t>
        </is>
      </c>
      <c r="E3643" s="11">
        <f t="array" ref="E3643">_xlfn.XLOOKUP(D3643,Insumos!B:B,Insumos!C:$C)</f>
        <v/>
      </c>
      <c r="F3643" s="14" t="n">
        <v>0.075</v>
      </c>
      <c r="G3643" s="92">
        <f t="array" ref="G3643">IF(B3643="insumo",_xlfn.XLOOKUP($D3643,Insumos!$B$1:$B$996,Insumos!$D$1:$D$996),"")</f>
        <v/>
      </c>
      <c r="H3643" s="92" t="n">
        <v>1.29975</v>
      </c>
      <c r="I3643" s="2162" t="n">
        <v>0</v>
      </c>
      <c r="J3643" s="2162" t="n">
        <v>0</v>
      </c>
      <c r="K3643" s="2162" t="n"/>
    </row>
    <row r="3644" outlineLevel="2" ht="15.75" customHeight="1">
      <c r="A3644" s="1067" t="n">
        <v>1</v>
      </c>
      <c r="B3644" s="1067" t="inlineStr">
        <is>
          <t>Serviço</t>
        </is>
      </c>
      <c r="C3644" s="1067" t="inlineStr">
        <is>
          <t>Rodapé de Pedra Natural h=30cm</t>
        </is>
      </c>
      <c r="D3644" s="1067" t="inlineStr">
        <is>
          <t>Rodapé de Pedra Natural h=30cm</t>
        </is>
      </c>
      <c r="E3644" s="1068" t="inlineStr">
        <is>
          <t>M</t>
        </is>
      </c>
      <c r="F3644" s="1067" t="n"/>
      <c r="G3644" s="1069">
        <f t="array" ref="G3644">IF(B3644="insumo",_xlfn.XLOOKUP($D3644,Insumos!$B$1:$B$996,Insumos!$D$1:$D$996),"")</f>
        <v/>
      </c>
      <c r="H3644" s="1069" t="n">
        <v>256.1739</v>
      </c>
      <c r="I3644" s="2161" t="n">
        <v>0</v>
      </c>
      <c r="J3644" s="2161" t="n">
        <v>0</v>
      </c>
      <c r="K3644" s="2161" t="n"/>
    </row>
    <row r="3645" outlineLevel="3" ht="15.75" customHeight="1">
      <c r="A3645" s="10" t="n">
        <v>10</v>
      </c>
      <c r="B3645" s="10" t="inlineStr">
        <is>
          <t>Insumo</t>
        </is>
      </c>
      <c r="C3645" s="10" t="inlineStr">
        <is>
          <t>Rodapé de Pedra Natural h=30cm</t>
        </is>
      </c>
      <c r="D3645" s="10" t="inlineStr">
        <is>
          <t>Pedra Natural  para Revestimento</t>
        </is>
      </c>
      <c r="E3645" s="11">
        <f t="array" ref="E3645">_xlfn.XLOOKUP(D3645,Insumos!B:B,Insumos!C:$C)</f>
        <v/>
      </c>
      <c r="F3645" s="14">
        <f>0.3*1.05</f>
        <v/>
      </c>
      <c r="G3645" s="92">
        <f t="array" ref="G3645">IF(B3645="insumo",_xlfn.XLOOKUP($D3645,Insumos!$B$1:$B$996,Insumos!$D$1:$D$996),"")</f>
        <v/>
      </c>
      <c r="H3645" s="92" t="n">
        <v>252</v>
      </c>
      <c r="I3645" s="2162" t="n">
        <v>0</v>
      </c>
      <c r="J3645" s="2162" t="n">
        <v>0</v>
      </c>
      <c r="K3645" s="2162" t="n"/>
    </row>
    <row r="3646" outlineLevel="3" ht="15.75" customHeight="1">
      <c r="A3646" s="10" t="n">
        <v>191</v>
      </c>
      <c r="B3646" s="10" t="inlineStr">
        <is>
          <t>Insumo</t>
        </is>
      </c>
      <c r="C3646" s="10" t="inlineStr">
        <is>
          <t>Rodapé de Pedra Natural h=30cm</t>
        </is>
      </c>
      <c r="D3646" s="10" t="inlineStr">
        <is>
          <t>Argamassa ACIII</t>
        </is>
      </c>
      <c r="E3646" s="11">
        <f t="array" ref="E3646">_xlfn.XLOOKUP(D3646,Insumos!B:B,Insumos!C:$C)</f>
        <v/>
      </c>
      <c r="F3646" s="14">
        <f>9*0.3</f>
        <v/>
      </c>
      <c r="G3646" s="92">
        <f t="array" ref="G3646">IF(B3646="insumo",_xlfn.XLOOKUP($D3646,Insumos!$B$1:$B$996,Insumos!$D$1:$D$996),"")</f>
        <v/>
      </c>
      <c r="H3646" s="92" t="n">
        <v>2.87415</v>
      </c>
      <c r="I3646" s="2162" t="n">
        <v>0</v>
      </c>
      <c r="J3646" s="2162" t="n">
        <v>0</v>
      </c>
      <c r="K3646" s="2162" t="n"/>
    </row>
    <row r="3647" outlineLevel="3" ht="15.75" customHeight="1">
      <c r="A3647" s="10" t="n">
        <v>34</v>
      </c>
      <c r="B3647" s="10" t="inlineStr">
        <is>
          <t>Insumo</t>
        </is>
      </c>
      <c r="C3647" s="10" t="inlineStr">
        <is>
          <t>Rodapé de Pedra Natural h=30cm</t>
        </is>
      </c>
      <c r="D3647" s="10" t="inlineStr">
        <is>
          <t>Massa Plastica 400g</t>
        </is>
      </c>
      <c r="E3647" s="11">
        <f t="array" ref="E3647">_xlfn.XLOOKUP(D3647,Insumos!B:B,Insumos!C:$C)</f>
        <v/>
      </c>
      <c r="F3647" s="14" t="n">
        <v>0.075</v>
      </c>
      <c r="G3647" s="92">
        <f t="array" ref="G3647">IF(B3647="insumo",_xlfn.XLOOKUP($D3647,Insumos!$B$1:$B$996,Insumos!$D$1:$D$996),"")</f>
        <v/>
      </c>
      <c r="H3647" s="92" t="n">
        <v>1.29975</v>
      </c>
      <c r="I3647" s="2162" t="n">
        <v>0</v>
      </c>
      <c r="J3647" s="2162" t="n">
        <v>0</v>
      </c>
      <c r="K3647" s="2162" t="n"/>
    </row>
    <row r="3648" outlineLevel="2" ht="15.75" customHeight="1">
      <c r="A3648" s="1067" t="n">
        <v>1</v>
      </c>
      <c r="B3648" s="1067" t="inlineStr">
        <is>
          <t>Serviço</t>
        </is>
      </c>
      <c r="C3648" s="1067" t="inlineStr">
        <is>
          <t>Rodapé de Poliestireno h=15cm</t>
        </is>
      </c>
      <c r="D3648" s="1067" t="inlineStr">
        <is>
          <t>Rodapé de Poliestireno h=15cm</t>
        </is>
      </c>
      <c r="E3648" s="1068" t="inlineStr">
        <is>
          <t>M</t>
        </is>
      </c>
      <c r="F3648" s="1067" t="n"/>
      <c r="G3648" s="1069">
        <f t="array" ref="G3648">IF(B3648="insumo",_xlfn.XLOOKUP($D3648,Insumos!$B$1:$B$996,Insumos!$D$1:$D$996),"")</f>
        <v/>
      </c>
      <c r="H3648" s="1069" t="n">
        <v>43.8205833333333</v>
      </c>
      <c r="I3648" s="2161" t="e">
        <v>#REF!</v>
      </c>
      <c r="J3648" s="2161" t="e">
        <v>#REF!</v>
      </c>
      <c r="K3648" s="2161" t="n"/>
    </row>
    <row r="3649" outlineLevel="3" ht="15.75" customHeight="1">
      <c r="A3649" s="10" t="n">
        <v>1</v>
      </c>
      <c r="B3649" s="10" t="inlineStr">
        <is>
          <t>Insumo</t>
        </is>
      </c>
      <c r="C3649" s="10" t="inlineStr">
        <is>
          <t>Rodapé de Poliestireno h=15cm</t>
        </is>
      </c>
      <c r="D3649" s="10" t="inlineStr">
        <is>
          <t>Rodape Em Poliestireno, H = 15cm</t>
        </is>
      </c>
      <c r="E3649" s="11">
        <f t="array" ref="E3649">_xlfn.XLOOKUP(D3649,Insumos!B:B,Insumos!C:$C)</f>
        <v/>
      </c>
      <c r="F3649" s="14" t="n">
        <v>1.34</v>
      </c>
      <c r="G3649" s="92">
        <f t="array" ref="G3649">IF(B3649="insumo",_xlfn.XLOOKUP($D3649,Insumos!$B$1:$B$996,Insumos!$D$1:$D$996),"")</f>
        <v/>
      </c>
      <c r="H3649" s="92" t="n">
        <v>38.7985833333333</v>
      </c>
      <c r="I3649" s="2162" t="e">
        <v>#REF!</v>
      </c>
      <c r="J3649" s="2162" t="e">
        <v>#REF!</v>
      </c>
      <c r="K3649" s="2162" t="n"/>
    </row>
    <row r="3650" outlineLevel="3" ht="15.75" customHeight="1">
      <c r="A3650" s="10" t="n">
        <v>7</v>
      </c>
      <c r="B3650" s="10" t="inlineStr">
        <is>
          <t>Insumo</t>
        </is>
      </c>
      <c r="C3650" s="10" t="inlineStr">
        <is>
          <t>Rodapé de Poliestireno h=15cm</t>
        </is>
      </c>
      <c r="D3650" s="10" t="inlineStr">
        <is>
          <t>Adesivo Acrilico De Base Aquosa / Cola De Contato</t>
        </is>
      </c>
      <c r="E3650" s="11">
        <f t="array" ref="E3650">_xlfn.XLOOKUP(D3650,Insumos!B:B,Insumos!C:$C)</f>
        <v/>
      </c>
      <c r="F3650" s="14" t="n">
        <v>0.2</v>
      </c>
      <c r="G3650" s="92">
        <f t="array" ref="G3650">IF(B3650="insumo",_xlfn.XLOOKUP($D3650,Insumos!$B$1:$B$996,Insumos!$D$1:$D$996),"")</f>
        <v/>
      </c>
      <c r="H3650" s="92" t="n">
        <v>5.022</v>
      </c>
      <c r="I3650" s="2162" t="e">
        <v>#REF!</v>
      </c>
      <c r="J3650" s="2162" t="e">
        <v>#REF!</v>
      </c>
      <c r="K3650" s="2162" t="n"/>
    </row>
    <row r="3651" outlineLevel="2" ht="15.75" customHeight="1">
      <c r="A3651" s="1067" t="n">
        <v>1</v>
      </c>
      <c r="B3651" s="1067" t="inlineStr">
        <is>
          <t>Serviço</t>
        </is>
      </c>
      <c r="C3651" s="1067" t="inlineStr">
        <is>
          <t>Rodapé de Poliestireno h=20cm</t>
        </is>
      </c>
      <c r="D3651" s="1067" t="inlineStr">
        <is>
          <t>Rodapé de Poliestireno h=20cm</t>
        </is>
      </c>
      <c r="E3651" s="1068" t="inlineStr">
        <is>
          <t>M</t>
        </is>
      </c>
      <c r="F3651" s="1067" t="n"/>
      <c r="G3651" s="1069">
        <f t="array" ref="G3651">IF(B3651="insumo",_xlfn.XLOOKUP($D3651,Insumos!$B$1:$B$996,Insumos!$D$1:$D$996),"")</f>
        <v/>
      </c>
      <c r="H3651" s="1069" t="n">
        <v>72.357</v>
      </c>
      <c r="I3651" s="2161" t="n">
        <v>0</v>
      </c>
      <c r="J3651" s="2161" t="n">
        <v>0</v>
      </c>
      <c r="K3651" s="2161" t="n"/>
    </row>
    <row r="3652" outlineLevel="3" ht="15.75" customHeight="1">
      <c r="A3652" s="10" t="n">
        <v>1</v>
      </c>
      <c r="B3652" s="10" t="inlineStr">
        <is>
          <t>Insumo</t>
        </is>
      </c>
      <c r="C3652" s="10" t="inlineStr">
        <is>
          <t>Rodapé de Poliestireno h=20cm</t>
        </is>
      </c>
      <c r="D3652" s="10" t="inlineStr">
        <is>
          <t>Rodape Em Poliestireno, H = 20cm</t>
        </is>
      </c>
      <c r="E3652" s="11">
        <f t="array" ref="E3652">_xlfn.XLOOKUP(D3652,Insumos!B:B,Insumos!C:$C)</f>
        <v/>
      </c>
      <c r="F3652" s="14" t="n">
        <v>1.34</v>
      </c>
      <c r="G3652" s="92">
        <f t="array" ref="G3652">IF(B3652="insumo",_xlfn.XLOOKUP($D3652,Insumos!$B$1:$B$996,Insumos!$D$1:$D$996),"")</f>
        <v/>
      </c>
      <c r="H3652" s="92" t="n">
        <v>67.33499999999999</v>
      </c>
      <c r="I3652" s="2162" t="n">
        <v>0</v>
      </c>
      <c r="J3652" s="2162" t="n">
        <v>0</v>
      </c>
      <c r="K3652" s="2162" t="n"/>
    </row>
    <row r="3653" outlineLevel="3" ht="15.75" customHeight="1">
      <c r="A3653" s="10" t="n">
        <v>7</v>
      </c>
      <c r="B3653" s="10" t="inlineStr">
        <is>
          <t>Insumo</t>
        </is>
      </c>
      <c r="C3653" s="10" t="inlineStr">
        <is>
          <t>Rodapé de Poliestireno h=20cm</t>
        </is>
      </c>
      <c r="D3653" s="10" t="inlineStr">
        <is>
          <t>Adesivo Acrilico De Base Aquosa / Cola De Contato</t>
        </is>
      </c>
      <c r="E3653" s="11">
        <f t="array" ref="E3653">_xlfn.XLOOKUP(D3653,Insumos!B:B,Insumos!C:$C)</f>
        <v/>
      </c>
      <c r="F3653" s="14" t="n">
        <v>0.2</v>
      </c>
      <c r="G3653" s="92">
        <f t="array" ref="G3653">IF(B3653="insumo",_xlfn.XLOOKUP($D3653,Insumos!$B$1:$B$996,Insumos!$D$1:$D$996),"")</f>
        <v/>
      </c>
      <c r="H3653" s="92" t="n">
        <v>5.022</v>
      </c>
      <c r="I3653" s="2162" t="n">
        <v>0</v>
      </c>
      <c r="J3653" s="2162" t="n">
        <v>0</v>
      </c>
      <c r="K3653" s="2162" t="n"/>
    </row>
    <row r="3654" outlineLevel="2" ht="15.75" customHeight="1">
      <c r="A3654" s="1067" t="n">
        <v>1</v>
      </c>
      <c r="B3654" s="1067" t="inlineStr">
        <is>
          <t>Serviço</t>
        </is>
      </c>
      <c r="C3654" s="1067" t="inlineStr">
        <is>
          <t>Rodapé de Pedra Ônix Cristal Rose h=35cm</t>
        </is>
      </c>
      <c r="D3654" s="1067" t="inlineStr">
        <is>
          <t>Rodapé de Pedra Ônix Cristal Rose h=35cm</t>
        </is>
      </c>
      <c r="E3654" s="1068" t="inlineStr">
        <is>
          <t>M</t>
        </is>
      </c>
      <c r="F3654" s="1067" t="n"/>
      <c r="G3654" s="1069">
        <f t="array" ref="G3654">IF(B3654="insumo",_xlfn.XLOOKUP($D3654,Insumos!$B$1:$B$996,Insumos!$D$1:$D$996),"")</f>
        <v/>
      </c>
      <c r="H3654" s="1069" t="n">
        <v>1768.652925</v>
      </c>
      <c r="I3654" s="2161" t="e">
        <v>#REF!</v>
      </c>
      <c r="J3654" s="2161" t="e">
        <v>#REF!</v>
      </c>
      <c r="K3654" s="2161" t="n"/>
    </row>
    <row r="3655" outlineLevel="3" ht="15.75" customHeight="1">
      <c r="A3655" s="10" t="n">
        <v>1</v>
      </c>
      <c r="B3655" s="10" t="inlineStr">
        <is>
          <t>Insumo</t>
        </is>
      </c>
      <c r="C3655" s="10" t="inlineStr">
        <is>
          <t>Rodapé de Pedra Ônix Cristal Rose h=35cm</t>
        </is>
      </c>
      <c r="D3655" s="10" t="inlineStr">
        <is>
          <t>Pedra Ônix Cristal Rose</t>
        </is>
      </c>
      <c r="E3655" s="11">
        <f t="array" ref="E3655">_xlfn.XLOOKUP(D3655,Insumos!B:B,Insumos!C:$C)</f>
        <v/>
      </c>
      <c r="F3655" s="14">
        <f>0.35*1.05</f>
        <v/>
      </c>
      <c r="G3655" s="92">
        <f t="array" ref="G3655">IF(B3655="insumo",_xlfn.XLOOKUP($D3655,Insumos!$B$1:$B$996,Insumos!$D$1:$D$996),"")</f>
        <v/>
      </c>
      <c r="H3655" s="92" t="n">
        <v>1764</v>
      </c>
      <c r="I3655" s="2162" t="e">
        <v>#REF!</v>
      </c>
      <c r="J3655" s="2162" t="e">
        <v>#REF!</v>
      </c>
      <c r="K3655" s="2162" t="n"/>
    </row>
    <row r="3656" outlineLevel="3" ht="15.75" customHeight="1">
      <c r="A3656" s="10" t="n">
        <v>191</v>
      </c>
      <c r="B3656" s="10" t="inlineStr">
        <is>
          <t>Insumo</t>
        </is>
      </c>
      <c r="C3656" s="10" t="inlineStr">
        <is>
          <t>Rodapé de Pedra Ônix Cristal Rose h=35cm</t>
        </is>
      </c>
      <c r="D3656" s="10" t="inlineStr">
        <is>
          <t>Argamassa ACIII</t>
        </is>
      </c>
      <c r="E3656" s="11">
        <f t="array" ref="E3656">_xlfn.XLOOKUP(D3656,Insumos!B:B,Insumos!C:$C)</f>
        <v/>
      </c>
      <c r="F3656" s="14">
        <f>9*0.35</f>
        <v/>
      </c>
      <c r="G3656" s="92">
        <f t="array" ref="G3656">IF(B3656="insumo",_xlfn.XLOOKUP($D3656,Insumos!$B$1:$B$996,Insumos!$D$1:$D$996),"")</f>
        <v/>
      </c>
      <c r="H3656" s="92" t="n">
        <v>3.353175</v>
      </c>
      <c r="I3656" s="2162" t="e">
        <v>#REF!</v>
      </c>
      <c r="J3656" s="2162" t="e">
        <v>#REF!</v>
      </c>
      <c r="K3656" s="2162" t="n"/>
    </row>
    <row r="3657" outlineLevel="3" ht="15.75" customHeight="1">
      <c r="A3657" s="10" t="n">
        <v>34</v>
      </c>
      <c r="B3657" s="10" t="inlineStr">
        <is>
          <t>Insumo</t>
        </is>
      </c>
      <c r="C3657" s="10" t="inlineStr">
        <is>
          <t>Rodapé de Pedra Ônix Cristal Rose h=35cm</t>
        </is>
      </c>
      <c r="D3657" s="10" t="inlineStr">
        <is>
          <t>Massa Plastica 400g</t>
        </is>
      </c>
      <c r="E3657" s="11">
        <f t="array" ref="E3657">_xlfn.XLOOKUP(D3657,Insumos!B:B,Insumos!C:$C)</f>
        <v/>
      </c>
      <c r="F3657" s="14" t="n">
        <v>0.075</v>
      </c>
      <c r="G3657" s="92">
        <f t="array" ref="G3657">IF(B3657="insumo",_xlfn.XLOOKUP($D3657,Insumos!$B$1:$B$996,Insumos!$D$1:$D$996),"")</f>
        <v/>
      </c>
      <c r="H3657" s="92" t="n">
        <v>1.29975</v>
      </c>
      <c r="I3657" s="2162" t="e">
        <v>#REF!</v>
      </c>
      <c r="J3657" s="2162" t="e">
        <v>#REF!</v>
      </c>
      <c r="K3657" s="2162" t="n"/>
    </row>
    <row r="3658" outlineLevel="2" ht="15.75" customHeight="1">
      <c r="A3658" s="1067" t="n">
        <v>1</v>
      </c>
      <c r="B3658" s="1067" t="inlineStr">
        <is>
          <t>Serviço</t>
        </is>
      </c>
      <c r="C3658" s="1067" t="inlineStr">
        <is>
          <t>Rodapé de Marmore cinza h=15cm</t>
        </is>
      </c>
      <c r="D3658" s="1067" t="inlineStr">
        <is>
          <t>Rodapé de Marmore cinza h=15cm</t>
        </is>
      </c>
      <c r="E3658" s="1068" t="inlineStr">
        <is>
          <t>M</t>
        </is>
      </c>
      <c r="F3658" s="1067" t="n"/>
      <c r="G3658" s="1069">
        <f t="array" ref="G3658">IF(B3658="insumo",_xlfn.XLOOKUP($D3658,Insumos!$B$1:$B$996,Insumos!$D$1:$D$996),"")</f>
        <v/>
      </c>
      <c r="H3658" s="1069" t="n">
        <v>81.936825</v>
      </c>
      <c r="I3658" s="2161" t="n">
        <v>0</v>
      </c>
      <c r="J3658" s="2161" t="n">
        <v>0</v>
      </c>
      <c r="K3658" s="2161" t="n"/>
    </row>
    <row r="3659" outlineLevel="3" ht="15.75" customHeight="1">
      <c r="A3659" s="10" t="n">
        <v>3</v>
      </c>
      <c r="B3659" s="10" t="inlineStr">
        <is>
          <t>Insumo</t>
        </is>
      </c>
      <c r="C3659" s="10" t="inlineStr">
        <is>
          <t>Rodapé de Marmore cinza h=15cm</t>
        </is>
      </c>
      <c r="D3659" s="10" t="inlineStr">
        <is>
          <t>Marmore Cinza</t>
        </is>
      </c>
      <c r="E3659" s="11">
        <f t="array" ref="E3659">_xlfn.XLOOKUP(D3659,Insumos!B:B,Insumos!C:$C)</f>
        <v/>
      </c>
      <c r="F3659" s="14" t="n">
        <v>0.165</v>
      </c>
      <c r="G3659" s="92">
        <f t="array" ref="G3659">IF(B3659="insumo",_xlfn.XLOOKUP($D3659,Insumos!$B$1:$B$996,Insumos!$D$1:$D$996),"")</f>
        <v/>
      </c>
      <c r="H3659" s="92" t="n">
        <v>79.2</v>
      </c>
      <c r="I3659" s="2162" t="n">
        <v>0</v>
      </c>
      <c r="J3659" s="2162" t="n">
        <v>0</v>
      </c>
      <c r="K3659" s="2162" t="n"/>
    </row>
    <row r="3660" outlineLevel="3" ht="15.75" customHeight="1">
      <c r="A3660" s="10" t="n">
        <v>191</v>
      </c>
      <c r="B3660" s="10" t="inlineStr">
        <is>
          <t>Insumo</t>
        </is>
      </c>
      <c r="C3660" s="10" t="inlineStr">
        <is>
          <t>Rodapé de Marmore cinza h=15cm</t>
        </is>
      </c>
      <c r="D3660" s="10" t="inlineStr">
        <is>
          <t>Argamassa ACIII</t>
        </is>
      </c>
      <c r="E3660" s="11">
        <f t="array" ref="E3660">_xlfn.XLOOKUP(D3660,Insumos!B:B,Insumos!C:$C)</f>
        <v/>
      </c>
      <c r="F3660" s="14" t="n">
        <v>1.35</v>
      </c>
      <c r="G3660" s="92">
        <f t="array" ref="G3660">IF(B3660="insumo",_xlfn.XLOOKUP($D3660,Insumos!$B$1:$B$996,Insumos!$D$1:$D$996),"")</f>
        <v/>
      </c>
      <c r="H3660" s="92" t="n">
        <v>1.437075</v>
      </c>
      <c r="I3660" s="2162" t="n">
        <v>0</v>
      </c>
      <c r="J3660" s="2162" t="n">
        <v>0</v>
      </c>
      <c r="K3660" s="2162" t="n"/>
    </row>
    <row r="3661" outlineLevel="3" ht="15.75" customHeight="1">
      <c r="A3661" s="10" t="n">
        <v>34</v>
      </c>
      <c r="B3661" s="10" t="inlineStr">
        <is>
          <t>Insumo</t>
        </is>
      </c>
      <c r="C3661" s="10" t="inlineStr">
        <is>
          <t>Rodapé de Marmore cinza h=15cm</t>
        </is>
      </c>
      <c r="D3661" s="10" t="inlineStr">
        <is>
          <t>Massa Plastica 400g</t>
        </is>
      </c>
      <c r="E3661" s="11">
        <f t="array" ref="E3661">_xlfn.XLOOKUP(D3661,Insumos!B:B,Insumos!C:$C)</f>
        <v/>
      </c>
      <c r="F3661" s="14" t="n">
        <v>0.075</v>
      </c>
      <c r="G3661" s="92">
        <f t="array" ref="G3661">IF(B3661="insumo",_xlfn.XLOOKUP($D3661,Insumos!$B$1:$B$996,Insumos!$D$1:$D$996),"")</f>
        <v/>
      </c>
      <c r="H3661" s="92" t="n">
        <v>1.29975</v>
      </c>
      <c r="I3661" s="2162" t="n">
        <v>0</v>
      </c>
      <c r="J3661" s="2162" t="n">
        <v>0</v>
      </c>
      <c r="K3661" s="2162" t="n"/>
    </row>
    <row r="3662" outlineLevel="2" ht="15.75" customHeight="1">
      <c r="A3662" s="1067" t="n">
        <v>1</v>
      </c>
      <c r="B3662" s="1067" t="inlineStr">
        <is>
          <t>Serviço</t>
        </is>
      </c>
      <c r="C3662" s="1067" t="inlineStr">
        <is>
          <t>Rodapé de Poliestireno Santa Luzia h=5cm</t>
        </is>
      </c>
      <c r="D3662" s="1067" t="inlineStr">
        <is>
          <t>Rodapé de Poliestireno Santa Luzia h=5cm</t>
        </is>
      </c>
      <c r="E3662" s="1068" t="inlineStr">
        <is>
          <t>M</t>
        </is>
      </c>
      <c r="F3662" s="1067" t="n"/>
      <c r="G3662" s="1069">
        <f t="array" ref="G3662">IF(B3662="insumo",_xlfn.XLOOKUP($D3662,Insumos!$B$1:$B$996,Insumos!$D$1:$D$996),"")</f>
        <v/>
      </c>
      <c r="H3662" s="1069" t="n">
        <v>34.1111666666667</v>
      </c>
      <c r="I3662" s="2161" t="n">
        <v>0</v>
      </c>
      <c r="J3662" s="2161" t="n">
        <v>0</v>
      </c>
      <c r="K3662" s="2161" t="n"/>
    </row>
    <row r="3663" outlineLevel="3" ht="15.75" customHeight="1">
      <c r="A3663" s="10" t="n">
        <v>7</v>
      </c>
      <c r="B3663" s="10" t="inlineStr">
        <is>
          <t>Insumo</t>
        </is>
      </c>
      <c r="C3663" s="10" t="inlineStr">
        <is>
          <t>Rodapé de Poliestireno Santa Luzia h=5cm</t>
        </is>
      </c>
      <c r="D3663" s="10" t="inlineStr">
        <is>
          <t>Adesivo Acrilico De Base Aquosa / Cola De Contato</t>
        </is>
      </c>
      <c r="E3663" s="11">
        <f t="array" ref="E3663">_xlfn.XLOOKUP(D3663,Insumos!B:B,Insumos!C:$C)</f>
        <v/>
      </c>
      <c r="F3663" s="14" t="n">
        <v>0.2</v>
      </c>
      <c r="G3663" s="92">
        <f t="array" ref="G3663">IF(B3663="insumo",_xlfn.XLOOKUP($D3663,Insumos!$B$1:$B$996,Insumos!$D$1:$D$996),"")</f>
        <v/>
      </c>
      <c r="H3663" s="92" t="n">
        <v>5.022</v>
      </c>
      <c r="I3663" s="2162" t="n">
        <v>0</v>
      </c>
      <c r="J3663" s="2162" t="n">
        <v>0</v>
      </c>
      <c r="K3663" s="2162" t="n"/>
    </row>
    <row r="3664" outlineLevel="3" ht="15.75" customHeight="1">
      <c r="A3664" s="10" t="n">
        <v>1</v>
      </c>
      <c r="B3664" s="10" t="inlineStr">
        <is>
          <t>Insumo</t>
        </is>
      </c>
      <c r="C3664" s="10" t="inlineStr">
        <is>
          <t>Rodapé de Poliestireno Santa Luzia h=5cm</t>
        </is>
      </c>
      <c r="D3664" s="10" t="inlineStr">
        <is>
          <t xml:space="preserve">Rodapé De Poliestireno Santa Luzia Moderna 473 Branco 5cm </t>
        </is>
      </c>
      <c r="E3664" s="11">
        <f t="array" ref="E3664">_xlfn.XLOOKUP(D3664,Insumos!B:B,Insumos!C:$C)</f>
        <v/>
      </c>
      <c r="F3664" s="14" t="n">
        <v>1.34</v>
      </c>
      <c r="G3664" s="92">
        <f t="array" ref="G3664">IF(B3664="insumo",_xlfn.XLOOKUP($D3664,Insumos!$B$1:$B$996,Insumos!$D$1:$D$996),"")</f>
        <v/>
      </c>
      <c r="H3664" s="92" t="n">
        <v>29.0891666666667</v>
      </c>
      <c r="I3664" s="2162" t="n">
        <v>0</v>
      </c>
      <c r="J3664" s="2162" t="n">
        <v>0</v>
      </c>
      <c r="K3664" s="2162" t="n"/>
    </row>
    <row r="3665" outlineLevel="2" ht="15.75" customHeight="1">
      <c r="A3665" s="1067" t="n">
        <v>1</v>
      </c>
      <c r="B3665" s="1067" t="inlineStr">
        <is>
          <t>Serviço</t>
        </is>
      </c>
      <c r="C3665" s="1067" t="inlineStr">
        <is>
          <t>Rodape Branco Zeus - 20Cm</t>
        </is>
      </c>
      <c r="D3665" s="1067" t="inlineStr">
        <is>
          <t>Rodape Branco Zeus - 20Cm</t>
        </is>
      </c>
      <c r="E3665" s="1068" t="inlineStr">
        <is>
          <t>M</t>
        </is>
      </c>
      <c r="F3665" s="1067" t="n"/>
      <c r="G3665" s="1069">
        <f t="array" ref="G3665">IF(B3665="insumo",_xlfn.XLOOKUP($D3665,Insumos!$B$1:$B$996,Insumos!$D$1:$D$996),"")</f>
        <v/>
      </c>
      <c r="H3665" s="1069" t="n">
        <v>51.922</v>
      </c>
      <c r="I3665" s="2161" t="n">
        <v>0</v>
      </c>
      <c r="J3665" s="2161" t="n">
        <v>0</v>
      </c>
      <c r="K3665" s="2161" t="n"/>
    </row>
    <row r="3666" outlineLevel="3" ht="15.75" customHeight="1">
      <c r="A3666" s="10" t="n">
        <v>7</v>
      </c>
      <c r="B3666" s="10" t="inlineStr">
        <is>
          <t>Insumo</t>
        </is>
      </c>
      <c r="C3666" s="10" t="inlineStr">
        <is>
          <t>Rodape Branco Zeus - 20Cm</t>
        </is>
      </c>
      <c r="D3666" s="10" t="inlineStr">
        <is>
          <t>Adesivo Acrilico De Base Aquosa / Cola De Contato</t>
        </is>
      </c>
      <c r="E3666" s="11">
        <f t="array" ref="E3666">_xlfn.XLOOKUP(D3666,Insumos!B:B,Insumos!C:$C)</f>
        <v/>
      </c>
      <c r="F3666" s="14" t="n">
        <v>0.2</v>
      </c>
      <c r="G3666" s="92">
        <f t="array" ref="G3666">IF(B3666="insumo",_xlfn.XLOOKUP($D3666,Insumos!$B$1:$B$996,Insumos!$D$1:$D$996),"")</f>
        <v/>
      </c>
      <c r="H3666" s="92" t="n">
        <v>5.022</v>
      </c>
      <c r="I3666" s="2162" t="n">
        <v>0</v>
      </c>
      <c r="J3666" s="2162" t="n">
        <v>0</v>
      </c>
      <c r="K3666" s="2162" t="n"/>
    </row>
    <row r="3667" outlineLevel="3" ht="15.75" customHeight="1">
      <c r="A3667" s="10" t="n">
        <v>1</v>
      </c>
      <c r="B3667" s="10" t="inlineStr">
        <is>
          <t>Insumo</t>
        </is>
      </c>
      <c r="C3667" s="10" t="inlineStr">
        <is>
          <t>Rodape Branco Zeus - 20Cm</t>
        </is>
      </c>
      <c r="D3667" s="10" t="inlineStr">
        <is>
          <t>Rodape Branco Zeus - 20Cm</t>
        </is>
      </c>
      <c r="E3667" s="11">
        <f t="array" ref="E3667">_xlfn.XLOOKUP(D3667,Insumos!B:B,Insumos!C:$C)</f>
        <v/>
      </c>
      <c r="F3667" s="14" t="n">
        <v>1.34</v>
      </c>
      <c r="G3667" s="92">
        <f t="array" ref="G3667">IF(B3667="insumo",_xlfn.XLOOKUP($D3667,Insumos!$B$1:$B$996,Insumos!$D$1:$D$996),"")</f>
        <v/>
      </c>
      <c r="H3667" s="92" t="n">
        <v>46.9</v>
      </c>
      <c r="I3667" s="2162" t="n">
        <v>0</v>
      </c>
      <c r="J3667" s="2162" t="n">
        <v>0</v>
      </c>
      <c r="K3667" s="2162" t="n"/>
    </row>
    <row r="3668" outlineLevel="2" ht="15.75" customHeight="1">
      <c r="A3668" s="1067" t="n">
        <v>1</v>
      </c>
      <c r="B3668" s="1067" t="inlineStr">
        <is>
          <t>Serviço</t>
        </is>
      </c>
      <c r="C3668" s="1067" t="inlineStr">
        <is>
          <t>Rodapé de poliestireno h=10cm</t>
        </is>
      </c>
      <c r="D3668" s="1067" t="inlineStr">
        <is>
          <t>Rodapé de poliestireno h=10cm</t>
        </is>
      </c>
      <c r="E3668" s="1068" t="inlineStr">
        <is>
          <t>M</t>
        </is>
      </c>
      <c r="F3668" s="1067" t="n"/>
      <c r="G3668" s="1069">
        <f t="array" ref="G3668">IF(B3668="insumo",_xlfn.XLOOKUP($D3668,Insumos!$B$1:$B$996,Insumos!$D$1:$D$996),"")</f>
        <v/>
      </c>
      <c r="H3668" s="1069" t="n">
        <v>33.8722</v>
      </c>
      <c r="I3668" s="2161" t="n">
        <v>0</v>
      </c>
      <c r="J3668" s="2161" t="n">
        <v>0</v>
      </c>
      <c r="K3668" s="2161" t="n"/>
    </row>
    <row r="3669" outlineLevel="3" ht="15.75" customHeight="1">
      <c r="A3669" s="10" t="n">
        <v>7</v>
      </c>
      <c r="B3669" s="10" t="inlineStr">
        <is>
          <t>Insumo</t>
        </is>
      </c>
      <c r="C3669" s="10" t="inlineStr">
        <is>
          <t>Rodapé de poliestireno h=10cm</t>
        </is>
      </c>
      <c r="D3669" s="10" t="inlineStr">
        <is>
          <t>Adesivo Acrilico De Base Aquosa / Cola De Contato</t>
        </is>
      </c>
      <c r="E3669" s="11">
        <f t="array" ref="E3669">_xlfn.XLOOKUP(D3669,Insumos!B:B,Insumos!C:$C)</f>
        <v/>
      </c>
      <c r="F3669" s="14" t="n">
        <v>0.2</v>
      </c>
      <c r="G3669" s="92">
        <f t="array" ref="G3669">IF(B3669="insumo",_xlfn.XLOOKUP($D3669,Insumos!$B$1:$B$996,Insumos!$D$1:$D$996),"")</f>
        <v/>
      </c>
      <c r="H3669" s="92" t="n">
        <v>5.022</v>
      </c>
      <c r="I3669" s="2162" t="n">
        <v>0</v>
      </c>
      <c r="J3669" s="2162" t="n">
        <v>0</v>
      </c>
      <c r="K3669" s="2162" t="n"/>
    </row>
    <row r="3670" outlineLevel="3" ht="15.75" customHeight="1">
      <c r="A3670" s="10" t="n">
        <v>1</v>
      </c>
      <c r="B3670" s="10" t="inlineStr">
        <is>
          <t>Insumo</t>
        </is>
      </c>
      <c r="C3670" s="10" t="inlineStr">
        <is>
          <t>Rodapé de poliestireno h=10cm</t>
        </is>
      </c>
      <c r="D3670" s="10" t="inlineStr">
        <is>
          <t>Rodape Em Poliestireno, H = 10cm</t>
        </is>
      </c>
      <c r="E3670" s="11">
        <f t="array" ref="E3670">_xlfn.XLOOKUP(D3670,Insumos!B:B,Insumos!C:$C)</f>
        <v/>
      </c>
      <c r="F3670" s="14" t="n">
        <v>1.34</v>
      </c>
      <c r="G3670" s="92">
        <f t="array" ref="G3670">IF(B3670="insumo",_xlfn.XLOOKUP($D3670,Insumos!$B$1:$B$996,Insumos!$D$1:$D$996),"")</f>
        <v/>
      </c>
      <c r="H3670" s="92" t="n">
        <v>28.8502</v>
      </c>
      <c r="I3670" s="2162" t="n">
        <v>0</v>
      </c>
      <c r="J3670" s="2162" t="n">
        <v>0</v>
      </c>
      <c r="K3670" s="2162" t="n"/>
    </row>
    <row r="3671" outlineLevel="2" ht="16.5" customHeight="1">
      <c r="A3671" s="1067" t="n">
        <v>1</v>
      </c>
      <c r="B3671" s="1067" t="inlineStr">
        <is>
          <t>Serviço</t>
        </is>
      </c>
      <c r="C3671" s="1067" t="inlineStr">
        <is>
          <t>Rodapé de poliestireno h=7cm</t>
        </is>
      </c>
      <c r="D3671" s="1067" t="inlineStr">
        <is>
          <t>Rodapé de poliestireno h=7cm</t>
        </is>
      </c>
      <c r="E3671" s="1068" t="inlineStr">
        <is>
          <t>M</t>
        </is>
      </c>
      <c r="F3671" s="1067" t="n"/>
      <c r="G3671" s="1069">
        <f t="array" ref="G3671">IF(B3671="insumo",_xlfn.XLOOKUP($D3671,Insumos!$B$1:$B$996,Insumos!$D$1:$D$996),"")</f>
        <v/>
      </c>
      <c r="H3671" s="1069" t="n">
        <v>27.926352</v>
      </c>
      <c r="I3671" s="2161" t="n">
        <v>0</v>
      </c>
      <c r="J3671" s="2161" t="n">
        <v>0</v>
      </c>
      <c r="K3671" s="2161" t="n"/>
    </row>
    <row r="3672" outlineLevel="3" ht="15.75" customHeight="1">
      <c r="A3672" s="10" t="n">
        <v>7</v>
      </c>
      <c r="B3672" s="10" t="inlineStr">
        <is>
          <t>Insumo</t>
        </is>
      </c>
      <c r="C3672" s="10" t="inlineStr">
        <is>
          <t>Rodapé de poliestireno h=7cm</t>
        </is>
      </c>
      <c r="D3672" s="10" t="inlineStr">
        <is>
          <t>Adesivo Acrilico De Base Aquosa / Cola De Contato</t>
        </is>
      </c>
      <c r="E3672" s="11">
        <f t="array" ref="E3672">_xlfn.XLOOKUP(D3672,Insumos!B:B,Insumos!C:$C)</f>
        <v/>
      </c>
      <c r="F3672" s="14" t="n">
        <v>0.2</v>
      </c>
      <c r="G3672" s="92">
        <f t="array" ref="G3672">IF(B3672="insumo",_xlfn.XLOOKUP($D3672,Insumos!$B$1:$B$996,Insumos!$D$1:$D$996),"")</f>
        <v/>
      </c>
      <c r="H3672" s="92" t="n">
        <v>5.022</v>
      </c>
      <c r="I3672" s="2162" t="n">
        <v>0</v>
      </c>
      <c r="J3672" s="2162" t="n">
        <v>0</v>
      </c>
      <c r="K3672" s="2162" t="n"/>
    </row>
    <row r="3673" outlineLevel="3" ht="15.75" customHeight="1">
      <c r="A3673" s="10" t="n">
        <v>1</v>
      </c>
      <c r="B3673" s="10" t="inlineStr">
        <is>
          <t>Insumo</t>
        </is>
      </c>
      <c r="C3673" s="10" t="inlineStr">
        <is>
          <t>Rodapé de poliestireno h=7cm</t>
        </is>
      </c>
      <c r="D3673" s="10" t="inlineStr">
        <is>
          <t>Rodape Em Poliestireno, H = 7cm</t>
        </is>
      </c>
      <c r="E3673" s="11">
        <f t="array" ref="E3673">_xlfn.XLOOKUP(D3673,Insumos!B:B,Insumos!C:$C)</f>
        <v/>
      </c>
      <c r="F3673" s="14" t="n">
        <v>1.34</v>
      </c>
      <c r="G3673" s="92">
        <f t="array" ref="G3673">IF(B3673="insumo",_xlfn.XLOOKUP($D3673,Insumos!$B$1:$B$996,Insumos!$D$1:$D$996),"")</f>
        <v/>
      </c>
      <c r="H3673" s="92" t="n">
        <v>22.904352</v>
      </c>
      <c r="I3673" s="2162" t="n">
        <v>0</v>
      </c>
      <c r="J3673" s="2162" t="n">
        <v>0</v>
      </c>
      <c r="K3673" s="2162" t="n"/>
    </row>
    <row r="3674" outlineLevel="2" ht="12.75" customHeight="1">
      <c r="A3674" s="1071" t="n">
        <v>1</v>
      </c>
      <c r="B3674" s="1071" t="inlineStr">
        <is>
          <t>Serviço</t>
        </is>
      </c>
      <c r="C3674" s="1071" t="inlineStr">
        <is>
          <t>Rodapé de cerâmico h=10cm</t>
        </is>
      </c>
      <c r="D3674" s="1071" t="inlineStr">
        <is>
          <t>Rodapé de cerâmico h=10cm</t>
        </is>
      </c>
      <c r="E3674" s="1072" t="inlineStr">
        <is>
          <t>M</t>
        </is>
      </c>
      <c r="F3674" s="1071" t="n"/>
      <c r="G3674" s="1073">
        <f t="array" ref="G3674">IF(B3674="insumo",_xlfn.XLOOKUP($D3674,Insumos!$B$1:$B$996,Insumos!$D$1:$D$996),"")</f>
        <v/>
      </c>
      <c r="H3674" s="1073" t="n">
        <v>8.11905</v>
      </c>
      <c r="I3674" s="2163" t="n">
        <v>0</v>
      </c>
      <c r="J3674" s="2163" t="n">
        <v>0</v>
      </c>
      <c r="K3674" s="2163" t="n"/>
    </row>
    <row r="3675" outlineLevel="3" ht="12.75" customHeight="1">
      <c r="A3675" s="82" t="n">
        <v>4</v>
      </c>
      <c r="B3675" s="82" t="inlineStr">
        <is>
          <t>Insumo</t>
        </is>
      </c>
      <c r="C3675" s="82" t="inlineStr">
        <is>
          <t>Rodapé de cerâmico h=10cm</t>
        </is>
      </c>
      <c r="D3675" s="82" t="inlineStr">
        <is>
          <t>Piso Cargo Plus 45x45cm White Eliane</t>
        </is>
      </c>
      <c r="E3675" s="11">
        <f t="array" ref="E3675">_xlfn.XLOOKUP(D3675,Insumos!B:B,Insumos!C:$C)</f>
        <v/>
      </c>
      <c r="F3675" s="2164" t="n">
        <v>0.11</v>
      </c>
      <c r="G3675" s="92">
        <f t="array" ref="G3675">IF(B3675="insumo",_xlfn.XLOOKUP($D3675,Insumos!$B$1:$B$996,Insumos!$D$1:$D$996),"")</f>
        <v/>
      </c>
      <c r="H3675" s="92" t="n">
        <v>4.939</v>
      </c>
      <c r="I3675" s="2165" t="n">
        <v>0</v>
      </c>
      <c r="J3675" s="2165" t="n">
        <v>0</v>
      </c>
      <c r="K3675" s="2165" t="n"/>
    </row>
    <row r="3676" outlineLevel="3" ht="12.75" customHeight="1">
      <c r="A3676" s="82" t="n">
        <v>191</v>
      </c>
      <c r="B3676" s="82" t="inlineStr">
        <is>
          <t>Insumo</t>
        </is>
      </c>
      <c r="C3676" s="82" t="inlineStr">
        <is>
          <t>Rodapé de cerâmico h=10cm</t>
        </is>
      </c>
      <c r="D3676" s="82" t="inlineStr">
        <is>
          <t>Argamassa ACIII</t>
        </is>
      </c>
      <c r="E3676" s="11">
        <f t="array" ref="E3676">_xlfn.XLOOKUP(D3676,Insumos!B:B,Insumos!C:$C)</f>
        <v/>
      </c>
      <c r="F3676" s="2164" t="n">
        <v>0.9</v>
      </c>
      <c r="G3676" s="92">
        <f t="array" ref="G3676">IF(B3676="insumo",_xlfn.XLOOKUP($D3676,Insumos!$B$1:$B$996,Insumos!$D$1:$D$996),"")</f>
        <v/>
      </c>
      <c r="H3676" s="92" t="n">
        <v>0.95805</v>
      </c>
      <c r="I3676" s="2165" t="n">
        <v>0</v>
      </c>
      <c r="J3676" s="2165" t="n">
        <v>0</v>
      </c>
      <c r="K3676" s="2165" t="n"/>
    </row>
    <row r="3677" outlineLevel="3" ht="12.75" customHeight="1">
      <c r="A3677" s="82" t="n">
        <v>142</v>
      </c>
      <c r="B3677" s="82" t="inlineStr">
        <is>
          <t>Insumo</t>
        </is>
      </c>
      <c r="C3677" s="82" t="inlineStr">
        <is>
          <t>Rodapé de cerâmico h=10cm</t>
        </is>
      </c>
      <c r="D3677" s="82" t="inlineStr">
        <is>
          <t>Espeçador junta piso 2mm</t>
        </is>
      </c>
      <c r="E3677" s="11">
        <f t="array" ref="E3677">_xlfn.XLOOKUP(D3677,Insumos!B:B,Insumos!C:$C)</f>
        <v/>
      </c>
      <c r="F3677" s="2164" t="n">
        <v>0.4</v>
      </c>
      <c r="G3677" s="92">
        <f t="array" ref="G3677">IF(B3677="insumo",_xlfn.XLOOKUP($D3677,Insumos!$B$1:$B$996,Insumos!$D$1:$D$996),"")</f>
        <v/>
      </c>
      <c r="H3677" s="92" t="n">
        <v>0.032</v>
      </c>
      <c r="I3677" s="2165" t="n">
        <v>0</v>
      </c>
      <c r="J3677" s="2165" t="n">
        <v>0</v>
      </c>
      <c r="K3677" s="2165" t="n"/>
    </row>
    <row r="3678" outlineLevel="3" ht="12.75" customHeight="1">
      <c r="A3678" s="82" t="n">
        <v>22</v>
      </c>
      <c r="B3678" s="82" t="inlineStr">
        <is>
          <t>Insumo</t>
        </is>
      </c>
      <c r="C3678" s="82" t="inlineStr">
        <is>
          <t>Rodapé de cerâmico h=10cm</t>
        </is>
      </c>
      <c r="D3678" s="82" t="inlineStr">
        <is>
          <t>Rejunte acrilico</t>
        </is>
      </c>
      <c r="E3678" s="11">
        <f t="array" ref="E3678">_xlfn.XLOOKUP(D3678,Insumos!B:B,Insumos!C:$C)</f>
        <v/>
      </c>
      <c r="F3678" s="2164" t="n">
        <v>0.05</v>
      </c>
      <c r="G3678" s="92">
        <f t="array" ref="G3678">IF(B3678="insumo",_xlfn.XLOOKUP($D3678,Insumos!$B$1:$B$996,Insumos!$D$1:$D$996),"")</f>
        <v/>
      </c>
      <c r="H3678" s="92" t="n">
        <v>2.19</v>
      </c>
      <c r="I3678" s="2165" t="n">
        <v>0</v>
      </c>
      <c r="J3678" s="2165" t="n">
        <v>0</v>
      </c>
      <c r="K3678" s="2165" t="n"/>
    </row>
    <row r="3679" outlineLevel="2" ht="15.75" customHeight="1">
      <c r="A3679" s="1067" t="n">
        <v>1</v>
      </c>
      <c r="B3679" s="1067" t="inlineStr">
        <is>
          <t>Serviço</t>
        </is>
      </c>
      <c r="C3679" s="1067" t="inlineStr">
        <is>
          <t>Rodapé de Cerâmico h=15cm</t>
        </is>
      </c>
      <c r="D3679" s="1067" t="inlineStr">
        <is>
          <t>Rodapé de Cerâmico h=15cm</t>
        </is>
      </c>
      <c r="E3679" s="1068" t="inlineStr">
        <is>
          <t>M</t>
        </is>
      </c>
      <c r="F3679" s="1067" t="n"/>
      <c r="G3679" s="1069">
        <f t="array" ref="G3679">IF(B3679="insumo",_xlfn.XLOOKUP($D3679,Insumos!$B$1:$B$996,Insumos!$D$1:$D$996),"")</f>
        <v/>
      </c>
      <c r="H3679" s="1069" t="n">
        <v>10.114275</v>
      </c>
      <c r="I3679" s="2161" t="e">
        <v>#REF!</v>
      </c>
      <c r="J3679" s="2161" t="e">
        <v>#REF!</v>
      </c>
      <c r="K3679" s="2161" t="n"/>
    </row>
    <row r="3680" outlineLevel="3" ht="15.75" customHeight="1">
      <c r="A3680" s="10" t="n">
        <v>6</v>
      </c>
      <c r="B3680" s="10" t="inlineStr">
        <is>
          <t>Insumo</t>
        </is>
      </c>
      <c r="C3680" s="10" t="inlineStr">
        <is>
          <t>Rodapé de Cerâmico h=15cm</t>
        </is>
      </c>
      <c r="D3680" s="10" t="inlineStr">
        <is>
          <t>Cer. Karina Artisan 60305 Act. 60x60 Ret</t>
        </is>
      </c>
      <c r="E3680" s="11">
        <f t="array" ref="E3680">_xlfn.XLOOKUP(D3680,Insumos!B:B,Insumos!C:$C)</f>
        <v/>
      </c>
      <c r="F3680" s="14" t="n">
        <v>0.165</v>
      </c>
      <c r="G3680" s="92">
        <f t="array" ref="G3680">IF(B3680="insumo",_xlfn.XLOOKUP($D3680,Insumos!$B$1:$B$996,Insumos!$D$1:$D$996),"")</f>
        <v/>
      </c>
      <c r="H3680" s="92" t="n">
        <v>7.79295</v>
      </c>
      <c r="I3680" s="2162" t="e">
        <v>#REF!</v>
      </c>
      <c r="J3680" s="2162" t="e">
        <v>#REF!</v>
      </c>
      <c r="K3680" s="2162" t="n"/>
    </row>
    <row r="3681" outlineLevel="3" ht="15.75" customHeight="1">
      <c r="A3681" s="10" t="n">
        <v>191</v>
      </c>
      <c r="B3681" s="10" t="inlineStr">
        <is>
          <t>Insumo</t>
        </is>
      </c>
      <c r="C3681" s="10" t="inlineStr">
        <is>
          <t>Rodapé de Cerâmico h=15cm</t>
        </is>
      </c>
      <c r="D3681" s="10" t="inlineStr">
        <is>
          <t>Argamassa ACIII</t>
        </is>
      </c>
      <c r="E3681" s="11">
        <f t="array" ref="E3681">_xlfn.XLOOKUP(D3681,Insumos!B:B,Insumos!C:$C)</f>
        <v/>
      </c>
      <c r="F3681" s="14" t="n">
        <v>1.35</v>
      </c>
      <c r="G3681" s="92">
        <f t="array" ref="G3681">IF(B3681="insumo",_xlfn.XLOOKUP($D3681,Insumos!$B$1:$B$996,Insumos!$D$1:$D$996),"")</f>
        <v/>
      </c>
      <c r="H3681" s="92" t="n">
        <v>1.437075</v>
      </c>
      <c r="I3681" s="2162" t="e">
        <v>#REF!</v>
      </c>
      <c r="J3681" s="2162" t="e">
        <v>#REF!</v>
      </c>
      <c r="K3681" s="2162" t="n"/>
    </row>
    <row r="3682" outlineLevel="3" ht="15.75" customHeight="1">
      <c r="A3682" s="10" t="n">
        <v>142</v>
      </c>
      <c r="B3682" s="10" t="inlineStr">
        <is>
          <t>Insumo</t>
        </is>
      </c>
      <c r="C3682" s="10" t="inlineStr">
        <is>
          <t>Rodapé de Cerâmico h=15cm</t>
        </is>
      </c>
      <c r="D3682" s="10" t="inlineStr">
        <is>
          <t>Espeçador junta piso 2mm</t>
        </is>
      </c>
      <c r="E3682" s="11">
        <f t="array" ref="E3682">_xlfn.XLOOKUP(D3682,Insumos!B:B,Insumos!C:$C)</f>
        <v/>
      </c>
      <c r="F3682" s="14" t="n">
        <v>0.6</v>
      </c>
      <c r="G3682" s="92">
        <f t="array" ref="G3682">IF(B3682="insumo",_xlfn.XLOOKUP($D3682,Insumos!$B$1:$B$996,Insumos!$D$1:$D$996),"")</f>
        <v/>
      </c>
      <c r="H3682" s="92" t="n">
        <v>0.048</v>
      </c>
      <c r="I3682" s="2162" t="e">
        <v>#REF!</v>
      </c>
      <c r="J3682" s="2162" t="e">
        <v>#REF!</v>
      </c>
      <c r="K3682" s="2162" t="n"/>
    </row>
    <row r="3683" outlineLevel="3" ht="15.75" customHeight="1">
      <c r="A3683" s="10" t="n">
        <v>101</v>
      </c>
      <c r="B3683" s="10" t="inlineStr">
        <is>
          <t>Insumo</t>
        </is>
      </c>
      <c r="C3683" s="10" t="inlineStr">
        <is>
          <t>Rodapé de Cerâmico h=15cm</t>
        </is>
      </c>
      <c r="D3683" s="10" t="inlineStr">
        <is>
          <t>Rejunte Cimentício</t>
        </is>
      </c>
      <c r="E3683" s="11">
        <f t="array" ref="E3683">_xlfn.XLOOKUP(D3683,Insumos!B:B,Insumos!C:$C)</f>
        <v/>
      </c>
      <c r="F3683" s="14" t="n">
        <v>0.075</v>
      </c>
      <c r="G3683" s="92">
        <f t="array" ref="G3683">IF(B3683="insumo",_xlfn.XLOOKUP($D3683,Insumos!$B$1:$B$996,Insumos!$D$1:$D$996),"")</f>
        <v/>
      </c>
      <c r="H3683" s="92" t="n">
        <v>0.83625</v>
      </c>
      <c r="I3683" s="2162" t="e">
        <v>#REF!</v>
      </c>
      <c r="J3683" s="2162" t="e">
        <v>#REF!</v>
      </c>
      <c r="K3683" s="2162" t="n"/>
    </row>
    <row r="3684" outlineLevel="2" ht="12.75" customHeight="1">
      <c r="A3684" s="1071" t="n">
        <v>1</v>
      </c>
      <c r="B3684" s="1071" t="inlineStr">
        <is>
          <t>Serviço</t>
        </is>
      </c>
      <c r="C3684" s="1071" t="inlineStr">
        <is>
          <t>Rodapé de cerâmico h=43cm</t>
        </is>
      </c>
      <c r="D3684" s="1071" t="inlineStr">
        <is>
          <t>Rodapé de cerâmico h=43cm</t>
        </is>
      </c>
      <c r="E3684" s="1072" t="inlineStr">
        <is>
          <t>M</t>
        </is>
      </c>
      <c r="F3684" s="1071" t="n"/>
      <c r="G3684" s="1073">
        <f t="array" ref="G3684">IF(B3684="insumo",_xlfn.XLOOKUP($D3684,Insumos!$B$1:$B$996,Insumos!$D$1:$D$996),"")</f>
        <v/>
      </c>
      <c r="H3684" s="1073" t="n">
        <v>22.48705</v>
      </c>
      <c r="I3684" s="2163" t="n">
        <v>0</v>
      </c>
      <c r="J3684" s="2163" t="n">
        <v>0</v>
      </c>
      <c r="K3684" s="2163" t="n"/>
    </row>
    <row r="3685" outlineLevel="3" ht="12.75" customHeight="1">
      <c r="A3685" s="82" t="n">
        <v>4</v>
      </c>
      <c r="B3685" s="82" t="inlineStr">
        <is>
          <t>Insumo</t>
        </is>
      </c>
      <c r="C3685" s="82" t="inlineStr">
        <is>
          <t>Rodapé de cerâmico h=43cm</t>
        </is>
      </c>
      <c r="D3685" s="82" t="inlineStr">
        <is>
          <t>Piso Cargo Plus 45x45cm White Eliane</t>
        </is>
      </c>
      <c r="E3685" s="11">
        <f t="array" ref="E3685">_xlfn.XLOOKUP(D3685,Insumos!B:B,Insumos!C:$C)</f>
        <v/>
      </c>
      <c r="F3685" s="2164">
        <f>1*0.43</f>
        <v/>
      </c>
      <c r="G3685" s="92">
        <f t="array" ref="G3685">IF(B3685="insumo",_xlfn.XLOOKUP($D3685,Insumos!$B$1:$B$996,Insumos!$D$1:$D$996),"")</f>
        <v/>
      </c>
      <c r="H3685" s="92" t="n">
        <v>19.307</v>
      </c>
      <c r="I3685" s="2165" t="n">
        <v>0</v>
      </c>
      <c r="J3685" s="2165" t="n">
        <v>0</v>
      </c>
      <c r="K3685" s="2165" t="n"/>
    </row>
    <row r="3686" outlineLevel="3" ht="12.75" customHeight="1">
      <c r="A3686" s="82" t="n">
        <v>191</v>
      </c>
      <c r="B3686" s="82" t="inlineStr">
        <is>
          <t>Insumo</t>
        </is>
      </c>
      <c r="C3686" s="82" t="inlineStr">
        <is>
          <t>Rodapé de cerâmico h=43cm</t>
        </is>
      </c>
      <c r="D3686" s="82" t="inlineStr">
        <is>
          <t>Argamassa ACIII</t>
        </is>
      </c>
      <c r="E3686" s="11">
        <f t="array" ref="E3686">_xlfn.XLOOKUP(D3686,Insumos!B:B,Insumos!C:$C)</f>
        <v/>
      </c>
      <c r="F3686" s="2164" t="n">
        <v>0.9</v>
      </c>
      <c r="G3686" s="92">
        <f t="array" ref="G3686">IF(B3686="insumo",_xlfn.XLOOKUP($D3686,Insumos!$B$1:$B$996,Insumos!$D$1:$D$996),"")</f>
        <v/>
      </c>
      <c r="H3686" s="92" t="n">
        <v>0.95805</v>
      </c>
      <c r="I3686" s="2165" t="n">
        <v>0</v>
      </c>
      <c r="J3686" s="2165" t="n">
        <v>0</v>
      </c>
      <c r="K3686" s="2165" t="n"/>
    </row>
    <row r="3687" outlineLevel="3" ht="12.75" customHeight="1">
      <c r="A3687" s="82" t="n">
        <v>142</v>
      </c>
      <c r="B3687" s="82" t="inlineStr">
        <is>
          <t>Insumo</t>
        </is>
      </c>
      <c r="C3687" s="82" t="inlineStr">
        <is>
          <t>Rodapé de cerâmico h=43cm</t>
        </is>
      </c>
      <c r="D3687" s="82" t="inlineStr">
        <is>
          <t>Espeçador junta piso 2mm</t>
        </is>
      </c>
      <c r="E3687" s="11">
        <f t="array" ref="E3687">_xlfn.XLOOKUP(D3687,Insumos!B:B,Insumos!C:$C)</f>
        <v/>
      </c>
      <c r="F3687" s="2164" t="n">
        <v>0.4</v>
      </c>
      <c r="G3687" s="92">
        <f t="array" ref="G3687">IF(B3687="insumo",_xlfn.XLOOKUP($D3687,Insumos!$B$1:$B$996,Insumos!$D$1:$D$996),"")</f>
        <v/>
      </c>
      <c r="H3687" s="92" t="n">
        <v>0.032</v>
      </c>
      <c r="I3687" s="2165" t="n">
        <v>0</v>
      </c>
      <c r="J3687" s="2165" t="n">
        <v>0</v>
      </c>
      <c r="K3687" s="2165" t="n"/>
    </row>
    <row r="3688" outlineLevel="3" ht="12.75" customHeight="1">
      <c r="A3688" s="82" t="n">
        <v>22</v>
      </c>
      <c r="B3688" s="82" t="inlineStr">
        <is>
          <t>Insumo</t>
        </is>
      </c>
      <c r="C3688" s="82" t="inlineStr">
        <is>
          <t>Rodapé de cerâmico h=43cm</t>
        </is>
      </c>
      <c r="D3688" s="82" t="inlineStr">
        <is>
          <t>Rejunte acrilico</t>
        </is>
      </c>
      <c r="E3688" s="11">
        <f t="array" ref="E3688">_xlfn.XLOOKUP(D3688,Insumos!B:B,Insumos!C:$C)</f>
        <v/>
      </c>
      <c r="F3688" s="2164" t="n">
        <v>0.05</v>
      </c>
      <c r="G3688" s="92">
        <f t="array" ref="G3688">IF(B3688="insumo",_xlfn.XLOOKUP($D3688,Insumos!$B$1:$B$996,Insumos!$D$1:$D$996),"")</f>
        <v/>
      </c>
      <c r="H3688" s="92" t="n">
        <v>2.19</v>
      </c>
      <c r="I3688" s="2165" t="n">
        <v>0</v>
      </c>
      <c r="J3688" s="2165" t="n">
        <v>0</v>
      </c>
      <c r="K3688" s="2165" t="n"/>
    </row>
    <row r="3689" outlineLevel="2" ht="15.75" customHeight="1">
      <c r="A3689" s="1067" t="n">
        <v>1</v>
      </c>
      <c r="B3689" s="1067" t="inlineStr">
        <is>
          <t>Serviço</t>
        </is>
      </c>
      <c r="C3689" s="1067" t="inlineStr">
        <is>
          <t>Rodapé de porcelanato h=10cm</t>
        </is>
      </c>
      <c r="D3689" s="1067" t="inlineStr">
        <is>
          <t>Rodapé de porcelanato h=10cm</t>
        </is>
      </c>
      <c r="E3689" s="1068" t="inlineStr">
        <is>
          <t>M</t>
        </is>
      </c>
      <c r="F3689" s="1067" t="n"/>
      <c r="G3689" s="1069">
        <f t="array" ref="G3689">IF(B3689="insumo",_xlfn.XLOOKUP($D3689,Insumos!$B$1:$B$996,Insumos!$D$1:$D$996),"")</f>
        <v/>
      </c>
      <c r="H3689" s="1069" t="n">
        <v>10.56755</v>
      </c>
      <c r="I3689" s="2161" t="n">
        <v>0</v>
      </c>
      <c r="J3689" s="2161" t="n">
        <v>0</v>
      </c>
      <c r="K3689" s="2161" t="n"/>
    </row>
    <row r="3690" outlineLevel="3" ht="15.75" customHeight="1">
      <c r="A3690" s="10" t="n">
        <v>5</v>
      </c>
      <c r="B3690" s="10" t="inlineStr">
        <is>
          <t>Insumo</t>
        </is>
      </c>
      <c r="C3690" s="10" t="inlineStr">
        <is>
          <t>Rodapé de porcelanato h=10cm</t>
        </is>
      </c>
      <c r="D3690" s="10" t="inlineStr">
        <is>
          <t xml:space="preserve">Porcelanato A 90x90 Polido </t>
        </is>
      </c>
      <c r="E3690" s="11">
        <f t="array" ref="E3690">_xlfn.XLOOKUP(D3690,Insumos!B:B,Insumos!C:$C)</f>
        <v/>
      </c>
      <c r="F3690" s="14" t="n">
        <v>0.11</v>
      </c>
      <c r="G3690" s="92">
        <f t="array" ref="G3690">IF(B3690="insumo",_xlfn.XLOOKUP($D3690,Insumos!$B$1:$B$996,Insumos!$D$1:$D$996),"")</f>
        <v/>
      </c>
      <c r="H3690" s="92" t="n">
        <v>9.02</v>
      </c>
      <c r="I3690" s="2162" t="n">
        <v>0</v>
      </c>
      <c r="J3690" s="2162" t="n">
        <v>0</v>
      </c>
      <c r="K3690" s="2162" t="n"/>
    </row>
    <row r="3691" outlineLevel="3" ht="15.75" customHeight="1">
      <c r="A3691" s="10" t="n">
        <v>191</v>
      </c>
      <c r="B3691" s="10" t="inlineStr">
        <is>
          <t>Insumo</t>
        </is>
      </c>
      <c r="C3691" s="10" t="inlineStr">
        <is>
          <t>Rodapé de porcelanato h=10cm</t>
        </is>
      </c>
      <c r="D3691" s="10" t="inlineStr">
        <is>
          <t>Argamassa ACIII</t>
        </is>
      </c>
      <c r="E3691" s="11">
        <f t="array" ref="E3691">_xlfn.XLOOKUP(D3691,Insumos!B:B,Insumos!C:$C)</f>
        <v/>
      </c>
      <c r="F3691" s="14" t="n">
        <v>0.9</v>
      </c>
      <c r="G3691" s="92">
        <f t="array" ref="G3691">IF(B3691="insumo",_xlfn.XLOOKUP($D3691,Insumos!$B$1:$B$996,Insumos!$D$1:$D$996),"")</f>
        <v/>
      </c>
      <c r="H3691" s="92" t="n">
        <v>0.95805</v>
      </c>
      <c r="I3691" s="2162" t="n">
        <v>0</v>
      </c>
      <c r="J3691" s="2162" t="n">
        <v>0</v>
      </c>
      <c r="K3691" s="2162" t="n"/>
    </row>
    <row r="3692" outlineLevel="3" ht="15.75" customHeight="1">
      <c r="A3692" s="10" t="n">
        <v>142</v>
      </c>
      <c r="B3692" s="10" t="inlineStr">
        <is>
          <t>Insumo</t>
        </is>
      </c>
      <c r="C3692" s="10" t="inlineStr">
        <is>
          <t>Rodapé de porcelanato h=10cm</t>
        </is>
      </c>
      <c r="D3692" s="10" t="inlineStr">
        <is>
          <t>Espeçador junta piso 2mm</t>
        </is>
      </c>
      <c r="E3692" s="11">
        <f t="array" ref="E3692">_xlfn.XLOOKUP(D3692,Insumos!B:B,Insumos!C:$C)</f>
        <v/>
      </c>
      <c r="F3692" s="14" t="n">
        <v>0.4</v>
      </c>
      <c r="G3692" s="92">
        <f t="array" ref="G3692">IF(B3692="insumo",_xlfn.XLOOKUP($D3692,Insumos!$B$1:$B$996,Insumos!$D$1:$D$996),"")</f>
        <v/>
      </c>
      <c r="H3692" s="92" t="n">
        <v>0.032</v>
      </c>
      <c r="I3692" s="2162" t="n">
        <v>0</v>
      </c>
      <c r="J3692" s="2162" t="n">
        <v>0</v>
      </c>
      <c r="K3692" s="2162" t="n"/>
    </row>
    <row r="3693" outlineLevel="3" ht="15.75" customHeight="1">
      <c r="A3693" s="10" t="n">
        <v>101</v>
      </c>
      <c r="B3693" s="10" t="inlineStr">
        <is>
          <t>Insumo</t>
        </is>
      </c>
      <c r="C3693" s="10" t="inlineStr">
        <is>
          <t>Rodapé de porcelanato h=10cm</t>
        </is>
      </c>
      <c r="D3693" s="10" t="inlineStr">
        <is>
          <t>Rejunte Cimentício</t>
        </is>
      </c>
      <c r="E3693" s="11">
        <f t="array" ref="E3693">_xlfn.XLOOKUP(D3693,Insumos!B:B,Insumos!C:$C)</f>
        <v/>
      </c>
      <c r="F3693" s="14" t="n">
        <v>0.05</v>
      </c>
      <c r="G3693" s="92">
        <f t="array" ref="G3693">IF(B3693="insumo",_xlfn.XLOOKUP($D3693,Insumos!$B$1:$B$996,Insumos!$D$1:$D$996),"")</f>
        <v/>
      </c>
      <c r="H3693" s="92" t="n">
        <v>0.5575</v>
      </c>
      <c r="I3693" s="2162" t="n">
        <v>0</v>
      </c>
      <c r="J3693" s="2162" t="n">
        <v>0</v>
      </c>
      <c r="K3693" s="2162" t="n"/>
    </row>
    <row r="3694" outlineLevel="2" ht="15.75" customHeight="1">
      <c r="A3694" s="1067" t="n">
        <v>1</v>
      </c>
      <c r="B3694" s="1067" t="inlineStr">
        <is>
          <t>Serviço</t>
        </is>
      </c>
      <c r="C3694" s="1067" t="inlineStr">
        <is>
          <t>Rodapé de porcelanato h=15cm</t>
        </is>
      </c>
      <c r="D3694" s="1067" t="inlineStr">
        <is>
          <t>Rodapé de porcelanato h=15cm</t>
        </is>
      </c>
      <c r="E3694" s="1068" t="inlineStr">
        <is>
          <t>M</t>
        </is>
      </c>
      <c r="F3694" s="1067" t="n"/>
      <c r="G3694" s="1069">
        <f t="array" ref="G3694">IF(B3694="insumo",_xlfn.XLOOKUP($D3694,Insumos!$B$1:$B$996,Insumos!$D$1:$D$996),"")</f>
        <v/>
      </c>
      <c r="H3694" s="1069" t="n">
        <v>15.851325</v>
      </c>
      <c r="I3694" s="2161" t="n">
        <v>0</v>
      </c>
      <c r="J3694" s="2161" t="n">
        <v>0</v>
      </c>
      <c r="K3694" s="2161" t="n"/>
    </row>
    <row r="3695" outlineLevel="3" ht="15.75" customHeight="1">
      <c r="A3695" s="10" t="n">
        <v>5</v>
      </c>
      <c r="B3695" s="10" t="inlineStr">
        <is>
          <t>Insumo</t>
        </is>
      </c>
      <c r="C3695" s="10" t="inlineStr">
        <is>
          <t>Rodapé de porcelanato h=15cm</t>
        </is>
      </c>
      <c r="D3695" s="10" t="inlineStr">
        <is>
          <t xml:space="preserve">Porcelanato A 90x90 Polido </t>
        </is>
      </c>
      <c r="E3695" s="11">
        <f t="array" ref="E3695">_xlfn.XLOOKUP(D3695,Insumos!B:B,Insumos!C:$C)</f>
        <v/>
      </c>
      <c r="F3695" s="14" t="n">
        <v>0.165</v>
      </c>
      <c r="G3695" s="92">
        <f t="array" ref="G3695">IF(B3695="insumo",_xlfn.XLOOKUP($D3695,Insumos!$B$1:$B$996,Insumos!$D$1:$D$996),"")</f>
        <v/>
      </c>
      <c r="H3695" s="92" t="n">
        <v>13.53</v>
      </c>
      <c r="I3695" s="2162" t="n">
        <v>0</v>
      </c>
      <c r="J3695" s="2162" t="n">
        <v>0</v>
      </c>
      <c r="K3695" s="2162" t="n"/>
    </row>
    <row r="3696" outlineLevel="3" ht="15.75" customHeight="1">
      <c r="A3696" s="10" t="n">
        <v>191</v>
      </c>
      <c r="B3696" s="10" t="inlineStr">
        <is>
          <t>Insumo</t>
        </is>
      </c>
      <c r="C3696" s="10" t="inlineStr">
        <is>
          <t>Rodapé de porcelanato h=15cm</t>
        </is>
      </c>
      <c r="D3696" s="10" t="inlineStr">
        <is>
          <t>Argamassa ACIII</t>
        </is>
      </c>
      <c r="E3696" s="11">
        <f t="array" ref="E3696">_xlfn.XLOOKUP(D3696,Insumos!B:B,Insumos!C:$C)</f>
        <v/>
      </c>
      <c r="F3696" s="14" t="n">
        <v>1.35</v>
      </c>
      <c r="G3696" s="92">
        <f t="array" ref="G3696">IF(B3696="insumo",_xlfn.XLOOKUP($D3696,Insumos!$B$1:$B$996,Insumos!$D$1:$D$996),"")</f>
        <v/>
      </c>
      <c r="H3696" s="92" t="n">
        <v>1.437075</v>
      </c>
      <c r="I3696" s="2162" t="n">
        <v>0</v>
      </c>
      <c r="J3696" s="2162" t="n">
        <v>0</v>
      </c>
      <c r="K3696" s="2162" t="n"/>
    </row>
    <row r="3697" outlineLevel="3" ht="15.75" customHeight="1">
      <c r="A3697" s="10" t="n">
        <v>142</v>
      </c>
      <c r="B3697" s="10" t="inlineStr">
        <is>
          <t>Insumo</t>
        </is>
      </c>
      <c r="C3697" s="10" t="inlineStr">
        <is>
          <t>Rodapé de porcelanato h=15cm</t>
        </is>
      </c>
      <c r="D3697" s="10" t="inlineStr">
        <is>
          <t>Espeçador junta piso 2mm</t>
        </is>
      </c>
      <c r="E3697" s="11">
        <f t="array" ref="E3697">_xlfn.XLOOKUP(D3697,Insumos!B:B,Insumos!C:$C)</f>
        <v/>
      </c>
      <c r="F3697" s="14" t="n">
        <v>0.6</v>
      </c>
      <c r="G3697" s="92">
        <f t="array" ref="G3697">IF(B3697="insumo",_xlfn.XLOOKUP($D3697,Insumos!$B$1:$B$996,Insumos!$D$1:$D$996),"")</f>
        <v/>
      </c>
      <c r="H3697" s="92" t="n">
        <v>0.048</v>
      </c>
      <c r="I3697" s="2162" t="n">
        <v>0</v>
      </c>
      <c r="J3697" s="2162" t="n">
        <v>0</v>
      </c>
      <c r="K3697" s="2162" t="n"/>
    </row>
    <row r="3698" outlineLevel="3" ht="15.75" customHeight="1">
      <c r="A3698" s="10" t="n">
        <v>101</v>
      </c>
      <c r="B3698" s="10" t="inlineStr">
        <is>
          <t>Insumo</t>
        </is>
      </c>
      <c r="C3698" s="10" t="inlineStr">
        <is>
          <t>Rodapé de porcelanato h=15cm</t>
        </is>
      </c>
      <c r="D3698" s="10" t="inlineStr">
        <is>
          <t>Rejunte Cimentício</t>
        </is>
      </c>
      <c r="E3698" s="11">
        <f t="array" ref="E3698">_xlfn.XLOOKUP(D3698,Insumos!B:B,Insumos!C:$C)</f>
        <v/>
      </c>
      <c r="F3698" s="14" t="n">
        <v>0.075</v>
      </c>
      <c r="G3698" s="92">
        <f t="array" ref="G3698">IF(B3698="insumo",_xlfn.XLOOKUP($D3698,Insumos!$B$1:$B$996,Insumos!$D$1:$D$996),"")</f>
        <v/>
      </c>
      <c r="H3698" s="92" t="n">
        <v>0.83625</v>
      </c>
      <c r="I3698" s="2162" t="n">
        <v>0</v>
      </c>
      <c r="J3698" s="2162" t="n">
        <v>0</v>
      </c>
      <c r="K3698" s="2162" t="n"/>
    </row>
    <row r="3699" outlineLevel="2" ht="12.75" customHeight="1">
      <c r="A3699" s="1071" t="n">
        <v>1</v>
      </c>
      <c r="B3699" s="1071" t="inlineStr">
        <is>
          <t>Serviço</t>
        </is>
      </c>
      <c r="C3699" s="1071" t="inlineStr">
        <is>
          <t>Rodapé de porcelanato h=15cm, Padrão Alto</t>
        </is>
      </c>
      <c r="D3699" s="1071" t="inlineStr">
        <is>
          <t>Rodapé de porcelanato h=15cm, Padrão Alto</t>
        </is>
      </c>
      <c r="E3699" s="1072" t="inlineStr">
        <is>
          <t>M</t>
        </is>
      </c>
      <c r="F3699" s="1071" t="n"/>
      <c r="G3699" s="1073">
        <f t="array" ref="G3699">IF(B3699="insumo",_xlfn.XLOOKUP($D3699,Insumos!$B$1:$B$996,Insumos!$D$1:$D$996),"")</f>
        <v/>
      </c>
      <c r="H3699" s="1073" t="n">
        <v>22.121325</v>
      </c>
      <c r="I3699" s="2163" t="e">
        <v>#REF!</v>
      </c>
      <c r="J3699" s="2163" t="e">
        <v>#REF!</v>
      </c>
      <c r="K3699" s="2163" t="n"/>
    </row>
    <row r="3700" outlineLevel="3" ht="12.75" customHeight="1">
      <c r="A3700" s="82" t="n">
        <v>3</v>
      </c>
      <c r="B3700" s="82" t="inlineStr">
        <is>
          <t>Insumo</t>
        </is>
      </c>
      <c r="C3700" s="82" t="inlineStr">
        <is>
          <t>Rodapé de porcelanato h=15cm, Padrão Alto</t>
        </is>
      </c>
      <c r="D3700" s="82" t="inlineStr">
        <is>
          <t>Porcelanato Portobello –  90x90 - Padrão Alto</t>
        </is>
      </c>
      <c r="E3700" s="11">
        <f t="array" ref="E3700">_xlfn.XLOOKUP(D3700,Insumos!B:B,Insumos!C:$C)</f>
        <v/>
      </c>
      <c r="F3700" s="2164" t="n">
        <v>0.165</v>
      </c>
      <c r="G3700" s="92">
        <f t="array" ref="G3700">IF(B3700="insumo",_xlfn.XLOOKUP($D3700,Insumos!$B$1:$B$996,Insumos!$D$1:$D$996),"")</f>
        <v/>
      </c>
      <c r="H3700" s="92" t="n">
        <v>19.8</v>
      </c>
      <c r="I3700" s="2165" t="e">
        <v>#REF!</v>
      </c>
      <c r="J3700" s="2165" t="e">
        <v>#REF!</v>
      </c>
      <c r="K3700" s="2165" t="n"/>
    </row>
    <row r="3701" outlineLevel="3" ht="12.75" customHeight="1">
      <c r="A3701" s="82" t="n">
        <v>191</v>
      </c>
      <c r="B3701" s="82" t="inlineStr">
        <is>
          <t>Insumo</t>
        </is>
      </c>
      <c r="C3701" s="82" t="inlineStr">
        <is>
          <t>Rodapé de porcelanato h=15cm, Padrão Alto</t>
        </is>
      </c>
      <c r="D3701" s="82" t="inlineStr">
        <is>
          <t>Argamassa ACIII</t>
        </is>
      </c>
      <c r="E3701" s="11">
        <f t="array" ref="E3701">_xlfn.XLOOKUP(D3701,Insumos!B:B,Insumos!C:$C)</f>
        <v/>
      </c>
      <c r="F3701" s="2164" t="n">
        <v>1.35</v>
      </c>
      <c r="G3701" s="92">
        <f t="array" ref="G3701">IF(B3701="insumo",_xlfn.XLOOKUP($D3701,Insumos!$B$1:$B$996,Insumos!$D$1:$D$996),"")</f>
        <v/>
      </c>
      <c r="H3701" s="92" t="n">
        <v>1.437075</v>
      </c>
      <c r="I3701" s="2165" t="e">
        <v>#REF!</v>
      </c>
      <c r="J3701" s="2165" t="e">
        <v>#REF!</v>
      </c>
      <c r="K3701" s="2165" t="n"/>
    </row>
    <row r="3702" outlineLevel="3" ht="12.75" customHeight="1">
      <c r="A3702" s="82" t="n">
        <v>142</v>
      </c>
      <c r="B3702" s="82" t="inlineStr">
        <is>
          <t>Insumo</t>
        </is>
      </c>
      <c r="C3702" s="82" t="inlineStr">
        <is>
          <t>Rodapé de porcelanato h=15cm, Padrão Alto</t>
        </is>
      </c>
      <c r="D3702" s="82" t="inlineStr">
        <is>
          <t>Espeçador junta piso 2mm</t>
        </is>
      </c>
      <c r="E3702" s="11">
        <f t="array" ref="E3702">_xlfn.XLOOKUP(D3702,Insumos!B:B,Insumos!C:$C)</f>
        <v/>
      </c>
      <c r="F3702" s="2164" t="n">
        <v>0.6</v>
      </c>
      <c r="G3702" s="92">
        <f t="array" ref="G3702">IF(B3702="insumo",_xlfn.XLOOKUP($D3702,Insumos!$B$1:$B$996,Insumos!$D$1:$D$996),"")</f>
        <v/>
      </c>
      <c r="H3702" s="92" t="n">
        <v>0.048</v>
      </c>
      <c r="I3702" s="2165" t="e">
        <v>#REF!</v>
      </c>
      <c r="J3702" s="2165" t="e">
        <v>#REF!</v>
      </c>
      <c r="K3702" s="2165" t="n"/>
    </row>
    <row r="3703" outlineLevel="3" ht="12.75" customHeight="1">
      <c r="A3703" s="82" t="n">
        <v>101</v>
      </c>
      <c r="B3703" s="82" t="inlineStr">
        <is>
          <t>Insumo</t>
        </is>
      </c>
      <c r="C3703" s="82" t="inlineStr">
        <is>
          <t>Rodapé de porcelanato h=15cm, Padrão Alto</t>
        </is>
      </c>
      <c r="D3703" s="82" t="inlineStr">
        <is>
          <t>Rejunte Cimentício</t>
        </is>
      </c>
      <c r="E3703" s="11">
        <f t="array" ref="E3703">_xlfn.XLOOKUP(D3703,Insumos!B:B,Insumos!C:$C)</f>
        <v/>
      </c>
      <c r="F3703" s="2164" t="n">
        <v>0.075</v>
      </c>
      <c r="G3703" s="92">
        <f t="array" ref="G3703">IF(B3703="insumo",_xlfn.XLOOKUP($D3703,Insumos!$B$1:$B$996,Insumos!$D$1:$D$996),"")</f>
        <v/>
      </c>
      <c r="H3703" s="92" t="n">
        <v>0.83625</v>
      </c>
      <c r="I3703" s="2165" t="e">
        <v>#REF!</v>
      </c>
      <c r="J3703" s="2165" t="e">
        <v>#REF!</v>
      </c>
      <c r="K3703" s="2165" t="n"/>
    </row>
    <row r="3704" outlineLevel="2" ht="12.75" customHeight="1">
      <c r="A3704" s="1071" t="n">
        <v>1</v>
      </c>
      <c r="B3704" s="1071" t="inlineStr">
        <is>
          <t>Serviço</t>
        </is>
      </c>
      <c r="C3704" s="1071" t="inlineStr">
        <is>
          <t>Rodapé de porcelanato h=15cm, Padrão Nobre</t>
        </is>
      </c>
      <c r="D3704" s="1071" t="inlineStr">
        <is>
          <t>Rodapé de porcelanato h=15cm, Padrão Nobre</t>
        </is>
      </c>
      <c r="E3704" s="1072" t="inlineStr">
        <is>
          <t>M</t>
        </is>
      </c>
      <c r="F3704" s="1071" t="n"/>
      <c r="G3704" s="1073">
        <f t="array" ref="G3704">IF(B3704="insumo",_xlfn.XLOOKUP($D3704,Insumos!$B$1:$B$996,Insumos!$D$1:$D$996),"")</f>
        <v/>
      </c>
      <c r="H3704" s="1073" t="n">
        <v>22.119675</v>
      </c>
      <c r="I3704" s="2163" t="n">
        <v>0</v>
      </c>
      <c r="J3704" s="2163" t="n">
        <v>0</v>
      </c>
      <c r="K3704" s="2163" t="n"/>
    </row>
    <row r="3705" outlineLevel="3" ht="12.75" customHeight="1">
      <c r="A3705" s="82" t="n">
        <v>2</v>
      </c>
      <c r="B3705" s="82" t="inlineStr">
        <is>
          <t>Insumo</t>
        </is>
      </c>
      <c r="C3705" s="82" t="inlineStr">
        <is>
          <t>Rodapé de porcelanato h=15cm, Padrão Nobre</t>
        </is>
      </c>
      <c r="D3705" s="82" t="inlineStr">
        <is>
          <t>PORCELANATO 90X90 PORTOBELLO CHIARO DI VERSILIA NATURAL</t>
        </is>
      </c>
      <c r="E3705" s="11">
        <f t="array" ref="E3705">_xlfn.XLOOKUP(D3705,Insumos!B:B,Insumos!C:$C)</f>
        <v/>
      </c>
      <c r="F3705" s="2164" t="n">
        <v>0.165</v>
      </c>
      <c r="G3705" s="92">
        <f t="array" ref="G3705">IF(B3705="insumo",_xlfn.XLOOKUP($D3705,Insumos!$B$1:$B$996,Insumos!$D$1:$D$996),"")</f>
        <v/>
      </c>
      <c r="H3705" s="92" t="n">
        <v>19.79835</v>
      </c>
      <c r="I3705" s="2165" t="n">
        <v>0</v>
      </c>
      <c r="J3705" s="2165" t="n">
        <v>0</v>
      </c>
      <c r="K3705" s="2165" t="n"/>
    </row>
    <row r="3706" outlineLevel="3" ht="12.75" customHeight="1">
      <c r="A3706" s="82" t="n">
        <v>191</v>
      </c>
      <c r="B3706" s="82" t="inlineStr">
        <is>
          <t>Insumo</t>
        </is>
      </c>
      <c r="C3706" s="82" t="inlineStr">
        <is>
          <t>Rodapé de porcelanato h=15cm, Padrão Nobre</t>
        </is>
      </c>
      <c r="D3706" s="82" t="inlineStr">
        <is>
          <t>Argamassa ACIII</t>
        </is>
      </c>
      <c r="E3706" s="11">
        <f t="array" ref="E3706">_xlfn.XLOOKUP(D3706,Insumos!B:B,Insumos!C:$C)</f>
        <v/>
      </c>
      <c r="F3706" s="2164" t="n">
        <v>1.35</v>
      </c>
      <c r="G3706" s="92">
        <f t="array" ref="G3706">IF(B3706="insumo",_xlfn.XLOOKUP($D3706,Insumos!$B$1:$B$996,Insumos!$D$1:$D$996),"")</f>
        <v/>
      </c>
      <c r="H3706" s="92" t="n">
        <v>1.437075</v>
      </c>
      <c r="I3706" s="2165" t="n">
        <v>0</v>
      </c>
      <c r="J3706" s="2165" t="n">
        <v>0</v>
      </c>
      <c r="K3706" s="2165" t="n"/>
    </row>
    <row r="3707" outlineLevel="3" ht="12.75" customHeight="1">
      <c r="A3707" s="82" t="n">
        <v>142</v>
      </c>
      <c r="B3707" s="82" t="inlineStr">
        <is>
          <t>Insumo</t>
        </is>
      </c>
      <c r="C3707" s="82" t="inlineStr">
        <is>
          <t>Rodapé de porcelanato h=15cm, Padrão Nobre</t>
        </is>
      </c>
      <c r="D3707" s="82" t="inlineStr">
        <is>
          <t>Espeçador junta piso 2mm</t>
        </is>
      </c>
      <c r="E3707" s="11">
        <f t="array" ref="E3707">_xlfn.XLOOKUP(D3707,Insumos!B:B,Insumos!C:$C)</f>
        <v/>
      </c>
      <c r="F3707" s="2164" t="n">
        <v>0.6</v>
      </c>
      <c r="G3707" s="92">
        <f t="array" ref="G3707">IF(B3707="insumo",_xlfn.XLOOKUP($D3707,Insumos!$B$1:$B$996,Insumos!$D$1:$D$996),"")</f>
        <v/>
      </c>
      <c r="H3707" s="92" t="n">
        <v>0.048</v>
      </c>
      <c r="I3707" s="2165" t="n">
        <v>0</v>
      </c>
      <c r="J3707" s="2165" t="n">
        <v>0</v>
      </c>
      <c r="K3707" s="2165" t="n"/>
    </row>
    <row r="3708" outlineLevel="3" ht="12.75" customHeight="1">
      <c r="A3708" s="82" t="n">
        <v>101</v>
      </c>
      <c r="B3708" s="82" t="inlineStr">
        <is>
          <t>Insumo</t>
        </is>
      </c>
      <c r="C3708" s="82" t="inlineStr">
        <is>
          <t>Rodapé de porcelanato h=15cm, Padrão Nobre</t>
        </is>
      </c>
      <c r="D3708" s="82" t="inlineStr">
        <is>
          <t>Rejunte Cimentício</t>
        </is>
      </c>
      <c r="E3708" s="11">
        <f t="array" ref="E3708">_xlfn.XLOOKUP(D3708,Insumos!B:B,Insumos!C:$C)</f>
        <v/>
      </c>
      <c r="F3708" s="2164" t="n">
        <v>0.075</v>
      </c>
      <c r="G3708" s="92">
        <f t="array" ref="G3708">IF(B3708="insumo",_xlfn.XLOOKUP($D3708,Insumos!$B$1:$B$996,Insumos!$D$1:$D$996),"")</f>
        <v/>
      </c>
      <c r="H3708" s="92" t="n">
        <v>0.83625</v>
      </c>
      <c r="I3708" s="2165" t="n">
        <v>0</v>
      </c>
      <c r="J3708" s="2165" t="n">
        <v>0</v>
      </c>
      <c r="K3708" s="2165" t="n"/>
    </row>
    <row r="3709" outlineLevel="2" ht="15.75" customHeight="1">
      <c r="A3709" s="1067" t="n">
        <v>1</v>
      </c>
      <c r="B3709" s="1067" t="inlineStr">
        <is>
          <t>Serviço</t>
        </is>
      </c>
      <c r="C3709" s="1067" t="inlineStr">
        <is>
          <t>Rodapé de porcelanato h=16,5cm</t>
        </is>
      </c>
      <c r="D3709" s="1067" t="inlineStr">
        <is>
          <t>Rodapé de porcelanato h=16,5cm</t>
        </is>
      </c>
      <c r="E3709" s="1068" t="inlineStr">
        <is>
          <t>M</t>
        </is>
      </c>
      <c r="F3709" s="1067" t="n"/>
      <c r="G3709" s="1069">
        <f t="array" ref="G3709">IF(B3709="insumo",_xlfn.XLOOKUP($D3709,Insumos!$B$1:$B$996,Insumos!$D$1:$D$996),"")</f>
        <v/>
      </c>
      <c r="H3709" s="1069" t="n">
        <v>17.4364575</v>
      </c>
      <c r="I3709" s="2161" t="n">
        <v>0</v>
      </c>
      <c r="J3709" s="2161" t="n">
        <v>0</v>
      </c>
      <c r="K3709" s="2161" t="n"/>
    </row>
    <row r="3710" outlineLevel="3" ht="15.75" customHeight="1">
      <c r="A3710" s="10" t="n">
        <v>5</v>
      </c>
      <c r="B3710" s="10" t="inlineStr">
        <is>
          <t>Insumo</t>
        </is>
      </c>
      <c r="C3710" s="10" t="inlineStr">
        <is>
          <t>Rodapé de porcelanato h=16,5cm</t>
        </is>
      </c>
      <c r="D3710" s="10" t="inlineStr">
        <is>
          <t xml:space="preserve">Porcelanato A 90x90 Polido </t>
        </is>
      </c>
      <c r="E3710" s="11">
        <f t="array" ref="E3710">_xlfn.XLOOKUP(D3710,Insumos!B:B,Insumos!C:$C)</f>
        <v/>
      </c>
      <c r="F3710" s="14" t="n">
        <v>0.1815</v>
      </c>
      <c r="G3710" s="92">
        <f t="array" ref="G3710">IF(B3710="insumo",_xlfn.XLOOKUP($D3710,Insumos!$B$1:$B$996,Insumos!$D$1:$D$996),"")</f>
        <v/>
      </c>
      <c r="H3710" s="92" t="n">
        <v>14.883</v>
      </c>
      <c r="I3710" s="2162" t="n">
        <v>0</v>
      </c>
      <c r="J3710" s="2162" t="n">
        <v>0</v>
      </c>
      <c r="K3710" s="2162" t="n"/>
    </row>
    <row r="3711" outlineLevel="3" ht="15.75" customHeight="1">
      <c r="A3711" s="10" t="n">
        <v>191</v>
      </c>
      <c r="B3711" s="10" t="inlineStr">
        <is>
          <t>Insumo</t>
        </is>
      </c>
      <c r="C3711" s="10" t="inlineStr">
        <is>
          <t>Rodapé de porcelanato h=16,5cm</t>
        </is>
      </c>
      <c r="D3711" s="10" t="inlineStr">
        <is>
          <t>Argamassa ACIII</t>
        </is>
      </c>
      <c r="E3711" s="11">
        <f t="array" ref="E3711">_xlfn.XLOOKUP(D3711,Insumos!B:B,Insumos!C:$C)</f>
        <v/>
      </c>
      <c r="F3711" s="14" t="n">
        <v>1.485</v>
      </c>
      <c r="G3711" s="92">
        <f t="array" ref="G3711">IF(B3711="insumo",_xlfn.XLOOKUP($D3711,Insumos!$B$1:$B$996,Insumos!$D$1:$D$996),"")</f>
        <v/>
      </c>
      <c r="H3711" s="92" t="n">
        <v>1.5807825</v>
      </c>
      <c r="I3711" s="2162" t="n">
        <v>0</v>
      </c>
      <c r="J3711" s="2162" t="n">
        <v>0</v>
      </c>
      <c r="K3711" s="2162" t="n"/>
    </row>
    <row r="3712" outlineLevel="3" ht="15.75" customHeight="1">
      <c r="A3712" s="10" t="n">
        <v>142</v>
      </c>
      <c r="B3712" s="10" t="inlineStr">
        <is>
          <t>Insumo</t>
        </is>
      </c>
      <c r="C3712" s="10" t="inlineStr">
        <is>
          <t>Rodapé de porcelanato h=16,5cm</t>
        </is>
      </c>
      <c r="D3712" s="10" t="inlineStr">
        <is>
          <t>Espeçador junta piso 2mm</t>
        </is>
      </c>
      <c r="E3712" s="11">
        <f t="array" ref="E3712">_xlfn.XLOOKUP(D3712,Insumos!B:B,Insumos!C:$C)</f>
        <v/>
      </c>
      <c r="F3712" s="14" t="n">
        <v>0.66</v>
      </c>
      <c r="G3712" s="92">
        <f t="array" ref="G3712">IF(B3712="insumo",_xlfn.XLOOKUP($D3712,Insumos!$B$1:$B$996,Insumos!$D$1:$D$996),"")</f>
        <v/>
      </c>
      <c r="H3712" s="92" t="n">
        <v>0.0528</v>
      </c>
      <c r="I3712" s="2162" t="n">
        <v>0</v>
      </c>
      <c r="J3712" s="2162" t="n">
        <v>0</v>
      </c>
      <c r="K3712" s="2162" t="n"/>
    </row>
    <row r="3713" outlineLevel="3" ht="15.75" customHeight="1">
      <c r="A3713" s="10" t="n">
        <v>101</v>
      </c>
      <c r="B3713" s="10" t="inlineStr">
        <is>
          <t>Insumo</t>
        </is>
      </c>
      <c r="C3713" s="10" t="inlineStr">
        <is>
          <t>Rodapé de porcelanato h=16,5cm</t>
        </is>
      </c>
      <c r="D3713" s="10" t="inlineStr">
        <is>
          <t>Rejunte Cimentício</t>
        </is>
      </c>
      <c r="E3713" s="11">
        <f t="array" ref="E3713">_xlfn.XLOOKUP(D3713,Insumos!B:B,Insumos!C:$C)</f>
        <v/>
      </c>
      <c r="F3713" s="14" t="n">
        <v>0.0825</v>
      </c>
      <c r="G3713" s="92">
        <f t="array" ref="G3713">IF(B3713="insumo",_xlfn.XLOOKUP($D3713,Insumos!$B$1:$B$996,Insumos!$D$1:$D$996),"")</f>
        <v/>
      </c>
      <c r="H3713" s="92" t="n">
        <v>0.919875</v>
      </c>
      <c r="I3713" s="2162" t="n">
        <v>0</v>
      </c>
      <c r="J3713" s="2162" t="n">
        <v>0</v>
      </c>
      <c r="K3713" s="2162" t="n"/>
    </row>
    <row r="3714" outlineLevel="1" ht="15.75" customHeight="1">
      <c r="A3714" s="1090" t="n">
        <v>1</v>
      </c>
      <c r="B3714" s="1090" t="inlineStr">
        <is>
          <t>Subetapa</t>
        </is>
      </c>
      <c r="C3714" s="1090" t="inlineStr">
        <is>
          <t>Rodapé de porcelanato h=16,5cm</t>
        </is>
      </c>
      <c r="D3714" s="1090" t="inlineStr">
        <is>
          <t>SOLEIRAS E FILETES</t>
        </is>
      </c>
      <c r="E3714" s="1091" t="n"/>
      <c r="F3714" s="2160" t="n"/>
      <c r="G3714" s="1091" t="n"/>
      <c r="H3714" s="1091" t="n">
        <v>0</v>
      </c>
      <c r="I3714" s="2160" t="n">
        <v>0</v>
      </c>
      <c r="J3714" s="2160" t="n">
        <v>0</v>
      </c>
      <c r="K3714" s="2160" t="n"/>
    </row>
    <row r="3715" outlineLevel="2" ht="15.75" customHeight="1">
      <c r="A3715" s="1067" t="n">
        <v>1</v>
      </c>
      <c r="B3715" s="1067" t="inlineStr">
        <is>
          <t>Serviço</t>
        </is>
      </c>
      <c r="C3715" s="1067" t="inlineStr">
        <is>
          <t>Filete metálico - divisória entre pisos</t>
        </is>
      </c>
      <c r="D3715" s="1067" t="inlineStr">
        <is>
          <t>Filete metálico - divisória entre pisos</t>
        </is>
      </c>
      <c r="E3715" s="1068" t="inlineStr">
        <is>
          <t>M</t>
        </is>
      </c>
      <c r="F3715" s="1067" t="n"/>
      <c r="G3715" s="1069">
        <f t="array" ref="G3715">IF(B3715="insumo",_xlfn.XLOOKUP($D3715,Insumos!$B$1:$B$996,Insumos!$D$1:$D$996),"")</f>
        <v/>
      </c>
      <c r="H3715" s="1069" t="n">
        <v>133.333333333333</v>
      </c>
      <c r="I3715" s="2161" t="n">
        <v>0</v>
      </c>
      <c r="J3715" s="2161" t="n">
        <v>0</v>
      </c>
      <c r="K3715" s="2161" t="n"/>
    </row>
    <row r="3716" outlineLevel="3" ht="15.75" customHeight="1">
      <c r="A3716" s="10" t="n">
        <v>1</v>
      </c>
      <c r="B3716" s="10" t="inlineStr">
        <is>
          <t>Insumo</t>
        </is>
      </c>
      <c r="C3716" s="10" t="inlineStr">
        <is>
          <t>Filete metálico - divisória entre pisos</t>
        </is>
      </c>
      <c r="D3716" s="10" t="inlineStr">
        <is>
          <t>Filete metálico - divisória entre pisos</t>
        </is>
      </c>
      <c r="E3716" s="11">
        <f t="array" ref="E3716">_xlfn.XLOOKUP(D3716,Insumos!B:B,Insumos!C:$C)</f>
        <v/>
      </c>
      <c r="F3716" s="14" t="n">
        <v>1</v>
      </c>
      <c r="G3716" s="92">
        <f t="array" ref="G3716">IF(B3716="insumo",_xlfn.XLOOKUP($D3716,Insumos!$B$1:$B$996,Insumos!$D$1:$D$996),"")</f>
        <v/>
      </c>
      <c r="H3716" s="92" t="n">
        <v>133.333333333333</v>
      </c>
      <c r="I3716" s="2162" t="n">
        <v>0</v>
      </c>
      <c r="J3716" s="2162" t="n">
        <v>0</v>
      </c>
      <c r="K3716" s="2162" t="n"/>
    </row>
    <row r="3717" outlineLevel="2" ht="15.75" customHeight="1">
      <c r="A3717" s="1067" t="n">
        <v>1</v>
      </c>
      <c r="B3717" s="1067" t="inlineStr">
        <is>
          <t>Serviço</t>
        </is>
      </c>
      <c r="C3717" s="1067" t="inlineStr">
        <is>
          <t>Filete metálico - divisória entre pisos - aluminio escovado</t>
        </is>
      </c>
      <c r="D3717" s="1067" t="inlineStr">
        <is>
          <t>Filete metálico - divisória entre pisos - aluminio escovado</t>
        </is>
      </c>
      <c r="E3717" s="1068" t="inlineStr">
        <is>
          <t>m2</t>
        </is>
      </c>
      <c r="F3717" s="1067" t="n"/>
      <c r="G3717" s="1069">
        <f t="array" ref="G3717">IF(B3717="insumo",_xlfn.XLOOKUP($D3717,Insumos!$B$1:$B$996,Insumos!$D$1:$D$996),"")</f>
        <v/>
      </c>
      <c r="H3717" s="1069" t="n">
        <v>133.333333333333</v>
      </c>
      <c r="I3717" s="2161" t="n">
        <v>0</v>
      </c>
      <c r="J3717" s="2161" t="n">
        <v>0</v>
      </c>
      <c r="K3717" s="2161" t="n"/>
    </row>
    <row r="3718" outlineLevel="3" ht="15.75" customHeight="1">
      <c r="A3718" s="10" t="n">
        <v>1</v>
      </c>
      <c r="B3718" s="10" t="inlineStr">
        <is>
          <t>Insumo</t>
        </is>
      </c>
      <c r="C3718" s="10" t="inlineStr">
        <is>
          <t>Filete metálico - divisória entre pisos - aluminio escovado</t>
        </is>
      </c>
      <c r="D3718" s="10" t="inlineStr">
        <is>
          <t>Filete metálico - divisória entre pisos - aluminio escovado</t>
        </is>
      </c>
      <c r="E3718" s="11">
        <f t="array" ref="E3718">_xlfn.XLOOKUP(D3718,Insumos!B:B,Insumos!C:$C)</f>
        <v/>
      </c>
      <c r="F3718" s="14">
        <f>1*0.07</f>
        <v/>
      </c>
      <c r="G3718" s="92">
        <f t="array" ref="G3718">IF(B3718="insumo",_xlfn.XLOOKUP($D3718,Insumos!$B$1:$B$996,Insumos!$D$1:$D$996),"")</f>
        <v/>
      </c>
      <c r="H3718" s="92" t="n">
        <v>133.333333333333</v>
      </c>
      <c r="I3718" s="2162" t="n">
        <v>0</v>
      </c>
      <c r="J3718" s="2162" t="n">
        <v>0</v>
      </c>
      <c r="K3718" s="2162" t="n"/>
    </row>
    <row r="3719" outlineLevel="2" ht="15.75" customHeight="1">
      <c r="A3719" s="1067" t="n">
        <v>1</v>
      </c>
      <c r="B3719" s="1067" t="inlineStr">
        <is>
          <t>Serviço</t>
        </is>
      </c>
      <c r="C3719" s="1067" t="inlineStr">
        <is>
          <t>Soleira em Porcelanato, largura 7cm - espessura 2cm</t>
        </is>
      </c>
      <c r="D3719" s="1067" t="inlineStr">
        <is>
          <t>Soleira em Porcelanato, largura 7cm - espessura 2cm</t>
        </is>
      </c>
      <c r="E3719" s="1068" t="inlineStr">
        <is>
          <t>m2</t>
        </is>
      </c>
      <c r="F3719" s="1067" t="n"/>
      <c r="G3719" s="1069">
        <f t="array" ref="G3719">IF(B3719="insumo",_xlfn.XLOOKUP($D3719,Insumos!$B$1:$B$996,Insumos!$D$1:$D$996),"")</f>
        <v/>
      </c>
      <c r="H3719" s="1069" t="n">
        <v>153.1021</v>
      </c>
      <c r="I3719" s="2161" t="n">
        <v>0</v>
      </c>
      <c r="J3719" s="2161" t="n">
        <v>0</v>
      </c>
      <c r="K3719" s="2161" t="n"/>
    </row>
    <row r="3720" outlineLevel="3" ht="15.75" customHeight="1">
      <c r="A3720" s="10" t="n">
        <v>3</v>
      </c>
      <c r="B3720" s="10" t="inlineStr">
        <is>
          <t>Insumo</t>
        </is>
      </c>
      <c r="C3720" s="10" t="inlineStr">
        <is>
          <t>Soleira em Porcelanato, largura 7cm - espessura 2cm</t>
        </is>
      </c>
      <c r="D3720" s="10" t="inlineStr">
        <is>
          <t>Porcelanato Polido Eliane Place "A" 120x120</t>
        </is>
      </c>
      <c r="E3720" s="11">
        <f t="array" ref="E3720">_xlfn.XLOOKUP(D3720,Insumos!B:B,Insumos!C:$C)</f>
        <v/>
      </c>
      <c r="F3720" s="14">
        <f>1.05</f>
        <v/>
      </c>
      <c r="G3720" s="92">
        <f t="array" ref="G3720">IF(B3720="insumo",_xlfn.XLOOKUP($D3720,Insumos!$B$1:$B$996,Insumos!$D$1:$D$996),"")</f>
        <v/>
      </c>
      <c r="H3720" s="92" t="n">
        <v>143.7345</v>
      </c>
      <c r="I3720" s="2162" t="n">
        <v>0</v>
      </c>
      <c r="J3720" s="2162" t="n">
        <v>0</v>
      </c>
      <c r="K3720" s="2162" t="n"/>
    </row>
    <row r="3721" outlineLevel="3" ht="15.75" customHeight="1">
      <c r="A3721" s="10" t="n">
        <v>191</v>
      </c>
      <c r="B3721" s="10" t="inlineStr">
        <is>
          <t>Insumo</t>
        </is>
      </c>
      <c r="C3721" s="10" t="inlineStr">
        <is>
          <t>Soleira em Porcelanato, largura 7cm - espessura 2cm</t>
        </is>
      </c>
      <c r="D3721" s="10" t="inlineStr">
        <is>
          <t>Argamassa ACIII</t>
        </is>
      </c>
      <c r="E3721" s="11">
        <f t="array" ref="E3721">_xlfn.XLOOKUP(D3721,Insumos!B:B,Insumos!C:$C)</f>
        <v/>
      </c>
      <c r="F3721" s="14" t="n">
        <v>8.800000000000001</v>
      </c>
      <c r="G3721" s="92">
        <f t="array" ref="G3721">IF(B3721="insumo",_xlfn.XLOOKUP($D3721,Insumos!$B$1:$B$996,Insumos!$D$1:$D$996),"")</f>
        <v/>
      </c>
      <c r="H3721" s="92" t="n">
        <v>9.367599999999999</v>
      </c>
      <c r="I3721" s="2162" t="n">
        <v>0</v>
      </c>
      <c r="J3721" s="2162" t="n">
        <v>0</v>
      </c>
      <c r="K3721" s="2162" t="n"/>
    </row>
    <row r="3722" outlineLevel="2" ht="12.75" customHeight="1">
      <c r="A3722" s="1071" t="n">
        <v>1</v>
      </c>
      <c r="B3722" s="1071" t="inlineStr">
        <is>
          <t>Serviço</t>
        </is>
      </c>
      <c r="C3722" s="1071" t="inlineStr">
        <is>
          <t>Soleira em granito preto são gabriel</t>
        </is>
      </c>
      <c r="D3722" s="1071" t="inlineStr">
        <is>
          <t>Soleira em granito preto são gabriel</t>
        </is>
      </c>
      <c r="E3722" s="1072" t="inlineStr">
        <is>
          <t>m2</t>
        </is>
      </c>
      <c r="F3722" s="1071" t="n"/>
      <c r="G3722" s="1073">
        <f t="array" ref="G3722">IF(B3722="insumo",_xlfn.XLOOKUP($D3722,Insumos!$B$1:$B$996,Insumos!$D$1:$D$996),"")</f>
        <v/>
      </c>
      <c r="H3722" s="1073" t="n">
        <v>691.8676</v>
      </c>
      <c r="I3722" s="2163" t="n">
        <v>0</v>
      </c>
      <c r="J3722" s="2163" t="n">
        <v>0</v>
      </c>
      <c r="K3722" s="2163" t="n"/>
    </row>
    <row r="3723" outlineLevel="3" ht="12.75" customHeight="1">
      <c r="A3723" s="82" t="n">
        <v>4</v>
      </c>
      <c r="B3723" s="82" t="inlineStr">
        <is>
          <t>Insumo</t>
        </is>
      </c>
      <c r="C3723" s="82" t="inlineStr">
        <is>
          <t>Soleira em granito preto são gabriel</t>
        </is>
      </c>
      <c r="D3723" s="82" t="inlineStr">
        <is>
          <t xml:space="preserve">Granito preto são gabriel </t>
        </is>
      </c>
      <c r="E3723" s="11">
        <f t="array" ref="E3723">_xlfn.XLOOKUP(D3723,Insumos!B:B,Insumos!C:$C)</f>
        <v/>
      </c>
      <c r="F3723" s="2164">
        <f>1.05</f>
        <v/>
      </c>
      <c r="G3723" s="92">
        <f t="array" ref="G3723">IF(B3723="insumo",_xlfn.XLOOKUP($D3723,Insumos!$B$1:$B$996,Insumos!$D$1:$D$996),"")</f>
        <v/>
      </c>
      <c r="H3723" s="92" t="n">
        <v>682.5</v>
      </c>
      <c r="I3723" s="2165" t="n">
        <v>0</v>
      </c>
      <c r="J3723" s="2165" t="n">
        <v>0</v>
      </c>
      <c r="K3723" s="2165" t="n"/>
    </row>
    <row r="3724" outlineLevel="3" ht="12.75" customHeight="1">
      <c r="A3724" s="82" t="n">
        <v>191</v>
      </c>
      <c r="B3724" s="82" t="inlineStr">
        <is>
          <t>Insumo</t>
        </is>
      </c>
      <c r="C3724" s="82" t="inlineStr">
        <is>
          <t>Soleira em granito preto são gabriel</t>
        </is>
      </c>
      <c r="D3724" s="82" t="inlineStr">
        <is>
          <t>Argamassa ACIII</t>
        </is>
      </c>
      <c r="E3724" s="11">
        <f t="array" ref="E3724">_xlfn.XLOOKUP(D3724,Insumos!B:B,Insumos!C:$C)</f>
        <v/>
      </c>
      <c r="F3724" s="2164" t="n">
        <v>8.800000000000001</v>
      </c>
      <c r="G3724" s="92">
        <f t="array" ref="G3724">IF(B3724="insumo",_xlfn.XLOOKUP($D3724,Insumos!$B$1:$B$996,Insumos!$D$1:$D$996),"")</f>
        <v/>
      </c>
      <c r="H3724" s="92" t="n">
        <v>9.367599999999999</v>
      </c>
      <c r="I3724" s="2165" t="n">
        <v>0</v>
      </c>
      <c r="J3724" s="2165" t="n">
        <v>0</v>
      </c>
      <c r="K3724" s="2165" t="n"/>
    </row>
    <row r="3725" outlineLevel="2" ht="15.75" customHeight="1">
      <c r="A3725" s="1067" t="n">
        <v>1</v>
      </c>
      <c r="B3725" s="1067" t="inlineStr">
        <is>
          <t>Serviço</t>
        </is>
      </c>
      <c r="C3725" s="1067" t="inlineStr">
        <is>
          <t>Soleira em pedra natural, largura 15cm - Branco Ceara, esp. 2cm</t>
        </is>
      </c>
      <c r="D3725" s="1067" t="inlineStr">
        <is>
          <t>Soleira em pedra natural, largura 15cm - Branco Ceara, esp. 2cm</t>
        </is>
      </c>
      <c r="E3725" s="1068" t="inlineStr">
        <is>
          <t>m2</t>
        </is>
      </c>
      <c r="F3725" s="1067" t="n"/>
      <c r="G3725" s="1069">
        <f t="array" ref="G3725">IF(B3725="insumo",_xlfn.XLOOKUP($D3725,Insumos!$B$1:$B$996,Insumos!$D$1:$D$996),"")</f>
        <v/>
      </c>
      <c r="H3725" s="1069" t="n">
        <v>691.8676</v>
      </c>
      <c r="I3725" s="2161" t="n">
        <v>0</v>
      </c>
      <c r="J3725" s="2161" t="n">
        <v>0</v>
      </c>
      <c r="K3725" s="2161" t="n"/>
    </row>
    <row r="3726" outlineLevel="3" ht="15.75" customHeight="1">
      <c r="A3726" s="10" t="n">
        <v>2</v>
      </c>
      <c r="B3726" s="10" t="inlineStr">
        <is>
          <t>Insumo</t>
        </is>
      </c>
      <c r="C3726" s="10" t="inlineStr">
        <is>
          <t>Soleira em pedra natural, largura 15cm - Branco Ceara, esp. 2cm</t>
        </is>
      </c>
      <c r="D3726" s="10" t="inlineStr">
        <is>
          <t>Granito branco Ceará</t>
        </is>
      </c>
      <c r="E3726" s="11">
        <f t="array" ref="E3726">_xlfn.XLOOKUP(D3726,Insumos!B:B,Insumos!C:$C)</f>
        <v/>
      </c>
      <c r="F3726" s="14">
        <f>1.05</f>
        <v/>
      </c>
      <c r="G3726" s="92">
        <f t="array" ref="G3726">IF(B3726="insumo",_xlfn.XLOOKUP($D3726,Insumos!$B$1:$B$996,Insumos!$D$1:$D$996),"")</f>
        <v/>
      </c>
      <c r="H3726" s="92" t="n">
        <v>682.5</v>
      </c>
      <c r="I3726" s="2162" t="n">
        <v>0</v>
      </c>
      <c r="J3726" s="2162" t="n">
        <v>0</v>
      </c>
      <c r="K3726" s="2162" t="n"/>
    </row>
    <row r="3727" outlineLevel="3" ht="15.75" customHeight="1">
      <c r="A3727" s="10" t="n">
        <v>191</v>
      </c>
      <c r="B3727" s="10" t="inlineStr">
        <is>
          <t>Insumo</t>
        </is>
      </c>
      <c r="C3727" s="10" t="inlineStr">
        <is>
          <t>Soleira em pedra natural, largura 15cm - Branco Ceara, esp. 2cm</t>
        </is>
      </c>
      <c r="D3727" s="10" t="inlineStr">
        <is>
          <t>Argamassa ACIII</t>
        </is>
      </c>
      <c r="E3727" s="11">
        <f t="array" ref="E3727">_xlfn.XLOOKUP(D3727,Insumos!B:B,Insumos!C:$C)</f>
        <v/>
      </c>
      <c r="F3727" s="14" t="n">
        <v>8.800000000000001</v>
      </c>
      <c r="G3727" s="92">
        <f t="array" ref="G3727">IF(B3727="insumo",_xlfn.XLOOKUP($D3727,Insumos!$B$1:$B$996,Insumos!$D$1:$D$996),"")</f>
        <v/>
      </c>
      <c r="H3727" s="92" t="n">
        <v>9.367599999999999</v>
      </c>
      <c r="I3727" s="2162" t="n">
        <v>0</v>
      </c>
      <c r="J3727" s="2162" t="n">
        <v>0</v>
      </c>
      <c r="K3727" s="2162" t="n"/>
    </row>
    <row r="3728" outlineLevel="2" ht="15.75" customHeight="1">
      <c r="A3728" s="1067" t="n">
        <v>1</v>
      </c>
      <c r="B3728" s="1067" t="inlineStr">
        <is>
          <t>Serviço</t>
        </is>
      </c>
      <c r="C3728" s="1067" t="inlineStr">
        <is>
          <t>Soleira em pedra natural, largura 15cm - Silestone, esp. 2cm</t>
        </is>
      </c>
      <c r="D3728" s="1067" t="inlineStr">
        <is>
          <t>Soleira em pedra natural, largura 15cm - Silestone, esp. 2cm</t>
        </is>
      </c>
      <c r="E3728" s="1068" t="inlineStr">
        <is>
          <t>m2</t>
        </is>
      </c>
      <c r="F3728" s="1067" t="n"/>
      <c r="G3728" s="1069">
        <f t="array" ref="G3728">IF(B3728="insumo",_xlfn.XLOOKUP($D3728,Insumos!$B$1:$B$996,Insumos!$D$1:$D$996),"")</f>
        <v/>
      </c>
      <c r="H3728" s="1069" t="n">
        <v>1951.8676</v>
      </c>
      <c r="I3728" s="2161" t="n">
        <v>0</v>
      </c>
      <c r="J3728" s="2161" t="n">
        <v>0</v>
      </c>
      <c r="K3728" s="2161" t="n"/>
    </row>
    <row r="3729" outlineLevel="3" ht="15.75" customHeight="1">
      <c r="A3729" s="10" t="n">
        <v>1</v>
      </c>
      <c r="B3729" s="10" t="inlineStr">
        <is>
          <t>Insumo</t>
        </is>
      </c>
      <c r="C3729" s="10" t="inlineStr">
        <is>
          <t>Soleira em pedra natural, largura 15cm - Silestone, esp. 2cm</t>
        </is>
      </c>
      <c r="D3729" s="10" t="inlineStr">
        <is>
          <t>Quartzo Silestone</t>
        </is>
      </c>
      <c r="E3729" s="11">
        <f t="array" ref="E3729">_xlfn.XLOOKUP(D3729,Insumos!B:B,Insumos!C:$C)</f>
        <v/>
      </c>
      <c r="F3729" s="14">
        <f>1.05</f>
        <v/>
      </c>
      <c r="G3729" s="92">
        <f t="array" ref="G3729">IF(B3729="insumo",_xlfn.XLOOKUP($D3729,Insumos!$B$1:$B$996,Insumos!$D$1:$D$996),"")</f>
        <v/>
      </c>
      <c r="H3729" s="92" t="n">
        <v>1942.5</v>
      </c>
      <c r="I3729" s="2162" t="n">
        <v>0</v>
      </c>
      <c r="J3729" s="2162" t="n">
        <v>0</v>
      </c>
      <c r="K3729" s="2162" t="n"/>
    </row>
    <row r="3730" outlineLevel="3" ht="15.75" customHeight="1">
      <c r="A3730" s="10" t="n">
        <v>191</v>
      </c>
      <c r="B3730" s="10" t="inlineStr">
        <is>
          <t>Insumo</t>
        </is>
      </c>
      <c r="C3730" s="10" t="inlineStr">
        <is>
          <t>Soleira em pedra natural, largura 15cm - Silestone, esp. 2cm</t>
        </is>
      </c>
      <c r="D3730" s="10" t="inlineStr">
        <is>
          <t>Argamassa ACIII</t>
        </is>
      </c>
      <c r="E3730" s="11">
        <f t="array" ref="E3730">_xlfn.XLOOKUP(D3730,Insumos!B:B,Insumos!C:$C)</f>
        <v/>
      </c>
      <c r="F3730" s="14" t="n">
        <v>8.800000000000001</v>
      </c>
      <c r="G3730" s="92">
        <f t="array" ref="G3730">IF(B3730="insumo",_xlfn.XLOOKUP($D3730,Insumos!$B$1:$B$996,Insumos!$D$1:$D$996),"")</f>
        <v/>
      </c>
      <c r="H3730" s="92" t="n">
        <v>9.367599999999999</v>
      </c>
      <c r="I3730" s="2162" t="n">
        <v>0</v>
      </c>
      <c r="J3730" s="2162" t="n">
        <v>0</v>
      </c>
      <c r="K3730" s="2162" t="n"/>
    </row>
    <row r="3731" outlineLevel="1" ht="15.75" customHeight="1">
      <c r="A3731" s="1090" t="n">
        <v>1</v>
      </c>
      <c r="B3731" s="1090" t="inlineStr">
        <is>
          <t>Subetapa</t>
        </is>
      </c>
      <c r="C3731" s="1090" t="inlineStr">
        <is>
          <t>Soleira em pedra natural, largura 15cm - Silestone, esp. 2cm</t>
        </is>
      </c>
      <c r="D3731" s="1090" t="inlineStr">
        <is>
          <t>PISOS PRÉ FABRICADOS</t>
        </is>
      </c>
      <c r="E3731" s="1091" t="n"/>
      <c r="F3731" s="2160" t="n"/>
      <c r="G3731" s="1091" t="n"/>
      <c r="H3731" s="1091" t="n">
        <v>0</v>
      </c>
      <c r="I3731" s="2160" t="n">
        <v>0</v>
      </c>
      <c r="J3731" s="2160" t="n">
        <v>0</v>
      </c>
      <c r="K3731" s="2160" t="n"/>
    </row>
    <row r="3732" outlineLevel="2" ht="15.75" customHeight="1">
      <c r="A3732" s="1067" t="n">
        <v>1</v>
      </c>
      <c r="B3732" s="1067" t="inlineStr">
        <is>
          <t>Serviço</t>
        </is>
      </c>
      <c r="C3732" s="1067" t="inlineStr">
        <is>
          <t>Piso Petit Pave</t>
        </is>
      </c>
      <c r="D3732" s="1067" t="inlineStr">
        <is>
          <t>Piso Petit Pave</t>
        </is>
      </c>
      <c r="E3732" s="1068" t="inlineStr">
        <is>
          <t>M2</t>
        </is>
      </c>
      <c r="F3732" s="1067" t="n"/>
      <c r="G3732" s="1069">
        <f t="array" ref="G3732">IF(B3732="insumo",_xlfn.XLOOKUP($D3732,Insumos!$B$1:$B$996,Insumos!$D$1:$D$996),"")</f>
        <v/>
      </c>
      <c r="H3732" s="1069" t="n">
        <v>91.883686</v>
      </c>
      <c r="I3732" s="2161" t="n">
        <v>0</v>
      </c>
      <c r="J3732" s="2161" t="n">
        <v>0</v>
      </c>
      <c r="K3732" s="2161" t="n"/>
    </row>
    <row r="3733" outlineLevel="3" ht="15.75" customHeight="1">
      <c r="A3733" s="10" t="n">
        <v>1</v>
      </c>
      <c r="B3733" s="10" t="inlineStr">
        <is>
          <t>Insumo</t>
        </is>
      </c>
      <c r="C3733" s="10" t="inlineStr">
        <is>
          <t>Piso Petit Pave</t>
        </is>
      </c>
      <c r="D3733" s="10" t="inlineStr">
        <is>
          <t>Petit Pavé Branco Pedra Portuguesa</t>
        </is>
      </c>
      <c r="E3733" s="11">
        <f t="array" ref="E3733">_xlfn.XLOOKUP(D3733,Insumos!B:B,Insumos!C:$C)</f>
        <v/>
      </c>
      <c r="F3733" s="14" t="n">
        <v>1.05</v>
      </c>
      <c r="G3733" s="92">
        <f t="array" ref="G3733">IF(B3733="insumo",_xlfn.XLOOKUP($D3733,Insumos!$B$1:$B$996,Insumos!$D$1:$D$996),"")</f>
        <v/>
      </c>
      <c r="H3733" s="92" t="n">
        <v>82.95</v>
      </c>
      <c r="I3733" s="2162" t="n">
        <v>0</v>
      </c>
      <c r="J3733" s="2162" t="n">
        <v>0</v>
      </c>
      <c r="K3733" s="2162" t="n"/>
    </row>
    <row r="3734" outlineLevel="3" ht="15.75" customHeight="1">
      <c r="A3734" s="10" t="n">
        <v>8</v>
      </c>
      <c r="B3734" s="10" t="inlineStr">
        <is>
          <t>Insumo</t>
        </is>
      </c>
      <c r="C3734" s="10" t="inlineStr">
        <is>
          <t>Piso Petit Pave</t>
        </is>
      </c>
      <c r="D3734" s="10" t="inlineStr">
        <is>
          <t xml:space="preserve">PO DE PEDRA </t>
        </is>
      </c>
      <c r="E3734" s="11">
        <f t="array" ref="E3734">_xlfn.XLOOKUP(D3734,Insumos!B:B,Insumos!C:$C)</f>
        <v/>
      </c>
      <c r="F3734" s="14" t="n">
        <v>0.0066</v>
      </c>
      <c r="G3734" s="92">
        <f t="array" ref="G3734">IF(B3734="insumo",_xlfn.XLOOKUP($D3734,Insumos!$B$1:$B$996,Insumos!$D$1:$D$996),"")</f>
        <v/>
      </c>
      <c r="H3734" s="92" t="n">
        <v>0.697686</v>
      </c>
      <c r="I3734" s="2162" t="n">
        <v>0</v>
      </c>
      <c r="J3734" s="2162" t="n">
        <v>0</v>
      </c>
      <c r="K3734" s="2162" t="n"/>
    </row>
    <row r="3735" outlineLevel="3" ht="15.75" customHeight="1">
      <c r="A3735" s="10" t="n">
        <v>10</v>
      </c>
      <c r="B3735" s="10" t="inlineStr">
        <is>
          <t>Insumo</t>
        </is>
      </c>
      <c r="C3735" s="10" t="inlineStr">
        <is>
          <t>Piso Petit Pave</t>
        </is>
      </c>
      <c r="D3735" s="10" t="inlineStr">
        <is>
          <t>AREIA MEDIA</t>
        </is>
      </c>
      <c r="E3735" s="11">
        <f t="array" ref="E3735">_xlfn.XLOOKUP(D3735,Insumos!B:B,Insumos!C:$C)</f>
        <v/>
      </c>
      <c r="F3735" s="14" t="n">
        <v>0.0568</v>
      </c>
      <c r="G3735" s="92">
        <f t="array" ref="G3735">IF(B3735="insumo",_xlfn.XLOOKUP($D3735,Insumos!$B$1:$B$996,Insumos!$D$1:$D$996),"")</f>
        <v/>
      </c>
      <c r="H3735" s="92" t="n">
        <v>8.236000000000001</v>
      </c>
      <c r="I3735" s="2162" t="n">
        <v>0</v>
      </c>
      <c r="J3735" s="2162" t="n">
        <v>0</v>
      </c>
      <c r="K3735" s="2162" t="n"/>
    </row>
    <row r="3736" outlineLevel="2" ht="15.75" customHeight="1">
      <c r="A3736" s="1067" t="n">
        <v>1</v>
      </c>
      <c r="B3736" s="1067" t="inlineStr">
        <is>
          <t>Serviço</t>
        </is>
      </c>
      <c r="C3736" s="1067" t="inlineStr">
        <is>
          <t>Piso drenante</t>
        </is>
      </c>
      <c r="D3736" s="1067" t="inlineStr">
        <is>
          <t>Piso drenante</t>
        </is>
      </c>
      <c r="E3736" s="1068" t="inlineStr">
        <is>
          <t>M2</t>
        </is>
      </c>
      <c r="F3736" s="1067" t="n"/>
      <c r="G3736" s="1069">
        <f t="array" ref="G3736">IF(B3736="insumo",_xlfn.XLOOKUP($D3736,Insumos!$B$1:$B$996,Insumos!$D$1:$D$996),"")</f>
        <v/>
      </c>
      <c r="H3736" s="1069" t="n">
        <v>138.044797111111</v>
      </c>
      <c r="I3736" s="2161" t="n">
        <v>0</v>
      </c>
      <c r="J3736" s="2161" t="n">
        <v>0</v>
      </c>
      <c r="K3736" s="2161" t="n"/>
    </row>
    <row r="3737" outlineLevel="3" ht="15.75" customHeight="1">
      <c r="A3737" s="10" t="n">
        <v>2</v>
      </c>
      <c r="B3737" s="10" t="inlineStr">
        <is>
          <t>Insumo</t>
        </is>
      </c>
      <c r="C3737" s="10" t="inlineStr">
        <is>
          <t>Piso drenante</t>
        </is>
      </c>
      <c r="D3737" s="10" t="inlineStr">
        <is>
          <t>Piso drenante - 45x45x5</t>
        </is>
      </c>
      <c r="E3737" s="11">
        <f t="array" ref="E3737">_xlfn.XLOOKUP(D3737,Insumos!B:B,Insumos!C:$C)</f>
        <v/>
      </c>
      <c r="F3737" s="14" t="n">
        <v>1.05</v>
      </c>
      <c r="G3737" s="92">
        <f t="array" ref="G3737">IF(B3737="insumo",_xlfn.XLOOKUP($D3737,Insumos!$B$1:$B$996,Insumos!$D$1:$D$996),"")</f>
        <v/>
      </c>
      <c r="H3737" s="92" t="n">
        <v>129.111111111111</v>
      </c>
      <c r="I3737" s="2162" t="n">
        <v>0</v>
      </c>
      <c r="J3737" s="2162" t="n">
        <v>0</v>
      </c>
      <c r="K3737" s="2162" t="n"/>
    </row>
    <row r="3738" outlineLevel="3" ht="15.75" customHeight="1">
      <c r="A3738" s="10" t="n">
        <v>8</v>
      </c>
      <c r="B3738" s="10" t="inlineStr">
        <is>
          <t>Insumo</t>
        </is>
      </c>
      <c r="C3738" s="10" t="inlineStr">
        <is>
          <t>Piso drenante</t>
        </is>
      </c>
      <c r="D3738" s="10" t="inlineStr">
        <is>
          <t xml:space="preserve">PO DE PEDRA </t>
        </is>
      </c>
      <c r="E3738" s="11">
        <f t="array" ref="E3738">_xlfn.XLOOKUP(D3738,Insumos!B:B,Insumos!C:$C)</f>
        <v/>
      </c>
      <c r="F3738" s="14" t="n">
        <v>0.0066</v>
      </c>
      <c r="G3738" s="92">
        <f t="array" ref="G3738">IF(B3738="insumo",_xlfn.XLOOKUP($D3738,Insumos!$B$1:$B$996,Insumos!$D$1:$D$996),"")</f>
        <v/>
      </c>
      <c r="H3738" s="92" t="n">
        <v>0.697686</v>
      </c>
      <c r="I3738" s="2162" t="n">
        <v>0</v>
      </c>
      <c r="J3738" s="2162" t="n">
        <v>0</v>
      </c>
      <c r="K3738" s="2162" t="n"/>
    </row>
    <row r="3739" outlineLevel="3" ht="15.75" customHeight="1">
      <c r="A3739" s="10" t="n">
        <v>10</v>
      </c>
      <c r="B3739" s="10" t="inlineStr">
        <is>
          <t>Insumo</t>
        </is>
      </c>
      <c r="C3739" s="10" t="inlineStr">
        <is>
          <t>Piso drenante</t>
        </is>
      </c>
      <c r="D3739" s="10" t="inlineStr">
        <is>
          <t>AREIA MEDIA</t>
        </is>
      </c>
      <c r="E3739" s="11">
        <f t="array" ref="E3739">_xlfn.XLOOKUP(D3739,Insumos!B:B,Insumos!C:$C)</f>
        <v/>
      </c>
      <c r="F3739" s="14" t="n">
        <v>0.0568</v>
      </c>
      <c r="G3739" s="92">
        <f t="array" ref="G3739">IF(B3739="insumo",_xlfn.XLOOKUP($D3739,Insumos!$B$1:$B$996,Insumos!$D$1:$D$996),"")</f>
        <v/>
      </c>
      <c r="H3739" s="92" t="n">
        <v>8.236000000000001</v>
      </c>
      <c r="I3739" s="2162" t="n">
        <v>0</v>
      </c>
      <c r="J3739" s="2162" t="n">
        <v>0</v>
      </c>
      <c r="K3739" s="2162" t="n"/>
    </row>
    <row r="3740" outlineLevel="2" ht="15.75" customHeight="1">
      <c r="A3740" s="1067" t="n">
        <v>1</v>
      </c>
      <c r="B3740" s="1067" t="inlineStr">
        <is>
          <t>Serviço</t>
        </is>
      </c>
      <c r="C3740" s="1067" t="inlineStr">
        <is>
          <t>Piso em concreto intertravado</t>
        </is>
      </c>
      <c r="D3740" s="1067" t="inlineStr">
        <is>
          <t>Piso em concreto intertravado</t>
        </is>
      </c>
      <c r="E3740" s="1068" t="inlineStr">
        <is>
          <t>M2</t>
        </is>
      </c>
      <c r="F3740" s="1067" t="n"/>
      <c r="G3740" s="1069">
        <f t="array" ref="G3740">IF(B3740="insumo",_xlfn.XLOOKUP($D3740,Insumos!$B$1:$B$996,Insumos!$D$1:$D$996),"")</f>
        <v/>
      </c>
      <c r="H3740" s="1069" t="n">
        <v>78.128686</v>
      </c>
      <c r="I3740" s="2161" t="n">
        <v>0</v>
      </c>
      <c r="J3740" s="2161" t="n">
        <v>0</v>
      </c>
      <c r="K3740" s="2161" t="n"/>
    </row>
    <row r="3741" outlineLevel="3" ht="15.75" customHeight="1">
      <c r="A3741" s="10" t="n">
        <v>3</v>
      </c>
      <c r="B3741" s="10" t="inlineStr">
        <is>
          <t>Insumo</t>
        </is>
      </c>
      <c r="C3741" s="10" t="inlineStr">
        <is>
          <t>Piso em concreto intertravado</t>
        </is>
      </c>
      <c r="D3741" s="10" t="inlineStr">
        <is>
          <t xml:space="preserve">Piso Intertravado Retangular 10x20x08 </t>
        </is>
      </c>
      <c r="E3741" s="11">
        <f t="array" ref="E3741">_xlfn.XLOOKUP(D3741,Insumos!B:B,Insumos!C:$C)</f>
        <v/>
      </c>
      <c r="F3741" s="14" t="n">
        <v>1.05</v>
      </c>
      <c r="G3741" s="92">
        <f t="array" ref="G3741">IF(B3741="insumo",_xlfn.XLOOKUP($D3741,Insumos!$B$1:$B$996,Insumos!$D$1:$D$996),"")</f>
        <v/>
      </c>
      <c r="H3741" s="92" t="n">
        <v>69.19499999999999</v>
      </c>
      <c r="I3741" s="2162" t="n">
        <v>0</v>
      </c>
      <c r="J3741" s="2162" t="n">
        <v>0</v>
      </c>
      <c r="K3741" s="2162" t="n"/>
    </row>
    <row r="3742" outlineLevel="3" ht="15.75" customHeight="1">
      <c r="A3742" s="10" t="n">
        <v>8</v>
      </c>
      <c r="B3742" s="10" t="inlineStr">
        <is>
          <t>Insumo</t>
        </is>
      </c>
      <c r="C3742" s="10" t="inlineStr">
        <is>
          <t>Piso em concreto intertravado</t>
        </is>
      </c>
      <c r="D3742" s="10" t="inlineStr">
        <is>
          <t xml:space="preserve">PO DE PEDRA </t>
        </is>
      </c>
      <c r="E3742" s="11">
        <f t="array" ref="E3742">_xlfn.XLOOKUP(D3742,Insumos!B:B,Insumos!C:$C)</f>
        <v/>
      </c>
      <c r="F3742" s="14" t="n">
        <v>0.0066</v>
      </c>
      <c r="G3742" s="92">
        <f t="array" ref="G3742">IF(B3742="insumo",_xlfn.XLOOKUP($D3742,Insumos!$B$1:$B$996,Insumos!$D$1:$D$996),"")</f>
        <v/>
      </c>
      <c r="H3742" s="92" t="n">
        <v>0.697686</v>
      </c>
      <c r="I3742" s="2162" t="n">
        <v>0</v>
      </c>
      <c r="J3742" s="2162" t="n">
        <v>0</v>
      </c>
      <c r="K3742" s="2162" t="n"/>
    </row>
    <row r="3743" outlineLevel="3" ht="15.75" customHeight="1">
      <c r="A3743" s="10" t="n">
        <v>10</v>
      </c>
      <c r="B3743" s="10" t="inlineStr">
        <is>
          <t>Insumo</t>
        </is>
      </c>
      <c r="C3743" s="10" t="inlineStr">
        <is>
          <t>Piso em concreto intertravado</t>
        </is>
      </c>
      <c r="D3743" s="10" t="inlineStr">
        <is>
          <t>AREIA MEDIA</t>
        </is>
      </c>
      <c r="E3743" s="11">
        <f t="array" ref="E3743">_xlfn.XLOOKUP(D3743,Insumos!B:B,Insumos!C:$C)</f>
        <v/>
      </c>
      <c r="F3743" s="14" t="n">
        <v>0.0568</v>
      </c>
      <c r="G3743" s="92">
        <f t="array" ref="G3743">IF(B3743="insumo",_xlfn.XLOOKUP($D3743,Insumos!$B$1:$B$996,Insumos!$D$1:$D$996),"")</f>
        <v/>
      </c>
      <c r="H3743" s="92" t="n">
        <v>8.236000000000001</v>
      </c>
      <c r="I3743" s="2162" t="n">
        <v>0</v>
      </c>
      <c r="J3743" s="2162" t="n">
        <v>0</v>
      </c>
      <c r="K3743" s="2162" t="n"/>
    </row>
    <row r="3744" outlineLevel="2" ht="15.75" customHeight="1">
      <c r="A3744" s="1067" t="n">
        <v>1</v>
      </c>
      <c r="B3744" s="1067" t="inlineStr">
        <is>
          <t>Serviço</t>
        </is>
      </c>
      <c r="C3744" s="1067" t="inlineStr">
        <is>
          <t xml:space="preserve">Revestimento de Piso Laudrilho Hidraulico 20X20 Cm  </t>
        </is>
      </c>
      <c r="D3744" s="1067" t="inlineStr">
        <is>
          <t xml:space="preserve">Revestimento de Piso Laudrilho Hidraulico 20X20 Cm  </t>
        </is>
      </c>
      <c r="E3744" s="1068" t="inlineStr">
        <is>
          <t>M2</t>
        </is>
      </c>
      <c r="F3744" s="1067" t="n"/>
      <c r="G3744" s="1069">
        <f t="array" ref="G3744">IF(B3744="insumo",_xlfn.XLOOKUP($D3744,Insumos!$B$1:$B$996,Insumos!$D$1:$D$996),"")</f>
        <v/>
      </c>
      <c r="H3744" s="1069" t="n">
        <v>204.05</v>
      </c>
      <c r="I3744" s="2161" t="n">
        <v>0</v>
      </c>
      <c r="J3744" s="2161" t="n">
        <v>0</v>
      </c>
      <c r="K3744" s="2161" t="n"/>
    </row>
    <row r="3745" outlineLevel="3" ht="15.75" customHeight="1">
      <c r="A3745" s="10" t="n">
        <v>1</v>
      </c>
      <c r="B3745" s="10" t="inlineStr">
        <is>
          <t>Insumo</t>
        </is>
      </c>
      <c r="C3745" s="10" t="inlineStr">
        <is>
          <t xml:space="preserve">Revestimento de Piso Laudrilho Hidraulico 20X20 Cm  </t>
        </is>
      </c>
      <c r="D3745" s="10" t="inlineStr">
        <is>
          <t>Ladrilho hidráulico 20x20 cm</t>
        </is>
      </c>
      <c r="E3745" s="11">
        <f t="array" ref="E3745">_xlfn.XLOOKUP(D3745,Insumos!B:B,Insumos!C:$C)</f>
        <v/>
      </c>
      <c r="F3745" s="14" t="n">
        <v>1.05</v>
      </c>
      <c r="G3745" s="92">
        <f t="array" ref="G3745">IF(B3745="insumo",_xlfn.XLOOKUP($D3745,Insumos!$B$1:$B$996,Insumos!$D$1:$D$996),"")</f>
        <v/>
      </c>
      <c r="H3745" s="92" t="n">
        <v>189</v>
      </c>
      <c r="I3745" s="2162" t="n">
        <v>0</v>
      </c>
      <c r="J3745" s="2162" t="n">
        <v>0</v>
      </c>
      <c r="K3745" s="2162" t="n"/>
    </row>
    <row r="3746" outlineLevel="3" ht="15.75" customHeight="1">
      <c r="A3746" s="10" t="n">
        <v>16</v>
      </c>
      <c r="B3746" s="10" t="inlineStr">
        <is>
          <t>Insumo</t>
        </is>
      </c>
      <c r="C3746" s="10" t="inlineStr">
        <is>
          <t xml:space="preserve">Revestimento de Piso Laudrilho Hidraulico 20X20 Cm  </t>
        </is>
      </c>
      <c r="D3746" s="10" t="inlineStr">
        <is>
          <t>Argamassa ACII</t>
        </is>
      </c>
      <c r="E3746" s="11">
        <f t="array" ref="E3746">_xlfn.XLOOKUP(D3746,Insumos!B:B,Insumos!C:$C)</f>
        <v/>
      </c>
      <c r="F3746" s="14" t="n">
        <v>8.800000000000001</v>
      </c>
      <c r="G3746" s="92">
        <f t="array" ref="G3746">IF(B3746="insumo",_xlfn.XLOOKUP($D3746,Insumos!$B$1:$B$996,Insumos!$D$1:$D$996),"")</f>
        <v/>
      </c>
      <c r="H3746" s="92" t="n">
        <v>8.359999999999999</v>
      </c>
      <c r="I3746" s="2162" t="n">
        <v>0</v>
      </c>
      <c r="J3746" s="2162" t="n">
        <v>0</v>
      </c>
      <c r="K3746" s="2162" t="n"/>
    </row>
    <row r="3747" outlineLevel="3" ht="15.75" customHeight="1">
      <c r="A3747" s="10" t="n">
        <v>101</v>
      </c>
      <c r="B3747" s="10" t="inlineStr">
        <is>
          <t>Insumo</t>
        </is>
      </c>
      <c r="C3747" s="10" t="inlineStr">
        <is>
          <t xml:space="preserve">Revestimento de Piso Laudrilho Hidraulico 20X20 Cm  </t>
        </is>
      </c>
      <c r="D3747" s="10" t="inlineStr">
        <is>
          <t>Rejunte Cimentício</t>
        </is>
      </c>
      <c r="E3747" s="11">
        <f t="array" ref="E3747">_xlfn.XLOOKUP(D3747,Insumos!B:B,Insumos!C:$C)</f>
        <v/>
      </c>
      <c r="F3747" s="14" t="n">
        <v>0.6</v>
      </c>
      <c r="G3747" s="92">
        <f t="array" ref="G3747">IF(B3747="insumo",_xlfn.XLOOKUP($D3747,Insumos!$B$1:$B$996,Insumos!$D$1:$D$996),"")</f>
        <v/>
      </c>
      <c r="H3747" s="92" t="n">
        <v>6.69</v>
      </c>
      <c r="I3747" s="2162" t="n">
        <v>0</v>
      </c>
      <c r="J3747" s="2162" t="n">
        <v>0</v>
      </c>
      <c r="K3747" s="2162" t="n"/>
    </row>
    <row r="3748" outlineLevel="2" ht="15.75" customHeight="1">
      <c r="A3748" s="1067" t="n">
        <v>2</v>
      </c>
      <c r="B3748" s="1067" t="inlineStr">
        <is>
          <t>Serviço</t>
        </is>
      </c>
      <c r="C3748" s="1067" t="inlineStr">
        <is>
          <t>Calçadada/passeio em concreto intertravado</t>
        </is>
      </c>
      <c r="D3748" s="1067" t="inlineStr">
        <is>
          <t>Calçadada/passeio em concreto intertravado</t>
        </is>
      </c>
      <c r="E3748" s="1068" t="inlineStr">
        <is>
          <t>M2</t>
        </is>
      </c>
      <c r="F3748" s="1067" t="n"/>
      <c r="G3748" s="1069">
        <f t="array" ref="G3748">IF(B3748="insumo",_xlfn.XLOOKUP($D3748,Insumos!$B$1:$B$996,Insumos!$D$1:$D$996),"")</f>
        <v/>
      </c>
      <c r="H3748" s="1069" t="n">
        <v>234.386058</v>
      </c>
      <c r="I3748" s="2161" t="n">
        <v>0</v>
      </c>
      <c r="J3748" s="2161" t="n">
        <v>0</v>
      </c>
      <c r="K3748" s="2161" t="n"/>
    </row>
    <row r="3749" outlineLevel="3" ht="15.75" customHeight="1">
      <c r="A3749" s="10" t="n">
        <v>3</v>
      </c>
      <c r="B3749" s="10" t="inlineStr">
        <is>
          <t>Insumo</t>
        </is>
      </c>
      <c r="C3749" s="10" t="inlineStr">
        <is>
          <t>Calçadada/passeio em concreto intertravado</t>
        </is>
      </c>
      <c r="D3749" s="10" t="inlineStr">
        <is>
          <t xml:space="preserve">Piso Intertravado Retangular 10x20x08 </t>
        </is>
      </c>
      <c r="E3749" s="11">
        <f t="array" ref="E3749">_xlfn.XLOOKUP(D3749,Insumos!B:B,Insumos!C:$C)</f>
        <v/>
      </c>
      <c r="F3749" s="14" t="n">
        <v>1.05</v>
      </c>
      <c r="G3749" s="92">
        <f t="array" ref="G3749">IF(B3749="insumo",_xlfn.XLOOKUP($D3749,Insumos!$B$1:$B$996,Insumos!$D$1:$D$996),"")</f>
        <v/>
      </c>
      <c r="H3749" s="92" t="n">
        <v>69.19499999999999</v>
      </c>
      <c r="I3749" s="2162" t="n">
        <v>0</v>
      </c>
      <c r="J3749" s="2162" t="n">
        <v>0</v>
      </c>
      <c r="K3749" s="2162" t="n"/>
    </row>
    <row r="3750" outlineLevel="3" ht="15.75" customHeight="1">
      <c r="A3750" s="10" t="n">
        <v>8</v>
      </c>
      <c r="B3750" s="10" t="inlineStr">
        <is>
          <t>Insumo</t>
        </is>
      </c>
      <c r="C3750" s="10" t="inlineStr">
        <is>
          <t>Calçadada/passeio em concreto intertravado</t>
        </is>
      </c>
      <c r="D3750" s="10" t="inlineStr">
        <is>
          <t xml:space="preserve">PO DE PEDRA </t>
        </is>
      </c>
      <c r="E3750" s="11">
        <f t="array" ref="E3750">_xlfn.XLOOKUP(D3750,Insumos!B:B,Insumos!C:$C)</f>
        <v/>
      </c>
      <c r="F3750" s="14" t="n">
        <v>0.0066</v>
      </c>
      <c r="G3750" s="92">
        <f t="array" ref="G3750">IF(B3750="insumo",_xlfn.XLOOKUP($D3750,Insumos!$B$1:$B$996,Insumos!$D$1:$D$996),"")</f>
        <v/>
      </c>
      <c r="H3750" s="92" t="n">
        <v>0.697686</v>
      </c>
      <c r="I3750" s="2162" t="n">
        <v>0</v>
      </c>
      <c r="J3750" s="2162" t="n">
        <v>0</v>
      </c>
      <c r="K3750" s="2162" t="n"/>
    </row>
    <row r="3751" outlineLevel="3" ht="15.75" customHeight="1">
      <c r="A3751" s="10" t="n">
        <v>10</v>
      </c>
      <c r="B3751" s="10" t="inlineStr">
        <is>
          <t>Insumo</t>
        </is>
      </c>
      <c r="C3751" s="10" t="inlineStr">
        <is>
          <t>Calçadada/passeio em concreto intertravado</t>
        </is>
      </c>
      <c r="D3751" s="10" t="inlineStr">
        <is>
          <t>AREIA MEDIA</t>
        </is>
      </c>
      <c r="E3751" s="11">
        <f t="array" ref="E3751">_xlfn.XLOOKUP(D3751,Insumos!B:B,Insumos!C:$C)</f>
        <v/>
      </c>
      <c r="F3751" s="14" t="n">
        <v>0.0568</v>
      </c>
      <c r="G3751" s="92">
        <f t="array" ref="G3751">IF(B3751="insumo",_xlfn.XLOOKUP($D3751,Insumos!$B$1:$B$996,Insumos!$D$1:$D$996),"")</f>
        <v/>
      </c>
      <c r="H3751" s="92" t="n">
        <v>8.236000000000001</v>
      </c>
      <c r="I3751" s="2162" t="n">
        <v>0</v>
      </c>
      <c r="J3751" s="2162" t="n">
        <v>0</v>
      </c>
      <c r="K3751" s="2162" t="n"/>
    </row>
    <row r="3752" outlineLevel="2" ht="15.75" customHeight="1">
      <c r="A3752" s="1067" t="n">
        <v>2</v>
      </c>
      <c r="B3752" s="1067" t="inlineStr">
        <is>
          <t>Serviço</t>
        </is>
      </c>
      <c r="C3752" s="1067" t="inlineStr">
        <is>
          <t xml:space="preserve">Calçadada/passeio em Podotátil </t>
        </is>
      </c>
      <c r="D3752" s="1067" t="inlineStr">
        <is>
          <t xml:space="preserve">Calçadada/passeio em Podotátil </t>
        </is>
      </c>
      <c r="E3752" s="1068" t="inlineStr">
        <is>
          <t>M2</t>
        </is>
      </c>
      <c r="F3752" s="1067" t="n"/>
      <c r="G3752" s="1069">
        <f t="array" ref="G3752">IF(B3752="insumo",_xlfn.XLOOKUP($D3752,Insumos!$B$1:$B$996,Insumos!$D$1:$D$996),"")</f>
        <v/>
      </c>
      <c r="H3752" s="1069" t="n">
        <v>350.936058</v>
      </c>
      <c r="I3752" s="2161" t="n">
        <v>0</v>
      </c>
      <c r="J3752" s="2161" t="n">
        <v>0</v>
      </c>
      <c r="K3752" s="2161" t="n"/>
    </row>
    <row r="3753" outlineLevel="3" ht="15.75" customHeight="1">
      <c r="A3753" s="10" t="n">
        <v>2</v>
      </c>
      <c r="B3753" s="10" t="inlineStr">
        <is>
          <t>Insumo</t>
        </is>
      </c>
      <c r="C3753" s="10" t="inlineStr">
        <is>
          <t xml:space="preserve">Calçadada/passeio em Podotátil </t>
        </is>
      </c>
      <c r="D3753" s="10" t="inlineStr">
        <is>
          <t>Piso Podotátil Alerta Amarelo 20x20cm Cimartex</t>
        </is>
      </c>
      <c r="E3753" s="11">
        <f t="array" ref="E3753">_xlfn.XLOOKUP(D3753,Insumos!B:B,Insumos!C:$C)</f>
        <v/>
      </c>
      <c r="F3753" s="14" t="n">
        <v>1.05</v>
      </c>
      <c r="G3753" s="92">
        <f t="array" ref="G3753">IF(B3753="insumo",_xlfn.XLOOKUP($D3753,Insumos!$B$1:$B$996,Insumos!$D$1:$D$996),"")</f>
        <v/>
      </c>
      <c r="H3753" s="92" t="n">
        <v>108.045</v>
      </c>
      <c r="I3753" s="2162" t="n">
        <v>0</v>
      </c>
      <c r="J3753" s="2162" t="n">
        <v>0</v>
      </c>
      <c r="K3753" s="2162" t="n"/>
    </row>
    <row r="3754" outlineLevel="3" ht="15.75" customHeight="1">
      <c r="A3754" s="10" t="n">
        <v>8</v>
      </c>
      <c r="B3754" s="10" t="inlineStr">
        <is>
          <t>Insumo</t>
        </is>
      </c>
      <c r="C3754" s="10" t="inlineStr">
        <is>
          <t xml:space="preserve">Calçadada/passeio em Podotátil </t>
        </is>
      </c>
      <c r="D3754" s="10" t="inlineStr">
        <is>
          <t xml:space="preserve">PO DE PEDRA </t>
        </is>
      </c>
      <c r="E3754" s="11">
        <f t="array" ref="E3754">_xlfn.XLOOKUP(D3754,Insumos!B:B,Insumos!C:$C)</f>
        <v/>
      </c>
      <c r="F3754" s="14" t="n">
        <v>0.0066</v>
      </c>
      <c r="G3754" s="92">
        <f t="array" ref="G3754">IF(B3754="insumo",_xlfn.XLOOKUP($D3754,Insumos!$B$1:$B$996,Insumos!$D$1:$D$996),"")</f>
        <v/>
      </c>
      <c r="H3754" s="92" t="n">
        <v>0.697686</v>
      </c>
      <c r="I3754" s="2162" t="n">
        <v>0</v>
      </c>
      <c r="J3754" s="2162" t="n">
        <v>0</v>
      </c>
      <c r="K3754" s="2162" t="n"/>
    </row>
    <row r="3755" outlineLevel="3" ht="15.75" customHeight="1">
      <c r="A3755" s="10" t="n">
        <v>10</v>
      </c>
      <c r="B3755" s="10" t="inlineStr">
        <is>
          <t>Insumo</t>
        </is>
      </c>
      <c r="C3755" s="10" t="inlineStr">
        <is>
          <t xml:space="preserve">Calçadada/passeio em Podotátil </t>
        </is>
      </c>
      <c r="D3755" s="10" t="inlineStr">
        <is>
          <t>AREIA MEDIA</t>
        </is>
      </c>
      <c r="E3755" s="11">
        <f t="array" ref="E3755">_xlfn.XLOOKUP(D3755,Insumos!B:B,Insumos!C:$C)</f>
        <v/>
      </c>
      <c r="F3755" s="14" t="n">
        <v>0.0568</v>
      </c>
      <c r="G3755" s="92">
        <f t="array" ref="G3755">IF(B3755="insumo",_xlfn.XLOOKUP($D3755,Insumos!$B$1:$B$996,Insumos!$D$1:$D$996),"")</f>
        <v/>
      </c>
      <c r="H3755" s="92" t="n">
        <v>8.236000000000001</v>
      </c>
      <c r="I3755" s="2162" t="n">
        <v>0</v>
      </c>
      <c r="J3755" s="2162" t="n">
        <v>0</v>
      </c>
      <c r="K3755" s="2162" t="n"/>
    </row>
    <row r="3756" outlineLevel="1" ht="15.75" customHeight="1">
      <c r="A3756" s="1090" t="n">
        <v>1</v>
      </c>
      <c r="B3756" s="1090" t="inlineStr">
        <is>
          <t>Subetapa</t>
        </is>
      </c>
      <c r="C3756" s="1090" t="inlineStr">
        <is>
          <t xml:space="preserve">Calçadada/passeio em Podotátil </t>
        </is>
      </c>
      <c r="D3756" s="1090" t="inlineStr">
        <is>
          <t>MÃO DE OBRA ARGAMASSADOS</t>
        </is>
      </c>
      <c r="E3756" s="1091" t="n"/>
      <c r="F3756" s="2160" t="n"/>
      <c r="G3756" s="1091" t="n"/>
      <c r="H3756" s="1091" t="n">
        <v>0</v>
      </c>
      <c r="I3756" s="2160" t="n">
        <v>0</v>
      </c>
      <c r="J3756" s="2160" t="n">
        <v>0</v>
      </c>
      <c r="K3756" s="2160" t="n"/>
    </row>
    <row r="3757" outlineLevel="2" ht="15.75" customHeight="1">
      <c r="A3757" s="1067" t="n">
        <v>1</v>
      </c>
      <c r="B3757" s="1067" t="inlineStr">
        <is>
          <t>Serviço</t>
        </is>
      </c>
      <c r="C3757" s="1067" t="inlineStr">
        <is>
          <t>Mão de obra para enchimento de EPS em piso</t>
        </is>
      </c>
      <c r="D3757" s="1067" t="inlineStr">
        <is>
          <t>Mão de obra para enchimento de EPS em piso</t>
        </is>
      </c>
      <c r="E3757" s="1068" t="inlineStr">
        <is>
          <t>M2</t>
        </is>
      </c>
      <c r="F3757" s="1075" t="n"/>
      <c r="G3757" s="1069">
        <f t="array" ref="G3757">IF(B3757="insumo",_xlfn.XLOOKUP($D3757,Insumos!$B$1:$B$996,Insumos!$D$1:$D$996),"")</f>
        <v/>
      </c>
      <c r="H3757" s="1069" t="n">
        <v>60</v>
      </c>
      <c r="I3757" s="2161" t="n">
        <v>0</v>
      </c>
      <c r="J3757" s="2161" t="n">
        <v>0</v>
      </c>
      <c r="K3757" s="2161" t="n"/>
    </row>
    <row r="3758" outlineLevel="3" ht="15.75" customHeight="1">
      <c r="A3758" s="10" t="n">
        <v>1</v>
      </c>
      <c r="B3758" s="10" t="inlineStr">
        <is>
          <t>Insumo</t>
        </is>
      </c>
      <c r="C3758" s="10" t="inlineStr">
        <is>
          <t>Mão de obra para enchimento de EPS em piso</t>
        </is>
      </c>
      <c r="D3758" s="10" t="inlineStr">
        <is>
          <t>Mão de obra para enchimento de EPS em piso</t>
        </is>
      </c>
      <c r="E3758" s="11">
        <f t="array" ref="E3758">_xlfn.XLOOKUP(D3758,Insumos!B:B,Insumos!C:$C)</f>
        <v/>
      </c>
      <c r="F3758" s="14" t="n">
        <v>1</v>
      </c>
      <c r="G3758" s="92">
        <f t="array" ref="G3758">IF(B3758="insumo",_xlfn.XLOOKUP($D3758,Insumos!$B$1:$B$996,Insumos!$D$1:$D$996),"")</f>
        <v/>
      </c>
      <c r="H3758" s="92" t="n">
        <v>60</v>
      </c>
      <c r="I3758" s="2162" t="n">
        <v>0</v>
      </c>
      <c r="J3758" s="2162" t="n">
        <v>0</v>
      </c>
      <c r="K3758" s="2162" t="n"/>
    </row>
    <row r="3759" outlineLevel="2" ht="15.75" customHeight="1">
      <c r="A3759" s="1067" t="n">
        <v>1</v>
      </c>
      <c r="B3759" s="1067" t="inlineStr">
        <is>
          <t>Serviço</t>
        </is>
      </c>
      <c r="C3759" s="1067" t="inlineStr">
        <is>
          <t>Mão de obra execução regularização de Piso</t>
        </is>
      </c>
      <c r="D3759" s="1067" t="inlineStr">
        <is>
          <t>Mão de obra execução regularização de Piso</t>
        </is>
      </c>
      <c r="E3759" s="1068" t="inlineStr">
        <is>
          <t>M2</t>
        </is>
      </c>
      <c r="F3759" s="1067" t="n"/>
      <c r="G3759" s="1069">
        <f t="array" ref="G3759">IF(B3759="insumo",_xlfn.XLOOKUP($D3759,Insumos!$B$1:$B$996,Insumos!$D$1:$D$996),"")</f>
        <v/>
      </c>
      <c r="H3759" s="1069" t="n">
        <v>40</v>
      </c>
      <c r="I3759" s="2161" t="e">
        <v>#REF!</v>
      </c>
      <c r="J3759" s="2161" t="e">
        <v>#REF!</v>
      </c>
      <c r="K3759" s="2161" t="n"/>
    </row>
    <row r="3760" outlineLevel="3" ht="15.75" customHeight="1">
      <c r="A3760" s="10" t="n">
        <v>1</v>
      </c>
      <c r="B3760" s="10" t="inlineStr">
        <is>
          <t>Insumo</t>
        </is>
      </c>
      <c r="C3760" s="10" t="inlineStr">
        <is>
          <t>Mão de obra execução regularização de Piso</t>
        </is>
      </c>
      <c r="D3760" s="10" t="inlineStr">
        <is>
          <t>Mão de obra execução regularização de Piso</t>
        </is>
      </c>
      <c r="E3760" s="11">
        <f t="array" ref="E3760">_xlfn.XLOOKUP(D3760,Insumos!B:B,Insumos!C:$C)</f>
        <v/>
      </c>
      <c r="F3760" s="14" t="n">
        <v>1</v>
      </c>
      <c r="G3760" s="92">
        <f t="array" ref="G3760">IF(B3760="insumo",_xlfn.XLOOKUP($D3760,Insumos!$B$1:$B$996,Insumos!$D$1:$D$996),"")</f>
        <v/>
      </c>
      <c r="H3760" s="92" t="n">
        <v>40</v>
      </c>
      <c r="I3760" s="2162" t="e">
        <v>#REF!</v>
      </c>
      <c r="J3760" s="2162" t="e">
        <v>#REF!</v>
      </c>
      <c r="K3760" s="2162" t="n"/>
    </row>
    <row r="3761" outlineLevel="2" ht="15.75" customHeight="1">
      <c r="A3761" s="1067" t="n">
        <v>1</v>
      </c>
      <c r="B3761" s="1067" t="inlineStr">
        <is>
          <t>Serviço</t>
        </is>
      </c>
      <c r="C3761" s="1067" t="inlineStr">
        <is>
          <t>Mão de obra execução de contrapiso comum e Acústico</t>
        </is>
      </c>
      <c r="D3761" s="1067" t="inlineStr">
        <is>
          <t>Mão de obra execução de contrapiso comum e Acústico</t>
        </is>
      </c>
      <c r="E3761" s="1068" t="inlineStr">
        <is>
          <t>M2</t>
        </is>
      </c>
      <c r="F3761" s="1075" t="n"/>
      <c r="G3761" s="1069">
        <f t="array" ref="G3761">IF(B3761="insumo",_xlfn.XLOOKUP($D3761,Insumos!$B$1:$B$996,Insumos!$D$1:$D$996),"")</f>
        <v/>
      </c>
      <c r="H3761" s="1069" t="n">
        <v>40</v>
      </c>
      <c r="I3761" s="2161" t="e">
        <v>#REF!</v>
      </c>
      <c r="J3761" s="2161" t="e">
        <v>#REF!</v>
      </c>
      <c r="K3761" s="2161" t="n"/>
    </row>
    <row r="3762" outlineLevel="3" ht="15.75" customHeight="1">
      <c r="A3762" s="10" t="n">
        <v>1</v>
      </c>
      <c r="B3762" s="10" t="inlineStr">
        <is>
          <t>Insumo</t>
        </is>
      </c>
      <c r="C3762" s="10" t="inlineStr">
        <is>
          <t>Mão de obra execução de contrapiso comum e Acústico</t>
        </is>
      </c>
      <c r="D3762" s="10" t="inlineStr">
        <is>
          <t>Mão de obra execução de contrapiso comum e Acústico</t>
        </is>
      </c>
      <c r="E3762" s="11">
        <f t="array" ref="E3762">_xlfn.XLOOKUP(D3762,Insumos!B:B,Insumos!C:$C)</f>
        <v/>
      </c>
      <c r="F3762" s="14" t="n">
        <v>1</v>
      </c>
      <c r="G3762" s="92">
        <f t="array" ref="G3762">IF(B3762="insumo",_xlfn.XLOOKUP($D3762,Insumos!$B$1:$B$996,Insumos!$D$1:$D$996),"")</f>
        <v/>
      </c>
      <c r="H3762" s="92" t="n">
        <v>40</v>
      </c>
      <c r="I3762" s="2162" t="e">
        <v>#REF!</v>
      </c>
      <c r="J3762" s="2162" t="e">
        <v>#REF!</v>
      </c>
      <c r="K3762" s="2162" t="n"/>
    </row>
    <row r="3763" outlineLevel="2" ht="15.75" customHeight="1">
      <c r="A3763" s="1067" t="n">
        <v>1</v>
      </c>
      <c r="B3763" s="1067" t="inlineStr">
        <is>
          <t>Serviço</t>
        </is>
      </c>
      <c r="C3763" s="1067" t="inlineStr">
        <is>
          <t>Mão de obra execução Piso cimentado</t>
        </is>
      </c>
      <c r="D3763" s="1067" t="inlineStr">
        <is>
          <t>Mão de obra execução Piso cimentado</t>
        </is>
      </c>
      <c r="E3763" s="1068" t="inlineStr">
        <is>
          <t>M2</t>
        </is>
      </c>
      <c r="F3763" s="1075" t="n"/>
      <c r="G3763" s="1069">
        <f t="array" ref="G3763">IF(B3763="insumo",_xlfn.XLOOKUP($D3763,Insumos!$B$1:$B$996,Insumos!$D$1:$D$996),"")</f>
        <v/>
      </c>
      <c r="H3763" s="1069" t="n">
        <v>40</v>
      </c>
      <c r="I3763" s="2161" t="n">
        <v>0</v>
      </c>
      <c r="J3763" s="2161" t="n">
        <v>0</v>
      </c>
      <c r="K3763" s="2161" t="n"/>
    </row>
    <row r="3764" outlineLevel="3" ht="15.75" customHeight="1">
      <c r="A3764" s="10" t="n">
        <v>1</v>
      </c>
      <c r="B3764" s="10" t="inlineStr">
        <is>
          <t>Insumo</t>
        </is>
      </c>
      <c r="C3764" s="10" t="inlineStr">
        <is>
          <t>Mão de obra execução Piso cimentado</t>
        </is>
      </c>
      <c r="D3764" s="10" t="inlineStr">
        <is>
          <t>Mão de obra execução Piso cimentado</t>
        </is>
      </c>
      <c r="E3764" s="11">
        <f t="array" ref="E3764">_xlfn.XLOOKUP(D3764,Insumos!B:B,Insumos!C:$C)</f>
        <v/>
      </c>
      <c r="F3764" s="14" t="n">
        <v>1</v>
      </c>
      <c r="G3764" s="92">
        <f t="array" ref="G3764">IF(B3764="insumo",_xlfn.XLOOKUP($D3764,Insumos!$B$1:$B$996,Insumos!$D$1:$D$996),"")</f>
        <v/>
      </c>
      <c r="H3764" s="92" t="n">
        <v>40</v>
      </c>
      <c r="I3764" s="2162" t="n">
        <v>0</v>
      </c>
      <c r="J3764" s="2162" t="n">
        <v>0</v>
      </c>
      <c r="K3764" s="2162" t="n"/>
    </row>
    <row r="3765" outlineLevel="2" ht="15.75" customHeight="1">
      <c r="A3765" s="1067" t="n">
        <v>1</v>
      </c>
      <c r="B3765" s="1067" t="inlineStr">
        <is>
          <t>Serviço</t>
        </is>
      </c>
      <c r="C3765" s="1067" t="inlineStr">
        <is>
          <t>Mão de obra execução Piso de concreto polido</t>
        </is>
      </c>
      <c r="D3765" s="1067" t="inlineStr">
        <is>
          <t>Mão de obra execução Piso de concreto polido</t>
        </is>
      </c>
      <c r="E3765" s="1068" t="inlineStr">
        <is>
          <t>M2</t>
        </is>
      </c>
      <c r="F3765" s="1075" t="n"/>
      <c r="G3765" s="1069">
        <f t="array" ref="G3765">IF(B3765="insumo",_xlfn.XLOOKUP($D3765,Insumos!$B$1:$B$996,Insumos!$D$1:$D$996),"")</f>
        <v/>
      </c>
      <c r="H3765" s="1069" t="n">
        <v>40</v>
      </c>
      <c r="I3765" s="2161" t="e">
        <v>#REF!</v>
      </c>
      <c r="J3765" s="2161" t="e">
        <v>#REF!</v>
      </c>
      <c r="K3765" s="2161" t="n"/>
    </row>
    <row r="3766" outlineLevel="3" ht="15.75" customHeight="1">
      <c r="A3766" s="10" t="n">
        <v>1</v>
      </c>
      <c r="B3766" s="10" t="inlineStr">
        <is>
          <t>Insumo</t>
        </is>
      </c>
      <c r="C3766" s="10" t="inlineStr">
        <is>
          <t>Mão de obra execução Piso de concreto polido</t>
        </is>
      </c>
      <c r="D3766" s="10" t="inlineStr">
        <is>
          <t>Mão de obra execução Piso de concreto polido</t>
        </is>
      </c>
      <c r="E3766" s="11">
        <f t="array" ref="E3766">_xlfn.XLOOKUP(D3766,Insumos!B:B,Insumos!C:$C)</f>
        <v/>
      </c>
      <c r="F3766" s="14" t="n">
        <v>1</v>
      </c>
      <c r="G3766" s="92">
        <f t="array" ref="G3766">IF(B3766="insumo",_xlfn.XLOOKUP($D3766,Insumos!$B$1:$B$996,Insumos!$D$1:$D$996),"")</f>
        <v/>
      </c>
      <c r="H3766" s="92" t="n">
        <v>40</v>
      </c>
      <c r="I3766" s="2162" t="e">
        <v>#REF!</v>
      </c>
      <c r="J3766" s="2162" t="e">
        <v>#REF!</v>
      </c>
      <c r="K3766" s="2162" t="n"/>
    </row>
    <row r="3767" outlineLevel="1" ht="15.75" customHeight="1">
      <c r="A3767" s="1090" t="n">
        <v>1</v>
      </c>
      <c r="B3767" s="1090" t="inlineStr">
        <is>
          <t>Subetapa</t>
        </is>
      </c>
      <c r="C3767" s="1090" t="inlineStr">
        <is>
          <t>Mão de obra execução Piso de concreto polido</t>
        </is>
      </c>
      <c r="D3767" s="1090" t="inlineStr">
        <is>
          <t>MÃO DE OBRA PRÉ FABRICADOS</t>
        </is>
      </c>
      <c r="E3767" s="1091" t="n"/>
      <c r="F3767" s="2160" t="n"/>
      <c r="G3767" s="1091" t="n"/>
      <c r="H3767" s="1091" t="n">
        <v>0</v>
      </c>
      <c r="I3767" s="2160" t="n">
        <v>0</v>
      </c>
      <c r="J3767" s="2160" t="n">
        <v>0</v>
      </c>
      <c r="K3767" s="2160" t="n"/>
    </row>
    <row r="3768" outlineLevel="2" ht="15.75" customHeight="1">
      <c r="A3768" s="1067" t="n">
        <v>1</v>
      </c>
      <c r="B3768" s="1067" t="inlineStr">
        <is>
          <t>Serviço</t>
        </is>
      </c>
      <c r="C3768" s="1067" t="inlineStr">
        <is>
          <t>Mão de obra execução Piso drenantes</t>
        </is>
      </c>
      <c r="D3768" s="1067" t="inlineStr">
        <is>
          <t>Mão de obra execução Piso drenantes</t>
        </is>
      </c>
      <c r="E3768" s="1068" t="inlineStr">
        <is>
          <t>M2</t>
        </is>
      </c>
      <c r="F3768" s="1075" t="n"/>
      <c r="G3768" s="1069">
        <f t="array" ref="G3768">IF(B3768="insumo",_xlfn.XLOOKUP($D3768,Insumos!$B$1:$B$996,Insumos!$D$1:$D$996),"")</f>
        <v/>
      </c>
      <c r="H3768" s="1069" t="n">
        <v>25</v>
      </c>
      <c r="I3768" s="2161" t="n">
        <v>0</v>
      </c>
      <c r="J3768" s="2161" t="n">
        <v>0</v>
      </c>
      <c r="K3768" s="2161" t="n"/>
    </row>
    <row r="3769" outlineLevel="3" ht="15.75" customHeight="1">
      <c r="A3769" s="10" t="n">
        <v>1</v>
      </c>
      <c r="B3769" s="10" t="inlineStr">
        <is>
          <t>Insumo</t>
        </is>
      </c>
      <c r="C3769" s="10" t="inlineStr">
        <is>
          <t>Mão de obra execução Piso drenantes</t>
        </is>
      </c>
      <c r="D3769" s="10" t="inlineStr">
        <is>
          <t>Mão de obra execução Piso drenantes</t>
        </is>
      </c>
      <c r="E3769" s="11">
        <f t="array" ref="E3769">_xlfn.XLOOKUP(D3769,Insumos!B:B,Insumos!C:$C)</f>
        <v/>
      </c>
      <c r="F3769" s="14" t="n">
        <v>1</v>
      </c>
      <c r="G3769" s="92">
        <f t="array" ref="G3769">IF(B3769="insumo",_xlfn.XLOOKUP($D3769,Insumos!$B$1:$B$996,Insumos!$D$1:$D$996),"")</f>
        <v/>
      </c>
      <c r="H3769" s="92" t="n">
        <v>25</v>
      </c>
      <c r="I3769" s="2162" t="n">
        <v>0</v>
      </c>
      <c r="J3769" s="2162" t="n">
        <v>0</v>
      </c>
      <c r="K3769" s="2162" t="n"/>
    </row>
    <row r="3770" outlineLevel="2" ht="15.75" customHeight="1">
      <c r="A3770" s="1067" t="n">
        <v>1</v>
      </c>
      <c r="B3770" s="1067" t="inlineStr">
        <is>
          <t>Serviço</t>
        </is>
      </c>
      <c r="C3770" s="1067" t="inlineStr">
        <is>
          <t>Mão de obra execução Piso Intertravado</t>
        </is>
      </c>
      <c r="D3770" s="1067" t="inlineStr">
        <is>
          <t>Mão de obra execução Piso Intertravado</t>
        </is>
      </c>
      <c r="E3770" s="1068" t="inlineStr">
        <is>
          <t>M2</t>
        </is>
      </c>
      <c r="F3770" s="1075" t="n"/>
      <c r="G3770" s="1069">
        <f t="array" ref="G3770">IF(B3770="insumo",_xlfn.XLOOKUP($D3770,Insumos!$B$1:$B$996,Insumos!$D$1:$D$996),"")</f>
        <v/>
      </c>
      <c r="H3770" s="1069" t="n">
        <v>25</v>
      </c>
      <c r="I3770" s="2161" t="n">
        <v>0</v>
      </c>
      <c r="J3770" s="2161" t="n">
        <v>0</v>
      </c>
      <c r="K3770" s="2161" t="n"/>
    </row>
    <row r="3771" outlineLevel="3" ht="15.75" customHeight="1">
      <c r="A3771" s="10" t="n">
        <v>1</v>
      </c>
      <c r="B3771" s="10" t="inlineStr">
        <is>
          <t>Insumo</t>
        </is>
      </c>
      <c r="C3771" s="10" t="inlineStr">
        <is>
          <t>Mão de obra execução Piso Intertravado</t>
        </is>
      </c>
      <c r="D3771" s="10" t="inlineStr">
        <is>
          <t>Mão de obra execução Piso Intertravado</t>
        </is>
      </c>
      <c r="E3771" s="11">
        <f t="array" ref="E3771">_xlfn.XLOOKUP(D3771,Insumos!B:B,Insumos!C:$C)</f>
        <v/>
      </c>
      <c r="F3771" s="14" t="n">
        <v>1</v>
      </c>
      <c r="G3771" s="92">
        <f t="array" ref="G3771">IF(B3771="insumo",_xlfn.XLOOKUP($D3771,Insumos!$B$1:$B$996,Insumos!$D$1:$D$996),"")</f>
        <v/>
      </c>
      <c r="H3771" s="92" t="n">
        <v>25</v>
      </c>
      <c r="I3771" s="2162" t="n">
        <v>0</v>
      </c>
      <c r="J3771" s="2162" t="n">
        <v>0</v>
      </c>
      <c r="K3771" s="2162" t="n"/>
    </row>
    <row r="3772" outlineLevel="2" ht="15.75" customHeight="1">
      <c r="A3772" s="1067" t="n">
        <v>1</v>
      </c>
      <c r="B3772" s="1067" t="inlineStr">
        <is>
          <t>Serviço</t>
        </is>
      </c>
      <c r="C3772" s="1067" t="inlineStr">
        <is>
          <t>Mão de obra execução Piso de concreto</t>
        </is>
      </c>
      <c r="D3772" s="1067" t="inlineStr">
        <is>
          <t>Mão de obra execução Piso de concreto</t>
        </is>
      </c>
      <c r="E3772" s="1068" t="inlineStr">
        <is>
          <t>M2</t>
        </is>
      </c>
      <c r="F3772" s="1075" t="n"/>
      <c r="G3772" s="1069">
        <f t="array" ref="G3772">IF(B3772="insumo",_xlfn.XLOOKUP($D3772,Insumos!$B$1:$B$996,Insumos!$D$1:$D$996),"")</f>
        <v/>
      </c>
      <c r="H3772" s="1069" t="n">
        <v>25</v>
      </c>
      <c r="I3772" s="2161" t="e">
        <v>#REF!</v>
      </c>
      <c r="J3772" s="2161" t="e">
        <v>#REF!</v>
      </c>
      <c r="K3772" s="2161" t="n"/>
    </row>
    <row r="3773" outlineLevel="3" ht="15.75" customHeight="1">
      <c r="A3773" s="10" t="n">
        <v>1</v>
      </c>
      <c r="B3773" s="10" t="inlineStr">
        <is>
          <t>Insumo</t>
        </is>
      </c>
      <c r="C3773" s="10" t="inlineStr">
        <is>
          <t>Mão de obra execução Piso de concreto</t>
        </is>
      </c>
      <c r="D3773" s="10" t="inlineStr">
        <is>
          <t>Mão de obra execução Piso de concreto</t>
        </is>
      </c>
      <c r="E3773" s="11">
        <f t="array" ref="E3773">_xlfn.XLOOKUP(D3773,Insumos!B:B,Insumos!C:$C)</f>
        <v/>
      </c>
      <c r="F3773" s="14" t="n">
        <v>1</v>
      </c>
      <c r="G3773" s="92">
        <f t="array" ref="G3773">IF(B3773="insumo",_xlfn.XLOOKUP($D3773,Insumos!$B$1:$B$996,Insumos!$D$1:$D$996),"")</f>
        <v/>
      </c>
      <c r="H3773" s="92" t="n">
        <v>25</v>
      </c>
      <c r="I3773" s="2162" t="e">
        <v>#REF!</v>
      </c>
      <c r="J3773" s="2162" t="e">
        <v>#REF!</v>
      </c>
      <c r="K3773" s="2162" t="n"/>
    </row>
    <row r="3774" outlineLevel="1" ht="15.75" customHeight="1">
      <c r="A3774" s="1090" t="n">
        <v>1</v>
      </c>
      <c r="B3774" s="1090" t="inlineStr">
        <is>
          <t>Subetapa</t>
        </is>
      </c>
      <c r="C3774" s="1090" t="inlineStr">
        <is>
          <t>Mão de obra execução Piso de concreto</t>
        </is>
      </c>
      <c r="D3774" s="1090" t="inlineStr">
        <is>
          <t>MÃO DE OBRA ACABAMENTOS</t>
        </is>
      </c>
      <c r="E3774" s="1091" t="n"/>
      <c r="F3774" s="2160" t="n"/>
      <c r="G3774" s="1091" t="n"/>
      <c r="H3774" s="1091" t="n">
        <v>0</v>
      </c>
      <c r="I3774" s="2160" t="n">
        <v>0</v>
      </c>
      <c r="J3774" s="2160" t="n">
        <v>0</v>
      </c>
      <c r="K3774" s="2160" t="n"/>
    </row>
    <row r="3775" outlineLevel="2" ht="15.75" customHeight="1">
      <c r="A3775" s="1067" t="n">
        <v>1</v>
      </c>
      <c r="B3775" s="1067" t="inlineStr">
        <is>
          <t>Serviço</t>
        </is>
      </c>
      <c r="C3775" s="1067" t="inlineStr">
        <is>
          <t>Mão de Obra Piso Porcenato/ Cerâmico</t>
        </is>
      </c>
      <c r="D3775" s="1067" t="inlineStr">
        <is>
          <t>Mão de Obra Piso Porcenato/ Cerâmico</t>
        </is>
      </c>
      <c r="E3775" s="1068" t="inlineStr">
        <is>
          <t>M2</t>
        </is>
      </c>
      <c r="F3775" s="1075" t="n"/>
      <c r="G3775" s="1069">
        <f t="array" ref="G3775">IF(B3775="insumo",_xlfn.XLOOKUP($D3775,Insumos!$B$1:$B$996,Insumos!$D$1:$D$996),"")</f>
        <v/>
      </c>
      <c r="H3775" s="1069" t="n">
        <v>75</v>
      </c>
      <c r="I3775" s="2161" t="e">
        <v>#REF!</v>
      </c>
      <c r="J3775" s="2161" t="e">
        <v>#REF!</v>
      </c>
      <c r="K3775" s="2161" t="n"/>
    </row>
    <row r="3776" outlineLevel="3" ht="15.75" customHeight="1">
      <c r="A3776" s="10" t="n">
        <v>1</v>
      </c>
      <c r="B3776" s="10" t="inlineStr">
        <is>
          <t>Insumo</t>
        </is>
      </c>
      <c r="C3776" s="10" t="inlineStr">
        <is>
          <t>Mão de Obra Piso Porcenato/ Cerâmico</t>
        </is>
      </c>
      <c r="D3776" s="10" t="inlineStr">
        <is>
          <t>Mão de Obra Piso Porcenato/ Cerâmico</t>
        </is>
      </c>
      <c r="E3776" s="11">
        <f t="array" ref="E3776">_xlfn.XLOOKUP(D3776,Insumos!B:B,Insumos!C:$C)</f>
        <v/>
      </c>
      <c r="F3776" s="14" t="n">
        <v>1</v>
      </c>
      <c r="G3776" s="92">
        <f t="array" ref="G3776">IF(B3776="insumo",_xlfn.XLOOKUP($D3776,Insumos!$B$1:$B$996,Insumos!$D$1:$D$996),"")</f>
        <v/>
      </c>
      <c r="H3776" s="92" t="n">
        <v>75</v>
      </c>
      <c r="I3776" s="2162" t="e">
        <v>#REF!</v>
      </c>
      <c r="J3776" s="2162" t="e">
        <v>#REF!</v>
      </c>
      <c r="K3776" s="2162" t="n"/>
    </row>
    <row r="3777" outlineLevel="2" ht="15.75" customHeight="1">
      <c r="A3777" s="1067" t="n">
        <v>1</v>
      </c>
      <c r="B3777" s="1067" t="inlineStr">
        <is>
          <t>Serviço</t>
        </is>
      </c>
      <c r="C3777" s="1067" t="inlineStr">
        <is>
          <t>Mão de obra de rodapé Pedra Natural</t>
        </is>
      </c>
      <c r="D3777" s="1067" t="inlineStr">
        <is>
          <t>Mão de obra de rodapé Pedra Natural</t>
        </is>
      </c>
      <c r="E3777" s="1068" t="inlineStr">
        <is>
          <t>M2</t>
        </is>
      </c>
      <c r="F3777" s="1075" t="n"/>
      <c r="G3777" s="1069">
        <f t="array" ref="G3777">IF(B3777="insumo",_xlfn.XLOOKUP($D3777,Insumos!$B$1:$B$996,Insumos!$D$1:$D$996),"")</f>
        <v/>
      </c>
      <c r="H3777" s="1069" t="n">
        <v>22</v>
      </c>
      <c r="I3777" s="2161" t="n">
        <v>0</v>
      </c>
      <c r="J3777" s="2161" t="n">
        <v>0</v>
      </c>
      <c r="K3777" s="2161" t="n"/>
    </row>
    <row r="3778" outlineLevel="3" ht="15.75" customHeight="1">
      <c r="A3778" s="10" t="n">
        <v>1</v>
      </c>
      <c r="B3778" s="10" t="inlineStr">
        <is>
          <t>Insumo</t>
        </is>
      </c>
      <c r="C3778" s="10" t="inlineStr">
        <is>
          <t>Mão de obra de rodapé Pedra Natural</t>
        </is>
      </c>
      <c r="D3778" s="10" t="inlineStr">
        <is>
          <t>Mão de obra de rodapé Pedra Natural</t>
        </is>
      </c>
      <c r="E3778" s="11">
        <f t="array" ref="E3778">_xlfn.XLOOKUP(D3778,Insumos!B:B,Insumos!C:$C)</f>
        <v/>
      </c>
      <c r="F3778" s="14" t="n">
        <v>1</v>
      </c>
      <c r="G3778" s="92">
        <f t="array" ref="G3778">IF(B3778="insumo",_xlfn.XLOOKUP($D3778,Insumos!$B$1:$B$996,Insumos!$D$1:$D$996),"")</f>
        <v/>
      </c>
      <c r="H3778" s="92" t="n">
        <v>22</v>
      </c>
      <c r="I3778" s="2162" t="n">
        <v>0</v>
      </c>
      <c r="J3778" s="2162" t="n">
        <v>0</v>
      </c>
      <c r="K3778" s="2162" t="n"/>
    </row>
    <row r="3779" outlineLevel="2" ht="15.75" customHeight="1">
      <c r="A3779" s="1067" t="n">
        <v>1</v>
      </c>
      <c r="B3779" s="1067" t="inlineStr">
        <is>
          <t>Serviço</t>
        </is>
      </c>
      <c r="C3779" s="1067" t="inlineStr">
        <is>
          <t>Mão de obra para assentamento de Travertino em piso</t>
        </is>
      </c>
      <c r="D3779" s="1067" t="inlineStr">
        <is>
          <t>Mão de obra para assentamento de Travertino em piso</t>
        </is>
      </c>
      <c r="E3779" s="1068" t="inlineStr">
        <is>
          <t>M2</t>
        </is>
      </c>
      <c r="F3779" s="1075" t="n"/>
      <c r="G3779" s="1069">
        <f t="array" ref="G3779">IF(B3779="insumo",_xlfn.XLOOKUP($D3779,Insumos!$B$1:$B$996,Insumos!$D$1:$D$996),"")</f>
        <v/>
      </c>
      <c r="H3779" s="1069" t="n">
        <v>85</v>
      </c>
      <c r="I3779" s="2161" t="e">
        <v>#REF!</v>
      </c>
      <c r="J3779" s="2161" t="e">
        <v>#REF!</v>
      </c>
      <c r="K3779" s="2161" t="n"/>
    </row>
    <row r="3780" outlineLevel="3" ht="15.75" customHeight="1">
      <c r="A3780" s="10" t="n">
        <v>1</v>
      </c>
      <c r="B3780" s="10" t="inlineStr">
        <is>
          <t>Insumo</t>
        </is>
      </c>
      <c r="C3780" s="10" t="inlineStr">
        <is>
          <t>Mão de obra para assentamento de Travertino em piso</t>
        </is>
      </c>
      <c r="D3780" s="10" t="inlineStr">
        <is>
          <t>Mão de obra para assentamento de Travertino em piso</t>
        </is>
      </c>
      <c r="E3780" s="11">
        <f t="array" ref="E3780">_xlfn.XLOOKUP(D3780,Insumos!B:B,Insumos!C:$C)</f>
        <v/>
      </c>
      <c r="F3780" s="14" t="n">
        <v>1</v>
      </c>
      <c r="G3780" s="92">
        <f t="array" ref="G3780">IF(B3780="insumo",_xlfn.XLOOKUP($D3780,Insumos!$B$1:$B$996,Insumos!$D$1:$D$996),"")</f>
        <v/>
      </c>
      <c r="H3780" s="92" t="n">
        <v>85</v>
      </c>
      <c r="I3780" s="2162" t="e">
        <v>#REF!</v>
      </c>
      <c r="J3780" s="2162" t="e">
        <v>#REF!</v>
      </c>
      <c r="K3780" s="2162" t="n"/>
    </row>
    <row r="3781" outlineLevel="2" ht="15.75" customHeight="1">
      <c r="A3781" s="1067" t="n">
        <v>1</v>
      </c>
      <c r="B3781" s="1067" t="inlineStr">
        <is>
          <t>Serviço</t>
        </is>
      </c>
      <c r="C3781" s="1067" t="inlineStr">
        <is>
          <t>Mão de obra para assentamento de Pedras Naturais e Mármores em piso</t>
        </is>
      </c>
      <c r="D3781" s="1067" t="inlineStr">
        <is>
          <t>Mão de obra para assentamento de Pedras Naturais e Mármores em piso</t>
        </is>
      </c>
      <c r="E3781" s="1068" t="inlineStr">
        <is>
          <t>M2</t>
        </is>
      </c>
      <c r="F3781" s="1075" t="n"/>
      <c r="G3781" s="1069">
        <f t="array" ref="G3781">IF(B3781="insumo",_xlfn.XLOOKUP($D3781,Insumos!$B$1:$B$996,Insumos!$D$1:$D$996),"")</f>
        <v/>
      </c>
      <c r="H3781" s="1069" t="n">
        <v>85</v>
      </c>
      <c r="I3781" s="2161" t="e">
        <v>#REF!</v>
      </c>
      <c r="J3781" s="2161" t="e">
        <v>#REF!</v>
      </c>
      <c r="K3781" s="2161" t="n"/>
    </row>
    <row r="3782" outlineLevel="3" ht="15.75" customHeight="1">
      <c r="A3782" s="10" t="n">
        <v>1</v>
      </c>
      <c r="B3782" s="10" t="inlineStr">
        <is>
          <t>Insumo</t>
        </is>
      </c>
      <c r="C3782" s="10" t="inlineStr">
        <is>
          <t>Mão de obra para assentamento de Pedras Naturais e Mármores em piso</t>
        </is>
      </c>
      <c r="D3782" s="10" t="inlineStr">
        <is>
          <t>Mão de obra para assentamento de Pedras Naturais em piso</t>
        </is>
      </c>
      <c r="E3782" s="11">
        <f t="array" ref="E3782">_xlfn.XLOOKUP(D3782,Insumos!B:B,Insumos!C:$C)</f>
        <v/>
      </c>
      <c r="F3782" s="14" t="n">
        <v>1</v>
      </c>
      <c r="G3782" s="92">
        <f t="array" ref="G3782">IF(B3782="insumo",_xlfn.XLOOKUP($D3782,Insumos!$B$1:$B$996,Insumos!$D$1:$D$996),"")</f>
        <v/>
      </c>
      <c r="H3782" s="92" t="n">
        <v>85</v>
      </c>
      <c r="I3782" s="2162" t="e">
        <v>#REF!</v>
      </c>
      <c r="J3782" s="2162" t="e">
        <v>#REF!</v>
      </c>
      <c r="K3782" s="2162" t="n"/>
    </row>
    <row r="3783" outlineLevel="1" ht="15.75" customHeight="1">
      <c r="A3783" s="1090" t="n">
        <v>1</v>
      </c>
      <c r="B3783" s="1090" t="inlineStr">
        <is>
          <t>Subetapa</t>
        </is>
      </c>
      <c r="C3783" s="1090" t="inlineStr">
        <is>
          <t>Mão de obra para assentamento de Pedras Naturais e Mármores em piso</t>
        </is>
      </c>
      <c r="D3783" s="1090" t="inlineStr">
        <is>
          <t>MÃO DE OBRA RODAPÉ</t>
        </is>
      </c>
      <c r="E3783" s="1091" t="n"/>
      <c r="F3783" s="2160" t="n"/>
      <c r="G3783" s="1091" t="n"/>
      <c r="H3783" s="1091" t="n">
        <v>0</v>
      </c>
      <c r="I3783" s="2160" t="n">
        <v>0</v>
      </c>
      <c r="J3783" s="2160" t="n">
        <v>0</v>
      </c>
      <c r="K3783" s="2160" t="n"/>
    </row>
    <row r="3784" outlineLevel="2" ht="15.75" customHeight="1">
      <c r="A3784" s="1067" t="n">
        <v>1</v>
      </c>
      <c r="B3784" s="1067" t="inlineStr">
        <is>
          <t>Serviço</t>
        </is>
      </c>
      <c r="C3784" s="1067" t="inlineStr">
        <is>
          <t>Mão de obra de rodapé Poliestireno</t>
        </is>
      </c>
      <c r="D3784" s="1067" t="inlineStr">
        <is>
          <t>Mão de obra de rodapé Poliestireno</t>
        </is>
      </c>
      <c r="E3784" s="1068" t="inlineStr">
        <is>
          <t>M2</t>
        </is>
      </c>
      <c r="F3784" s="1075" t="n"/>
      <c r="G3784" s="1069">
        <f t="array" ref="G3784">IF(B3784="insumo",_xlfn.XLOOKUP($D3784,Insumos!$B$1:$B$996,Insumos!$D$1:$D$996),"")</f>
        <v/>
      </c>
      <c r="H3784" s="1069" t="n">
        <v>28</v>
      </c>
      <c r="I3784" s="2161" t="e">
        <v>#REF!</v>
      </c>
      <c r="J3784" s="2161" t="e">
        <v>#REF!</v>
      </c>
      <c r="K3784" s="2161" t="n"/>
    </row>
    <row r="3785" outlineLevel="3" ht="15.75" customHeight="1">
      <c r="A3785" s="10" t="n">
        <v>1</v>
      </c>
      <c r="B3785" s="10" t="inlineStr">
        <is>
          <t>Insumo</t>
        </is>
      </c>
      <c r="C3785" s="10" t="inlineStr">
        <is>
          <t>Mão de obra de rodapé Poliestireno</t>
        </is>
      </c>
      <c r="D3785" s="10" t="inlineStr">
        <is>
          <t>Mão de obra de rodapé Poliestireno</t>
        </is>
      </c>
      <c r="E3785" s="11">
        <f t="array" ref="E3785">_xlfn.XLOOKUP(D3785,Insumos!B:B,Insumos!C:$C)</f>
        <v/>
      </c>
      <c r="F3785" s="14" t="n">
        <v>1</v>
      </c>
      <c r="G3785" s="92">
        <f t="array" ref="G3785">IF(B3785="insumo",_xlfn.XLOOKUP($D3785,Insumos!$B$1:$B$996,Insumos!$D$1:$D$996),"")</f>
        <v/>
      </c>
      <c r="H3785" s="92" t="n">
        <v>28</v>
      </c>
      <c r="I3785" s="2162" t="e">
        <v>#REF!</v>
      </c>
      <c r="J3785" s="2162" t="e">
        <v>#REF!</v>
      </c>
      <c r="K3785" s="2162" t="n"/>
    </row>
    <row r="3786" outlineLevel="2" ht="15.75" customHeight="1">
      <c r="A3786" s="1067" t="n">
        <v>1</v>
      </c>
      <c r="B3786" s="1067" t="inlineStr">
        <is>
          <t>Serviço</t>
        </is>
      </c>
      <c r="C3786" s="1067" t="inlineStr">
        <is>
          <t>Mão de obra de rodapé Porcelanato</t>
        </is>
      </c>
      <c r="D3786" s="1067" t="inlineStr">
        <is>
          <t>Mão de obra de rodapé Porcelanato</t>
        </is>
      </c>
      <c r="E3786" s="1068" t="inlineStr">
        <is>
          <t>M2</t>
        </is>
      </c>
      <c r="F3786" s="1075" t="n"/>
      <c r="G3786" s="1069">
        <f t="array" ref="G3786">IF(B3786="insumo",_xlfn.XLOOKUP($D3786,Insumos!$B$1:$B$996,Insumos!$D$1:$D$996),"")</f>
        <v/>
      </c>
      <c r="H3786" s="1069" t="n">
        <v>24</v>
      </c>
      <c r="I3786" s="2161" t="e">
        <v>#REF!</v>
      </c>
      <c r="J3786" s="2161" t="e">
        <v>#REF!</v>
      </c>
      <c r="K3786" s="2161" t="n"/>
    </row>
    <row r="3787" outlineLevel="3" ht="15.75" customHeight="1">
      <c r="A3787" s="10" t="n">
        <v>1</v>
      </c>
      <c r="B3787" s="10" t="inlineStr">
        <is>
          <t>Insumo</t>
        </is>
      </c>
      <c r="C3787" s="10" t="inlineStr">
        <is>
          <t>Mão de obra de rodapé Porcelanato</t>
        </is>
      </c>
      <c r="D3787" s="10" t="inlineStr">
        <is>
          <t>Mão de obra de rodapé Porcelanato</t>
        </is>
      </c>
      <c r="E3787" s="11">
        <f t="array" ref="E3787">_xlfn.XLOOKUP(D3787,Insumos!B:B,Insumos!C:$C)</f>
        <v/>
      </c>
      <c r="F3787" s="14" t="n">
        <v>1</v>
      </c>
      <c r="G3787" s="92">
        <f t="array" ref="G3787">IF(B3787="insumo",_xlfn.XLOOKUP($D3787,Insumos!$B$1:$B$996,Insumos!$D$1:$D$996),"")</f>
        <v/>
      </c>
      <c r="H3787" s="92" t="n">
        <v>24</v>
      </c>
      <c r="I3787" s="2162" t="e">
        <v>#REF!</v>
      </c>
      <c r="J3787" s="2162" t="e">
        <v>#REF!</v>
      </c>
      <c r="K3787" s="2162" t="n"/>
    </row>
    <row r="3788" outlineLevel="2" ht="15.75" customHeight="1">
      <c r="A3788" s="1067" t="n">
        <v>1</v>
      </c>
      <c r="B3788" s="1067" t="inlineStr">
        <is>
          <t>Serviço</t>
        </is>
      </c>
      <c r="C3788" s="1067" t="inlineStr">
        <is>
          <t>Mão de obra de rodapé Madeira/MDF</t>
        </is>
      </c>
      <c r="D3788" s="1067" t="inlineStr">
        <is>
          <t>Mão de obra de rodapé Madeira/MDF</t>
        </is>
      </c>
      <c r="E3788" s="1068" t="inlineStr">
        <is>
          <t>M2</t>
        </is>
      </c>
      <c r="F3788" s="1075" t="n"/>
      <c r="G3788" s="1069">
        <f t="array" ref="G3788">IF(B3788="insumo",_xlfn.XLOOKUP($D3788,Insumos!$B$1:$B$996,Insumos!$D$1:$D$996),"")</f>
        <v/>
      </c>
      <c r="H3788" s="1069" t="n">
        <v>24.5</v>
      </c>
      <c r="I3788" s="2161" t="n">
        <v>0</v>
      </c>
      <c r="J3788" s="2161" t="n">
        <v>0</v>
      </c>
      <c r="K3788" s="2161" t="n"/>
    </row>
    <row r="3789" outlineLevel="3" ht="15.75" customHeight="1">
      <c r="A3789" s="10" t="n">
        <v>1</v>
      </c>
      <c r="B3789" s="10" t="inlineStr">
        <is>
          <t>Insumo</t>
        </is>
      </c>
      <c r="C3789" s="10" t="inlineStr">
        <is>
          <t>Mão de obra de rodapé Madeira/MDF</t>
        </is>
      </c>
      <c r="D3789" s="10" t="inlineStr">
        <is>
          <t>Mão de obra de rodapé Madeira/MDF</t>
        </is>
      </c>
      <c r="E3789" s="11">
        <f t="array" ref="E3789">_xlfn.XLOOKUP(D3789,Insumos!B:B,Insumos!C:$C)</f>
        <v/>
      </c>
      <c r="F3789" s="14" t="n">
        <v>1</v>
      </c>
      <c r="G3789" s="92">
        <f t="array" ref="G3789">IF(B3789="insumo",_xlfn.XLOOKUP($D3789,Insumos!$B$1:$B$996,Insumos!$D$1:$D$996),"")</f>
        <v/>
      </c>
      <c r="H3789" s="92" t="n">
        <v>24.5</v>
      </c>
      <c r="I3789" s="2162" t="n">
        <v>0</v>
      </c>
      <c r="J3789" s="2162" t="n">
        <v>0</v>
      </c>
      <c r="K3789" s="2162" t="n"/>
    </row>
    <row r="3790" outlineLevel="2" ht="15.75" customHeight="1">
      <c r="A3790" s="1067" t="n">
        <v>1</v>
      </c>
      <c r="B3790" s="1067" t="inlineStr">
        <is>
          <t>Serviço</t>
        </is>
      </c>
      <c r="C3790" s="1067" t="inlineStr">
        <is>
          <t>Mão de obra de rodapé Pedra</t>
        </is>
      </c>
      <c r="D3790" s="1067" t="inlineStr">
        <is>
          <t>Mão de obra de rodapé Pedra</t>
        </is>
      </c>
      <c r="E3790" s="1068" t="inlineStr">
        <is>
          <t>M2</t>
        </is>
      </c>
      <c r="F3790" s="1075" t="n"/>
      <c r="G3790" s="1069">
        <f t="array" ref="G3790">IF(B3790="insumo",_xlfn.XLOOKUP($D3790,Insumos!$B$1:$B$996,Insumos!$D$1:$D$996),"")</f>
        <v/>
      </c>
      <c r="H3790" s="1069" t="n">
        <v>24</v>
      </c>
      <c r="I3790" s="2161" t="e">
        <v>#REF!</v>
      </c>
      <c r="J3790" s="2161" t="e">
        <v>#REF!</v>
      </c>
      <c r="K3790" s="2161" t="n"/>
    </row>
    <row r="3791" outlineLevel="3" ht="15.75" customHeight="1">
      <c r="A3791" s="10" t="n">
        <v>1</v>
      </c>
      <c r="B3791" s="10" t="inlineStr">
        <is>
          <t>Insumo</t>
        </is>
      </c>
      <c r="C3791" s="10" t="inlineStr">
        <is>
          <t>Mão de obra de rodapé Pedra</t>
        </is>
      </c>
      <c r="D3791" s="10" t="inlineStr">
        <is>
          <t>Mão de obra de rodapé Pedra</t>
        </is>
      </c>
      <c r="E3791" s="11">
        <f t="array" ref="E3791">_xlfn.XLOOKUP(D3791,Insumos!B:B,Insumos!C:$C)</f>
        <v/>
      </c>
      <c r="F3791" s="14" t="n">
        <v>1</v>
      </c>
      <c r="G3791" s="92">
        <f t="array" ref="G3791">IF(B3791="insumo",_xlfn.XLOOKUP($D3791,Insumos!$B$1:$B$996,Insumos!$D$1:$D$996),"")</f>
        <v/>
      </c>
      <c r="H3791" s="92" t="n">
        <v>24</v>
      </c>
      <c r="I3791" s="2162" t="e">
        <v>#REF!</v>
      </c>
      <c r="J3791" s="2162" t="e">
        <v>#REF!</v>
      </c>
      <c r="K3791" s="2162" t="n"/>
    </row>
    <row r="3792" outlineLevel="2" ht="15.75" customHeight="1">
      <c r="A3792" s="1067" t="n">
        <v>1</v>
      </c>
      <c r="B3792" s="1067" t="inlineStr">
        <is>
          <t>Serviço</t>
        </is>
      </c>
      <c r="C3792" s="1067" t="inlineStr">
        <is>
          <t>Mão de obra de rodapé Pedra/Granito</t>
        </is>
      </c>
      <c r="D3792" s="1067" t="inlineStr">
        <is>
          <t>Mão de obra de rodapé Pedra/Granito</t>
        </is>
      </c>
      <c r="E3792" s="1068" t="inlineStr">
        <is>
          <t>M2</t>
        </is>
      </c>
      <c r="F3792" s="1075" t="n"/>
      <c r="G3792" s="1069">
        <f t="array" ref="G3792">IF(B3792="insumo",_xlfn.XLOOKUP($D3792,Insumos!$B$1:$B$996,Insumos!$D$1:$D$996),"")</f>
        <v/>
      </c>
      <c r="H3792" s="1069" t="n">
        <v>22</v>
      </c>
      <c r="I3792" s="2161" t="n">
        <v>0</v>
      </c>
      <c r="J3792" s="2161" t="n">
        <v>0</v>
      </c>
      <c r="K3792" s="2161" t="n"/>
    </row>
    <row r="3793" outlineLevel="3" ht="15.75" customHeight="1">
      <c r="A3793" s="10" t="n">
        <v>1</v>
      </c>
      <c r="B3793" s="10" t="inlineStr">
        <is>
          <t>Insumo</t>
        </is>
      </c>
      <c r="C3793" s="10" t="inlineStr">
        <is>
          <t>Mão de obra de rodapé Pedra/Granito</t>
        </is>
      </c>
      <c r="D3793" s="10" t="inlineStr">
        <is>
          <t>Mão de obra de rodapé Pedra/Granito</t>
        </is>
      </c>
      <c r="E3793" s="11">
        <f t="array" ref="E3793">_xlfn.XLOOKUP(D3793,Insumos!B:B,Insumos!C:$C)</f>
        <v/>
      </c>
      <c r="F3793" s="14" t="n">
        <v>1</v>
      </c>
      <c r="G3793" s="92">
        <f t="array" ref="G3793">IF(B3793="insumo",_xlfn.XLOOKUP($D3793,Insumos!$B$1:$B$996,Insumos!$D$1:$D$996),"")</f>
        <v/>
      </c>
      <c r="H3793" s="92" t="n">
        <v>22</v>
      </c>
      <c r="I3793" s="2162" t="n">
        <v>0</v>
      </c>
      <c r="J3793" s="2162" t="n">
        <v>0</v>
      </c>
      <c r="K3793" s="2162" t="n"/>
    </row>
    <row r="3794" outlineLevel="1" ht="15.75" customHeight="1">
      <c r="A3794" s="1090" t="n">
        <v>1</v>
      </c>
      <c r="B3794" s="1090" t="inlineStr">
        <is>
          <t>Subetapa</t>
        </is>
      </c>
      <c r="C3794" s="1090" t="inlineStr">
        <is>
          <t>Mão de obra de rodapé Pedra/Granito</t>
        </is>
      </c>
      <c r="D3794" s="1090" t="inlineStr">
        <is>
          <t>MÃO DE OBRA SOLEIRA</t>
        </is>
      </c>
      <c r="E3794" s="1091" t="n"/>
      <c r="F3794" s="2160" t="n"/>
      <c r="G3794" s="1091" t="n"/>
      <c r="H3794" s="1091" t="n">
        <v>0</v>
      </c>
      <c r="I3794" s="2160" t="n">
        <v>0</v>
      </c>
      <c r="J3794" s="2160" t="n">
        <v>0</v>
      </c>
      <c r="K3794" s="2160" t="n"/>
    </row>
    <row r="3795" outlineLevel="2" ht="15.75" customHeight="1">
      <c r="A3795" s="1067" t="n">
        <v>1</v>
      </c>
      <c r="B3795" s="1067" t="inlineStr">
        <is>
          <t>Serviço</t>
        </is>
      </c>
      <c r="C3795" s="1067" t="inlineStr">
        <is>
          <t>Mão de obra de colocação de soleira em porcelanato</t>
        </is>
      </c>
      <c r="D3795" s="1067" t="inlineStr">
        <is>
          <t>Mão de obra de colocação de soleira em porcelanato</t>
        </is>
      </c>
      <c r="E3795" s="1068" t="inlineStr">
        <is>
          <t>M2</t>
        </is>
      </c>
      <c r="F3795" s="1075" t="n"/>
      <c r="G3795" s="1069">
        <f t="array" ref="G3795">IF(B3795="insumo",_xlfn.XLOOKUP($D3795,Insumos!$B$1:$B$996,Insumos!$D$1:$D$996),"")</f>
        <v/>
      </c>
      <c r="H3795" s="1069" t="n">
        <v>50</v>
      </c>
      <c r="I3795" s="2161" t="n">
        <v>0</v>
      </c>
      <c r="J3795" s="2161" t="n">
        <v>0</v>
      </c>
      <c r="K3795" s="2161" t="n"/>
    </row>
    <row r="3796" outlineLevel="3" ht="15.75" customHeight="1">
      <c r="A3796" s="10" t="n">
        <v>1</v>
      </c>
      <c r="B3796" s="10" t="inlineStr">
        <is>
          <t>Insumo</t>
        </is>
      </c>
      <c r="C3796" s="10" t="inlineStr">
        <is>
          <t>Mão de obra de colocação de soleira em porcelanato</t>
        </is>
      </c>
      <c r="D3796" s="10" t="inlineStr">
        <is>
          <t>Mão de obra de colocação de soleira em porcelanato</t>
        </is>
      </c>
      <c r="E3796" s="11">
        <f t="array" ref="E3796">_xlfn.XLOOKUP(D3796,Insumos!B:B,Insumos!C:$C)</f>
        <v/>
      </c>
      <c r="F3796" s="14" t="n">
        <v>1</v>
      </c>
      <c r="G3796" s="92">
        <f t="array" ref="G3796">IF(B3796="insumo",_xlfn.XLOOKUP($D3796,Insumos!$B$1:$B$996,Insumos!$D$1:$D$996),"")</f>
        <v/>
      </c>
      <c r="H3796" s="92" t="n">
        <v>50</v>
      </c>
      <c r="I3796" s="2162" t="n">
        <v>0</v>
      </c>
      <c r="J3796" s="2162" t="n">
        <v>0</v>
      </c>
      <c r="K3796" s="2162" t="n"/>
    </row>
    <row r="3797" outlineLevel="2" ht="15.75" customHeight="1">
      <c r="A3797" s="1067" t="n">
        <v>1</v>
      </c>
      <c r="B3797" s="1067" t="inlineStr">
        <is>
          <t>Serviço</t>
        </is>
      </c>
      <c r="C3797" s="1067" t="inlineStr">
        <is>
          <t>Mão de obra de colocação de soleira em pedra natural</t>
        </is>
      </c>
      <c r="D3797" s="1067" t="inlineStr">
        <is>
          <t>Mão de obra de colocação de soleira em pedra natural</t>
        </is>
      </c>
      <c r="E3797" s="1068" t="inlineStr">
        <is>
          <t>M2</t>
        </is>
      </c>
      <c r="F3797" s="1075" t="n"/>
      <c r="G3797" s="1069">
        <f t="array" ref="G3797">IF(B3797="insumo",_xlfn.XLOOKUP($D3797,Insumos!$B$1:$B$996,Insumos!$D$1:$D$996),"")</f>
        <v/>
      </c>
      <c r="H3797" s="1069" t="n">
        <v>22</v>
      </c>
      <c r="I3797" s="2161" t="n">
        <v>0</v>
      </c>
      <c r="J3797" s="2161" t="n">
        <v>0</v>
      </c>
      <c r="K3797" s="2161" t="n"/>
    </row>
    <row r="3798" outlineLevel="3" ht="15.75" customHeight="1">
      <c r="A3798" s="10" t="n">
        <v>1</v>
      </c>
      <c r="B3798" s="10" t="inlineStr">
        <is>
          <t>Insumo</t>
        </is>
      </c>
      <c r="C3798" s="10" t="inlineStr">
        <is>
          <t>Mão de obra de colocação de soleira em pedra natural</t>
        </is>
      </c>
      <c r="D3798" s="10" t="inlineStr">
        <is>
          <t>Mão de obra de colocação de soleira em pedra natural</t>
        </is>
      </c>
      <c r="E3798" s="11">
        <f t="array" ref="E3798">_xlfn.XLOOKUP(D3798,Insumos!B:B,Insumos!C:$C)</f>
        <v/>
      </c>
      <c r="F3798" s="14" t="n">
        <v>1</v>
      </c>
      <c r="G3798" s="92">
        <f t="array" ref="G3798">IF(B3798="insumo",_xlfn.XLOOKUP($D3798,Insumos!$B$1:$B$996,Insumos!$D$1:$D$996),"")</f>
        <v/>
      </c>
      <c r="H3798" s="92" t="n">
        <v>22</v>
      </c>
      <c r="I3798" s="2162" t="n">
        <v>0</v>
      </c>
      <c r="J3798" s="2162" t="n">
        <v>0</v>
      </c>
      <c r="K3798" s="2162" t="n"/>
    </row>
    <row r="3799" outlineLevel="2" ht="15.75" customHeight="1">
      <c r="A3799" s="1067" t="n">
        <v>1</v>
      </c>
      <c r="B3799" s="1067" t="inlineStr">
        <is>
          <t>Serviço</t>
        </is>
      </c>
      <c r="C3799" s="1067" t="inlineStr">
        <is>
          <t>Mão de obra de colocação de soleira em granito</t>
        </is>
      </c>
      <c r="D3799" s="1067" t="inlineStr">
        <is>
          <t>Mão de obra de colocação de soleira em granito</t>
        </is>
      </c>
      <c r="E3799" s="1068" t="inlineStr">
        <is>
          <t>M2</t>
        </is>
      </c>
      <c r="F3799" s="1075" t="n"/>
      <c r="G3799" s="1069">
        <f t="array" ref="G3799">IF(B3799="insumo",_xlfn.XLOOKUP($D3799,Insumos!$B$1:$B$996,Insumos!$D$1:$D$996),"")</f>
        <v/>
      </c>
      <c r="H3799" s="1069" t="n">
        <v>22</v>
      </c>
      <c r="I3799" s="2161" t="n">
        <v>0</v>
      </c>
      <c r="J3799" s="2161" t="n">
        <v>0</v>
      </c>
      <c r="K3799" s="2161" t="n"/>
    </row>
    <row r="3800" outlineLevel="3" ht="15.75" customHeight="1">
      <c r="A3800" s="10" t="n">
        <v>1</v>
      </c>
      <c r="B3800" s="10" t="inlineStr">
        <is>
          <t>Insumo</t>
        </is>
      </c>
      <c r="C3800" s="10" t="inlineStr">
        <is>
          <t>Mão de obra de colocação de soleira em granito</t>
        </is>
      </c>
      <c r="D3800" s="10" t="inlineStr">
        <is>
          <t>Mão de obra de colocação de soleira em granito</t>
        </is>
      </c>
      <c r="E3800" s="11">
        <f t="array" ref="E3800">_xlfn.XLOOKUP(D3800,Insumos!B:B,Insumos!C:$C)</f>
        <v/>
      </c>
      <c r="F3800" s="14" t="n">
        <v>1</v>
      </c>
      <c r="G3800" s="92">
        <f t="array" ref="G3800">IF(B3800="insumo",_xlfn.XLOOKUP($D3800,Insumos!$B$1:$B$996,Insumos!$D$1:$D$996),"")</f>
        <v/>
      </c>
      <c r="H3800" s="92" t="n">
        <v>22</v>
      </c>
      <c r="I3800" s="2162" t="n">
        <v>0</v>
      </c>
      <c r="J3800" s="2162" t="n">
        <v>0</v>
      </c>
      <c r="K3800" s="2162" t="n"/>
    </row>
    <row r="3801" ht="15.75" customHeight="1">
      <c r="A3801" s="7" t="n">
        <v>1</v>
      </c>
      <c r="B3801" s="7" t="inlineStr">
        <is>
          <t>Etapa</t>
        </is>
      </c>
      <c r="C3801" s="7" t="inlineStr">
        <is>
          <t>Mão de obra de colocação de soleira em granito</t>
        </is>
      </c>
      <c r="D3801" s="7" t="inlineStr">
        <is>
          <t>PINTURA INTERNA</t>
        </is>
      </c>
      <c r="E3801" s="8" t="n"/>
      <c r="F3801" s="2159" t="n"/>
      <c r="G3801" s="91">
        <f t="array" ref="G3801">IF(B3801="insumo",_xlfn.XLOOKUP($D3801,Insumos!$B$1:$B$996,Insumos!$D$1:$D$996),"")</f>
        <v/>
      </c>
      <c r="H3801" s="91" t="n">
        <v>0</v>
      </c>
      <c r="I3801" s="2159" t="n">
        <v>0</v>
      </c>
      <c r="J3801" s="2159" t="n">
        <v>0</v>
      </c>
      <c r="K3801" s="2159" t="n"/>
    </row>
    <row r="3802" outlineLevel="1" ht="15.75" customHeight="1">
      <c r="A3802" s="1090" t="n">
        <v>1</v>
      </c>
      <c r="B3802" s="1090" t="inlineStr">
        <is>
          <t>Subetapa</t>
        </is>
      </c>
      <c r="C3802" s="1090" t="inlineStr">
        <is>
          <t>Mão de obra de colocação de soleira em granito</t>
        </is>
      </c>
      <c r="D3802" s="1090" t="inlineStr">
        <is>
          <t>PISO RODAPÉ VAGAS</t>
        </is>
      </c>
      <c r="E3802" s="1091" t="n"/>
      <c r="F3802" s="2160" t="n"/>
      <c r="G3802" s="1091" t="n"/>
      <c r="H3802" s="1091" t="n">
        <v>0</v>
      </c>
      <c r="I3802" s="2160" t="n">
        <v>0</v>
      </c>
      <c r="J3802" s="2160" t="n">
        <v>0</v>
      </c>
      <c r="K3802" s="2160" t="n"/>
    </row>
    <row r="3803" outlineLevel="2" ht="15.75" customHeight="1">
      <c r="A3803" s="1067" t="n">
        <v>1</v>
      </c>
      <c r="B3803" s="1067" t="inlineStr">
        <is>
          <t>Serviço</t>
        </is>
      </c>
      <c r="C3803" s="1067" t="inlineStr">
        <is>
          <t>PINTURA DE RODAPÉ COM TINTA EPÓXI, APLICAÇÃO MANUAL, 2 DEMÃOS, INCLUSÃO PRIMER EPÓXI</t>
        </is>
      </c>
      <c r="D3803" s="1067" t="inlineStr">
        <is>
          <t>PINTURA DE RODAPÉ COM TINTA EPÓXI, APLICAÇÃO MANUAL, 2 DEMÃOS, INCLUSÃO PRIMER EPÓXI</t>
        </is>
      </c>
      <c r="E3803" s="1068" t="inlineStr">
        <is>
          <t>M2</t>
        </is>
      </c>
      <c r="F3803" s="1067" t="n"/>
      <c r="G3803" s="1069">
        <f t="array" ref="G3803">IF(B3803="insumo",_xlfn.XLOOKUP($D3803,Insumos!$B$1:$B$996,Insumos!$D$1:$D$996),"")</f>
        <v/>
      </c>
      <c r="H3803" s="1069" t="n">
        <v>70.5670306666667</v>
      </c>
      <c r="I3803" s="2161" t="n">
        <v>0</v>
      </c>
      <c r="J3803" s="2161" t="n">
        <v>0</v>
      </c>
      <c r="K3803" s="2161" t="n"/>
    </row>
    <row r="3804" outlineLevel="3" ht="15.75" customHeight="1">
      <c r="A3804" s="10" t="n">
        <v>9</v>
      </c>
      <c r="B3804" s="10" t="inlineStr">
        <is>
          <t>Insumo</t>
        </is>
      </c>
      <c r="C3804" s="10" t="inlineStr">
        <is>
          <t>PINTURA DE RODAPÉ COM TINTA EPÓXI, APLICAÇÃO MANUAL, 2 DEMÃOS, INCLUSÃO PRIMER EPÓXI</t>
        </is>
      </c>
      <c r="D3804" s="10" t="inlineStr">
        <is>
          <t>Diluente Epoxi</t>
        </is>
      </c>
      <c r="E3804" s="11">
        <f t="array" ref="E3804">_xlfn.XLOOKUP(D3804,Insumos!B:B,Insumos!C:$C)</f>
        <v/>
      </c>
      <c r="F3804" s="14" t="n">
        <v>0.064</v>
      </c>
      <c r="G3804" s="92">
        <f t="array" ref="G3804">IF(B3804="insumo",_xlfn.XLOOKUP($D3804,Insumos!$B$1:$B$996,Insumos!$D$1:$D$996),"")</f>
        <v/>
      </c>
      <c r="H3804" s="92" t="n">
        <v>3.20768</v>
      </c>
      <c r="I3804" s="2162" t="n">
        <v>0</v>
      </c>
      <c r="J3804" s="2162" t="n">
        <v>0</v>
      </c>
      <c r="K3804" s="2162" t="n"/>
    </row>
    <row r="3805" outlineLevel="3" ht="15.75" customHeight="1">
      <c r="A3805" s="10" t="n">
        <v>25</v>
      </c>
      <c r="B3805" s="10" t="inlineStr">
        <is>
          <t>Insumo</t>
        </is>
      </c>
      <c r="C3805" s="10" t="inlineStr">
        <is>
          <t>PINTURA DE RODAPÉ COM TINTA EPÓXI, APLICAÇÃO MANUAL, 2 DEMÃOS, INCLUSÃO PRIMER EPÓXI</t>
        </is>
      </c>
      <c r="D3805" s="10" t="inlineStr">
        <is>
          <t>Fita Crepe Rolo De 25 Mm X 50 M</t>
        </is>
      </c>
      <c r="E3805" s="11">
        <f t="array" ref="E3805">_xlfn.XLOOKUP(D3805,Insumos!B:B,Insumos!C:$C)</f>
        <v/>
      </c>
      <c r="F3805" s="14" t="n">
        <v>0.01</v>
      </c>
      <c r="G3805" s="92">
        <f t="array" ref="G3805">IF(B3805="insumo",_xlfn.XLOOKUP($D3805,Insumos!$B$1:$B$996,Insumos!$D$1:$D$996),"")</f>
        <v/>
      </c>
      <c r="H3805" s="92" t="n">
        <v>0.1126</v>
      </c>
      <c r="I3805" s="2162" t="n">
        <v>0</v>
      </c>
      <c r="J3805" s="2162" t="n">
        <v>0</v>
      </c>
      <c r="K3805" s="2162" t="n"/>
    </row>
    <row r="3806" outlineLevel="3" ht="15.75" customHeight="1">
      <c r="A3806" s="10" t="n">
        <v>8</v>
      </c>
      <c r="B3806" s="10" t="inlineStr">
        <is>
          <t>Insumo</t>
        </is>
      </c>
      <c r="C3806" s="10" t="inlineStr">
        <is>
          <t>PINTURA DE RODAPÉ COM TINTA EPÓXI, APLICAÇÃO MANUAL, 2 DEMÃOS, INCLUSÃO PRIMER EPÓXI</t>
        </is>
      </c>
      <c r="D3806" s="10" t="inlineStr">
        <is>
          <t>Primer Epoxi / Epoxidico</t>
        </is>
      </c>
      <c r="E3806" s="11">
        <f t="array" ref="E3806">_xlfn.XLOOKUP(D3806,Insumos!B:B,Insumos!C:$C)</f>
        <v/>
      </c>
      <c r="F3806" s="14" t="n">
        <v>0.2016</v>
      </c>
      <c r="G3806" s="92">
        <f t="array" ref="G3806">IF(B3806="insumo",_xlfn.XLOOKUP($D3806,Insumos!$B$1:$B$996,Insumos!$D$1:$D$996),"")</f>
        <v/>
      </c>
      <c r="H3806" s="92" t="n">
        <v>27.667584</v>
      </c>
      <c r="I3806" s="2162" t="n">
        <v>0</v>
      </c>
      <c r="J3806" s="2162" t="n">
        <v>0</v>
      </c>
      <c r="K3806" s="2162" t="n"/>
    </row>
    <row r="3807" outlineLevel="3" ht="15.75" customHeight="1">
      <c r="A3807" s="10" t="n">
        <v>9</v>
      </c>
      <c r="B3807" s="10" t="inlineStr">
        <is>
          <t>Insumo</t>
        </is>
      </c>
      <c r="C3807" s="10" t="inlineStr">
        <is>
          <t>PINTURA DE RODAPÉ COM TINTA EPÓXI, APLICAÇÃO MANUAL, 2 DEMÃOS, INCLUSÃO PRIMER EPÓXI</t>
        </is>
      </c>
      <c r="D3807" s="10" t="inlineStr">
        <is>
          <t>Tinta Epoxi Base Agua Premium</t>
        </is>
      </c>
      <c r="E3807" s="11">
        <f t="array" ref="E3807">_xlfn.XLOOKUP(D3807,Insumos!B:B,Insumos!C:$C)</f>
        <v/>
      </c>
      <c r="F3807" s="14" t="n">
        <v>0.483</v>
      </c>
      <c r="G3807" s="92">
        <f t="array" ref="G3807">IF(B3807="insumo",_xlfn.XLOOKUP($D3807,Insumos!$B$1:$B$996,Insumos!$D$1:$D$996),"")</f>
        <v/>
      </c>
      <c r="H3807" s="92" t="n">
        <v>39.5791666666667</v>
      </c>
      <c r="I3807" s="2162" t="n">
        <v>0</v>
      </c>
      <c r="J3807" s="2162" t="n">
        <v>0</v>
      </c>
      <c r="K3807" s="2162" t="n"/>
    </row>
    <row r="3808" outlineLevel="2" ht="12.75" customHeight="1">
      <c r="A3808" s="1071" t="n">
        <v>1</v>
      </c>
      <c r="B3808" s="1071" t="inlineStr">
        <is>
          <t>Serviço</t>
        </is>
      </c>
      <c r="C3808" s="1071" t="inlineStr">
        <is>
          <t>Pintura em Tinta piso em Rodapé, Aplicação Manual, 2 Demãos</t>
        </is>
      </c>
      <c r="D3808" s="1071" t="inlineStr">
        <is>
          <t>Pintura em Tinta piso em Rodapé, Aplicação Manual, 2 Demãos</t>
        </is>
      </c>
      <c r="E3808" s="1072" t="inlineStr">
        <is>
          <t>M</t>
        </is>
      </c>
      <c r="F3808" s="1071" t="n"/>
      <c r="G3808" s="1073">
        <f t="array" ref="G3808">IF(B3808="insumo",_xlfn.XLOOKUP($D3808,Insumos!$B$1:$B$996,Insumos!$D$1:$D$996),"")</f>
        <v/>
      </c>
      <c r="H3808" s="1073" t="n">
        <v>0.97726</v>
      </c>
      <c r="I3808" s="2163" t="n">
        <v>0</v>
      </c>
      <c r="J3808" s="2163" t="n">
        <v>0</v>
      </c>
      <c r="K3808" s="2163" t="n"/>
    </row>
    <row r="3809" outlineLevel="3" ht="12.75" customHeight="1">
      <c r="A3809" s="82" t="n">
        <v>25</v>
      </c>
      <c r="B3809" s="82" t="inlineStr">
        <is>
          <t>Insumo</t>
        </is>
      </c>
      <c r="C3809" s="82" t="inlineStr">
        <is>
          <t>Pintura em Tinta piso em Rodapé, Aplicação Manual, 2 Demãos</t>
        </is>
      </c>
      <c r="D3809" s="82" t="inlineStr">
        <is>
          <t>Fita Crepe Rolo De 25 Mm X 50 M</t>
        </is>
      </c>
      <c r="E3809" s="11">
        <f t="array" ref="E3809">_xlfn.XLOOKUP(D3809,Insumos!B:B,Insumos!C:$C)</f>
        <v/>
      </c>
      <c r="F3809" s="2164">
        <f>0.01*0.1</f>
        <v/>
      </c>
      <c r="G3809" s="92">
        <f t="array" ref="G3809">IF(B3809="insumo",_xlfn.XLOOKUP($D3809,Insumos!$B$1:$B$996,Insumos!$D$1:$D$996),"")</f>
        <v/>
      </c>
      <c r="H3809" s="92" t="n">
        <v>0.01126</v>
      </c>
      <c r="I3809" s="2165" t="n">
        <v>0</v>
      </c>
      <c r="J3809" s="2165" t="n">
        <v>0</v>
      </c>
      <c r="K3809" s="2165" t="n"/>
    </row>
    <row r="3810" outlineLevel="3" ht="12.75" customHeight="1">
      <c r="A3810" s="82" t="n">
        <v>2</v>
      </c>
      <c r="B3810" s="82" t="inlineStr">
        <is>
          <t>Insumo</t>
        </is>
      </c>
      <c r="C3810" s="82" t="inlineStr">
        <is>
          <t>Pintura em Tinta piso em Rodapé, Aplicação Manual, 2 Demãos</t>
        </is>
      </c>
      <c r="D3810" s="82" t="inlineStr">
        <is>
          <t>Tinta Piso</t>
        </is>
      </c>
      <c r="E3810" s="11">
        <f t="array" ref="E3810">_xlfn.XLOOKUP(D3810,Insumos!B:B,Insumos!C:$C)</f>
        <v/>
      </c>
      <c r="F3810" s="2164">
        <f>0.483*0.1</f>
        <v/>
      </c>
      <c r="G3810" s="92">
        <f t="array" ref="G3810">IF(B3810="insumo",_xlfn.XLOOKUP($D3810,Insumos!$B$1:$B$996,Insumos!$D$1:$D$996),"")</f>
        <v/>
      </c>
      <c r="H3810" s="92" t="n">
        <v>0.966</v>
      </c>
      <c r="I3810" s="2165" t="n">
        <v>0</v>
      </c>
      <c r="J3810" s="2165" t="n">
        <v>0</v>
      </c>
      <c r="K3810" s="2165" t="n"/>
    </row>
    <row r="3811" outlineLevel="2" ht="12.75" customHeight="1">
      <c r="A3811" s="1071" t="n">
        <v>1</v>
      </c>
      <c r="B3811" s="1071" t="inlineStr">
        <is>
          <t>Serviço</t>
        </is>
      </c>
      <c r="C3811" s="1071" t="inlineStr">
        <is>
          <t>Pintura em Resina em Rodapé, Aplicação Manual, 2 Demãos (m)</t>
        </is>
      </c>
      <c r="D3811" s="1071" t="inlineStr">
        <is>
          <t>Pintura em Resina em Rodapé, Aplicação Manual, 2 Demãos (m)</t>
        </is>
      </c>
      <c r="E3811" s="1072" t="inlineStr">
        <is>
          <t>M</t>
        </is>
      </c>
      <c r="F3811" s="1071" t="n"/>
      <c r="G3811" s="1073">
        <f t="array" ref="G3811">IF(B3811="insumo",_xlfn.XLOOKUP($D3811,Insumos!$B$1:$B$996,Insumos!$D$1:$D$996),"")</f>
        <v/>
      </c>
      <c r="H3811" s="1073" t="n">
        <v>7.05670306666667</v>
      </c>
      <c r="I3811" s="2163" t="n">
        <v>0</v>
      </c>
      <c r="J3811" s="2163" t="n">
        <v>0</v>
      </c>
      <c r="K3811" s="2163" t="n"/>
    </row>
    <row r="3812" outlineLevel="3" ht="12.75" customHeight="1">
      <c r="A3812" s="82" t="n">
        <v>9</v>
      </c>
      <c r="B3812" s="82" t="inlineStr">
        <is>
          <t>Insumo</t>
        </is>
      </c>
      <c r="C3812" s="82" t="inlineStr">
        <is>
          <t>Pintura em Resina em Rodapé, Aplicação Manual, 2 Demãos (m)</t>
        </is>
      </c>
      <c r="D3812" s="82" t="inlineStr">
        <is>
          <t>Diluente Epoxi</t>
        </is>
      </c>
      <c r="E3812" s="11">
        <f t="array" ref="E3812">_xlfn.XLOOKUP(D3812,Insumos!B:B,Insumos!C:$C)</f>
        <v/>
      </c>
      <c r="F3812" s="2164">
        <f>0.064*0.1</f>
        <v/>
      </c>
      <c r="G3812" s="92">
        <f t="array" ref="G3812">IF(B3812="insumo",_xlfn.XLOOKUP($D3812,Insumos!$B$1:$B$996,Insumos!$D$1:$D$996),"")</f>
        <v/>
      </c>
      <c r="H3812" s="92" t="n">
        <v>0.320768</v>
      </c>
      <c r="I3812" s="2165" t="n">
        <v>0</v>
      </c>
      <c r="J3812" s="2165" t="n">
        <v>0</v>
      </c>
      <c r="K3812" s="2165" t="n"/>
    </row>
    <row r="3813" outlineLevel="3" ht="12.75" customHeight="1">
      <c r="A3813" s="82" t="n">
        <v>25</v>
      </c>
      <c r="B3813" s="82" t="inlineStr">
        <is>
          <t>Insumo</t>
        </is>
      </c>
      <c r="C3813" s="82" t="inlineStr">
        <is>
          <t>Pintura em Resina em Rodapé, Aplicação Manual, 2 Demãos (m)</t>
        </is>
      </c>
      <c r="D3813" s="82" t="inlineStr">
        <is>
          <t>Fita Crepe Rolo De 25 Mm X 50 M</t>
        </is>
      </c>
      <c r="E3813" s="11">
        <f t="array" ref="E3813">_xlfn.XLOOKUP(D3813,Insumos!B:B,Insumos!C:$C)</f>
        <v/>
      </c>
      <c r="F3813" s="2164">
        <f>0.01*0.1</f>
        <v/>
      </c>
      <c r="G3813" s="92">
        <f t="array" ref="G3813">IF(B3813="insumo",_xlfn.XLOOKUP($D3813,Insumos!$B$1:$B$996,Insumos!$D$1:$D$996),"")</f>
        <v/>
      </c>
      <c r="H3813" s="92" t="n">
        <v>0.01126</v>
      </c>
      <c r="I3813" s="2165" t="n">
        <v>0</v>
      </c>
      <c r="J3813" s="2165" t="n">
        <v>0</v>
      </c>
      <c r="K3813" s="2165" t="n"/>
    </row>
    <row r="3814" outlineLevel="3" ht="12.75" customHeight="1">
      <c r="A3814" s="82" t="n">
        <v>8</v>
      </c>
      <c r="B3814" s="82" t="inlineStr">
        <is>
          <t>Insumo</t>
        </is>
      </c>
      <c r="C3814" s="82" t="inlineStr">
        <is>
          <t>Pintura em Resina em Rodapé, Aplicação Manual, 2 Demãos (m)</t>
        </is>
      </c>
      <c r="D3814" s="82" t="inlineStr">
        <is>
          <t>Primer Epoxi / Epoxidico</t>
        </is>
      </c>
      <c r="E3814" s="11">
        <f t="array" ref="E3814">_xlfn.XLOOKUP(D3814,Insumos!B:B,Insumos!C:$C)</f>
        <v/>
      </c>
      <c r="F3814" s="2164">
        <f>0.2016*0.1</f>
        <v/>
      </c>
      <c r="G3814" s="92">
        <f t="array" ref="G3814">IF(B3814="insumo",_xlfn.XLOOKUP($D3814,Insumos!$B$1:$B$996,Insumos!$D$1:$D$996),"")</f>
        <v/>
      </c>
      <c r="H3814" s="92" t="n">
        <v>2.7667584</v>
      </c>
      <c r="I3814" s="2165" t="n">
        <v>0</v>
      </c>
      <c r="J3814" s="2165" t="n">
        <v>0</v>
      </c>
      <c r="K3814" s="2165" t="n"/>
    </row>
    <row r="3815" outlineLevel="3" ht="12.75" customHeight="1">
      <c r="A3815" s="82" t="n">
        <v>9</v>
      </c>
      <c r="B3815" s="82" t="inlineStr">
        <is>
          <t>Insumo</t>
        </is>
      </c>
      <c r="C3815" s="82" t="inlineStr">
        <is>
          <t>Pintura em Resina em Rodapé, Aplicação Manual, 2 Demãos (m)</t>
        </is>
      </c>
      <c r="D3815" s="82" t="inlineStr">
        <is>
          <t>Tinta Epoxi Base Agua Premium</t>
        </is>
      </c>
      <c r="E3815" s="11">
        <f t="array" ref="E3815">_xlfn.XLOOKUP(D3815,Insumos!B:B,Insumos!C:$C)</f>
        <v/>
      </c>
      <c r="F3815" s="2164">
        <f>0.483*0.1</f>
        <v/>
      </c>
      <c r="G3815" s="92">
        <f t="array" ref="G3815">IF(B3815="insumo",_xlfn.XLOOKUP($D3815,Insumos!$B$1:$B$996,Insumos!$D$1:$D$996),"")</f>
        <v/>
      </c>
      <c r="H3815" s="92" t="n">
        <v>3.95791666666667</v>
      </c>
      <c r="I3815" s="2165" t="n">
        <v>0</v>
      </c>
      <c r="J3815" s="2165" t="n">
        <v>0</v>
      </c>
      <c r="K3815" s="2165" t="n"/>
    </row>
    <row r="3816" outlineLevel="2" ht="15.75" customHeight="1">
      <c r="A3816" s="1067" t="n">
        <v>1</v>
      </c>
      <c r="B3816" s="1067" t="inlineStr">
        <is>
          <t>Serviço</t>
        </is>
      </c>
      <c r="C3816" s="1067" t="inlineStr">
        <is>
          <t>Pintura em Resina em Rodapé, Aplicação Manual, 2 Demãos</t>
        </is>
      </c>
      <c r="D3816" s="1067" t="inlineStr">
        <is>
          <t>Pintura em Resina em Rodapé, Aplicação Manual, 2 Demãos</t>
        </is>
      </c>
      <c r="E3816" s="1068" t="inlineStr">
        <is>
          <t>M2</t>
        </is>
      </c>
      <c r="F3816" s="1067" t="n"/>
      <c r="G3816" s="1069">
        <f t="array" ref="G3816">IF(B3816="insumo",_xlfn.XLOOKUP($D3816,Insumos!$B$1:$B$996,Insumos!$D$1:$D$996),"")</f>
        <v/>
      </c>
      <c r="H3816" s="1069" t="n">
        <v>7.05670306666667</v>
      </c>
      <c r="I3816" s="2161" t="n">
        <v>0</v>
      </c>
      <c r="J3816" s="2161" t="n">
        <v>0</v>
      </c>
      <c r="K3816" s="2161" t="n"/>
    </row>
    <row r="3817" outlineLevel="3" ht="15.75" customHeight="1">
      <c r="A3817" s="10" t="n">
        <v>9</v>
      </c>
      <c r="B3817" s="10" t="inlineStr">
        <is>
          <t>Insumo</t>
        </is>
      </c>
      <c r="C3817" s="10" t="inlineStr">
        <is>
          <t>Pintura em Resina em Rodapé, Aplicação Manual, 2 Demãos</t>
        </is>
      </c>
      <c r="D3817" s="10" t="inlineStr">
        <is>
          <t>Diluente Epoxi</t>
        </is>
      </c>
      <c r="E3817" s="11">
        <f t="array" ref="E3817">_xlfn.XLOOKUP(D3817,Insumos!B:B,Insumos!C:$C)</f>
        <v/>
      </c>
      <c r="F3817" s="14">
        <f>0.064*0.1</f>
        <v/>
      </c>
      <c r="G3817" s="92">
        <f t="array" ref="G3817">IF(B3817="insumo",_xlfn.XLOOKUP($D3817,Insumos!$B$1:$B$996,Insumos!$D$1:$D$996),"")</f>
        <v/>
      </c>
      <c r="H3817" s="92" t="n">
        <v>0.320768</v>
      </c>
      <c r="I3817" s="2162" t="n">
        <v>0</v>
      </c>
      <c r="J3817" s="2162" t="n">
        <v>0</v>
      </c>
      <c r="K3817" s="2162" t="n"/>
    </row>
    <row r="3818" outlineLevel="3" ht="15.75" customHeight="1">
      <c r="A3818" s="10" t="n">
        <v>25</v>
      </c>
      <c r="B3818" s="10" t="inlineStr">
        <is>
          <t>Insumo</t>
        </is>
      </c>
      <c r="C3818" s="10" t="inlineStr">
        <is>
          <t>Pintura em Resina em Rodapé, Aplicação Manual, 2 Demãos</t>
        </is>
      </c>
      <c r="D3818" s="10" t="inlineStr">
        <is>
          <t>Fita Crepe Rolo De 25 Mm X 50 M</t>
        </is>
      </c>
      <c r="E3818" s="11">
        <f t="array" ref="E3818">_xlfn.XLOOKUP(D3818,Insumos!B:B,Insumos!C:$C)</f>
        <v/>
      </c>
      <c r="F3818" s="14">
        <f>0.01*0.1</f>
        <v/>
      </c>
      <c r="G3818" s="92">
        <f t="array" ref="G3818">IF(B3818="insumo",_xlfn.XLOOKUP($D3818,Insumos!$B$1:$B$996,Insumos!$D$1:$D$996),"")</f>
        <v/>
      </c>
      <c r="H3818" s="92" t="n">
        <v>0.01126</v>
      </c>
      <c r="I3818" s="2162" t="n">
        <v>0</v>
      </c>
      <c r="J3818" s="2162" t="n">
        <v>0</v>
      </c>
      <c r="K3818" s="2162" t="n"/>
    </row>
    <row r="3819" outlineLevel="3" ht="15.75" customHeight="1">
      <c r="A3819" s="10" t="n">
        <v>8</v>
      </c>
      <c r="B3819" s="10" t="inlineStr">
        <is>
          <t>Insumo</t>
        </is>
      </c>
      <c r="C3819" s="10" t="inlineStr">
        <is>
          <t>Pintura em Resina em Rodapé, Aplicação Manual, 2 Demãos</t>
        </is>
      </c>
      <c r="D3819" s="10" t="inlineStr">
        <is>
          <t>Primer Epoxi / Epoxidico</t>
        </is>
      </c>
      <c r="E3819" s="11">
        <f t="array" ref="E3819">_xlfn.XLOOKUP(D3819,Insumos!B:B,Insumos!C:$C)</f>
        <v/>
      </c>
      <c r="F3819" s="14">
        <f>0.2016*0.1</f>
        <v/>
      </c>
      <c r="G3819" s="92">
        <f t="array" ref="G3819">IF(B3819="insumo",_xlfn.XLOOKUP($D3819,Insumos!$B$1:$B$996,Insumos!$D$1:$D$996),"")</f>
        <v/>
      </c>
      <c r="H3819" s="92" t="n">
        <v>2.7667584</v>
      </c>
      <c r="I3819" s="2162" t="n">
        <v>0</v>
      </c>
      <c r="J3819" s="2162" t="n">
        <v>0</v>
      </c>
      <c r="K3819" s="2162" t="n"/>
    </row>
    <row r="3820" outlineLevel="3" ht="15.75" customHeight="1">
      <c r="A3820" s="10" t="n">
        <v>9</v>
      </c>
      <c r="B3820" s="10" t="inlineStr">
        <is>
          <t>Insumo</t>
        </is>
      </c>
      <c r="C3820" s="10" t="inlineStr">
        <is>
          <t>Pintura em Resina em Rodapé, Aplicação Manual, 2 Demãos</t>
        </is>
      </c>
      <c r="D3820" s="10" t="inlineStr">
        <is>
          <t>Tinta Epoxi Base Agua Premium</t>
        </is>
      </c>
      <c r="E3820" s="11">
        <f t="array" ref="E3820">_xlfn.XLOOKUP(D3820,Insumos!B:B,Insumos!C:$C)</f>
        <v/>
      </c>
      <c r="F3820" s="14">
        <f>0.483*0.1</f>
        <v/>
      </c>
      <c r="G3820" s="92">
        <f t="array" ref="G3820">IF(B3820="insumo",_xlfn.XLOOKUP($D3820,Insumos!$B$1:$B$996,Insumos!$D$1:$D$996),"")</f>
        <v/>
      </c>
      <c r="H3820" s="92" t="n">
        <v>3.95791666666667</v>
      </c>
      <c r="I3820" s="2162" t="n">
        <v>0</v>
      </c>
      <c r="J3820" s="2162" t="n">
        <v>0</v>
      </c>
      <c r="K3820" s="2162" t="n"/>
    </row>
    <row r="3821" outlineLevel="2" ht="15.75" customHeight="1">
      <c r="A3821" s="1067" t="n">
        <v>1</v>
      </c>
      <c r="B3821" s="1067" t="inlineStr">
        <is>
          <t>Serviço</t>
        </is>
      </c>
      <c r="C3821" s="1067" t="inlineStr">
        <is>
          <t>Pintura em Epóxi em Piso, Aplicação Manual, 2 Demãos</t>
        </is>
      </c>
      <c r="D3821" s="1067" t="inlineStr">
        <is>
          <t>Pintura em Epóxi em Piso, Aplicação Manual, 2 Demãos</t>
        </is>
      </c>
      <c r="E3821" s="1068" t="inlineStr">
        <is>
          <t>M2</t>
        </is>
      </c>
      <c r="F3821" s="1067" t="n"/>
      <c r="G3821" s="1069">
        <f t="array" ref="G3821">IF(B3821="insumo",_xlfn.XLOOKUP($D3821,Insumos!$B$1:$B$996,Insumos!$D$1:$D$996),"")</f>
        <v/>
      </c>
      <c r="H3821" s="1069" t="n">
        <v>70.5670306666667</v>
      </c>
      <c r="I3821" s="2161" t="n">
        <v>0</v>
      </c>
      <c r="J3821" s="2161" t="n">
        <v>0</v>
      </c>
      <c r="K3821" s="2161" t="n"/>
    </row>
    <row r="3822" outlineLevel="3" ht="15.75" customHeight="1">
      <c r="A3822" s="10" t="n">
        <v>9</v>
      </c>
      <c r="B3822" s="10" t="inlineStr">
        <is>
          <t>Insumo</t>
        </is>
      </c>
      <c r="C3822" s="10" t="inlineStr">
        <is>
          <t>Pintura em Epóxi em Piso, Aplicação Manual, 2 Demãos</t>
        </is>
      </c>
      <c r="D3822" s="10" t="inlineStr">
        <is>
          <t>Diluente Epoxi</t>
        </is>
      </c>
      <c r="E3822" s="11">
        <f t="array" ref="E3822">_xlfn.XLOOKUP(D3822,Insumos!B:B,Insumos!C:$C)</f>
        <v/>
      </c>
      <c r="F3822" s="14" t="n">
        <v>0.064</v>
      </c>
      <c r="G3822" s="92">
        <f t="array" ref="G3822">IF(B3822="insumo",_xlfn.XLOOKUP($D3822,Insumos!$B$1:$B$996,Insumos!$D$1:$D$996),"")</f>
        <v/>
      </c>
      <c r="H3822" s="92" t="n">
        <v>3.20768</v>
      </c>
      <c r="I3822" s="2162" t="n">
        <v>0</v>
      </c>
      <c r="J3822" s="2162" t="n">
        <v>0</v>
      </c>
      <c r="K3822" s="2162" t="n"/>
    </row>
    <row r="3823" outlineLevel="3" ht="15.75" customHeight="1">
      <c r="A3823" s="10" t="n">
        <v>25</v>
      </c>
      <c r="B3823" s="10" t="inlineStr">
        <is>
          <t>Insumo</t>
        </is>
      </c>
      <c r="C3823" s="10" t="inlineStr">
        <is>
          <t>Pintura em Epóxi em Piso, Aplicação Manual, 2 Demãos</t>
        </is>
      </c>
      <c r="D3823" s="10" t="inlineStr">
        <is>
          <t>Fita Crepe Rolo De 25 Mm X 50 M</t>
        </is>
      </c>
      <c r="E3823" s="11">
        <f t="array" ref="E3823">_xlfn.XLOOKUP(D3823,Insumos!B:B,Insumos!C:$C)</f>
        <v/>
      </c>
      <c r="F3823" s="14" t="n">
        <v>0.01</v>
      </c>
      <c r="G3823" s="92">
        <f t="array" ref="G3823">IF(B3823="insumo",_xlfn.XLOOKUP($D3823,Insumos!$B$1:$B$996,Insumos!$D$1:$D$996),"")</f>
        <v/>
      </c>
      <c r="H3823" s="92" t="n">
        <v>0.1126</v>
      </c>
      <c r="I3823" s="2162" t="n">
        <v>0</v>
      </c>
      <c r="J3823" s="2162" t="n">
        <v>0</v>
      </c>
      <c r="K3823" s="2162" t="n"/>
    </row>
    <row r="3824" outlineLevel="3" ht="15.75" customHeight="1">
      <c r="A3824" s="10" t="n">
        <v>8</v>
      </c>
      <c r="B3824" s="10" t="inlineStr">
        <is>
          <t>Insumo</t>
        </is>
      </c>
      <c r="C3824" s="10" t="inlineStr">
        <is>
          <t>Pintura em Epóxi em Piso, Aplicação Manual, 2 Demãos</t>
        </is>
      </c>
      <c r="D3824" s="10" t="inlineStr">
        <is>
          <t>Primer Epoxi / Epoxidico</t>
        </is>
      </c>
      <c r="E3824" s="11">
        <f t="array" ref="E3824">_xlfn.XLOOKUP(D3824,Insumos!B:B,Insumos!C:$C)</f>
        <v/>
      </c>
      <c r="F3824" s="14" t="n">
        <v>0.2016</v>
      </c>
      <c r="G3824" s="92">
        <f t="array" ref="G3824">IF(B3824="insumo",_xlfn.XLOOKUP($D3824,Insumos!$B$1:$B$996,Insumos!$D$1:$D$996),"")</f>
        <v/>
      </c>
      <c r="H3824" s="92" t="n">
        <v>27.667584</v>
      </c>
      <c r="I3824" s="2162" t="n">
        <v>0</v>
      </c>
      <c r="J3824" s="2162" t="n">
        <v>0</v>
      </c>
      <c r="K3824" s="2162" t="n"/>
    </row>
    <row r="3825" outlineLevel="3" ht="15.75" customHeight="1">
      <c r="A3825" s="10" t="n">
        <v>9</v>
      </c>
      <c r="B3825" s="10" t="inlineStr">
        <is>
          <t>Insumo</t>
        </is>
      </c>
      <c r="C3825" s="10" t="inlineStr">
        <is>
          <t>Pintura em Epóxi em Piso, Aplicação Manual, 2 Demãos</t>
        </is>
      </c>
      <c r="D3825" s="10" t="inlineStr">
        <is>
          <t>Tinta Epoxi Base Agua Premium</t>
        </is>
      </c>
      <c r="E3825" s="11">
        <f t="array" ref="E3825">_xlfn.XLOOKUP(D3825,Insumos!B:B,Insumos!C:$C)</f>
        <v/>
      </c>
      <c r="F3825" s="14" t="n">
        <v>0.483</v>
      </c>
      <c r="G3825" s="92">
        <f t="array" ref="G3825">IF(B3825="insumo",_xlfn.XLOOKUP($D3825,Insumos!$B$1:$B$996,Insumos!$D$1:$D$996),"")</f>
        <v/>
      </c>
      <c r="H3825" s="92" t="n">
        <v>39.5791666666667</v>
      </c>
      <c r="I3825" s="2162" t="n">
        <v>0</v>
      </c>
      <c r="J3825" s="2162" t="n">
        <v>0</v>
      </c>
      <c r="K3825" s="2162" t="n"/>
    </row>
    <row r="3826" outlineLevel="2" ht="15.75" customHeight="1">
      <c r="A3826" s="1067" t="n">
        <v>1</v>
      </c>
      <c r="B3826" s="1067" t="inlineStr">
        <is>
          <t>Serviço</t>
        </is>
      </c>
      <c r="C3826" s="1067" t="inlineStr">
        <is>
          <t>Pintura em Resina para demarcação de vagas em piso, 1 demão</t>
        </is>
      </c>
      <c r="D3826" s="1067" t="inlineStr">
        <is>
          <t>Pintura em Resina para demarcação de vagas em piso, 1 demão</t>
        </is>
      </c>
      <c r="E3826" s="1068" t="inlineStr">
        <is>
          <t>M2</t>
        </is>
      </c>
      <c r="F3826" s="1067" t="n"/>
      <c r="G3826" s="1069">
        <f t="array" ref="G3826">IF(B3826="insumo",_xlfn.XLOOKUP($D3826,Insumos!$B$1:$B$996,Insumos!$D$1:$D$996),"")</f>
        <v/>
      </c>
      <c r="H3826" s="1069" t="n">
        <v>8.504317407407409</v>
      </c>
      <c r="I3826" s="2161" t="n">
        <v>0</v>
      </c>
      <c r="J3826" s="2161" t="n">
        <v>0</v>
      </c>
      <c r="K3826" s="2161" t="n"/>
    </row>
    <row r="3827" outlineLevel="3" ht="15.75" customHeight="1">
      <c r="A3827" s="10" t="n">
        <v>6</v>
      </c>
      <c r="B3827" s="10" t="inlineStr">
        <is>
          <t>Insumo</t>
        </is>
      </c>
      <c r="C3827" s="10" t="inlineStr">
        <is>
          <t>Pintura em Resina para demarcação de vagas em piso, 1 demão</t>
        </is>
      </c>
      <c r="D3827" s="10" t="inlineStr">
        <is>
          <t>DILUENTE AGUARRAS</t>
        </is>
      </c>
      <c r="E3827" s="11">
        <f t="array" ref="E3827">_xlfn.XLOOKUP(D3827,Insumos!B:B,Insumos!C:$C)</f>
        <v/>
      </c>
      <c r="F3827" s="14" t="n">
        <v>0.021</v>
      </c>
      <c r="G3827" s="92">
        <f t="array" ref="G3827">IF(B3827="insumo",_xlfn.XLOOKUP($D3827,Insumos!$B$1:$B$996,Insumos!$D$1:$D$996),"")</f>
        <v/>
      </c>
      <c r="H3827" s="92" t="n">
        <v>0.46179</v>
      </c>
      <c r="I3827" s="2162" t="n">
        <v>0</v>
      </c>
      <c r="J3827" s="2162" t="n">
        <v>0</v>
      </c>
      <c r="K3827" s="2162" t="n"/>
    </row>
    <row r="3828" outlineLevel="3" ht="22.5" customHeight="1">
      <c r="A3828" s="10" t="n">
        <v>25</v>
      </c>
      <c r="B3828" s="10" t="inlineStr">
        <is>
          <t>Insumo</t>
        </is>
      </c>
      <c r="C3828" s="10" t="inlineStr">
        <is>
          <t>Pintura em Resina para demarcação de vagas em piso, 1 demão</t>
        </is>
      </c>
      <c r="D3828" s="10" t="inlineStr">
        <is>
          <t>Fita Crepe Rolo De 25 Mm X 50 M</t>
        </is>
      </c>
      <c r="E3828" s="11">
        <f t="array" ref="E3828">_xlfn.XLOOKUP(D3828,Insumos!B:B,Insumos!C:$C)</f>
        <v/>
      </c>
      <c r="F3828" s="14" t="n">
        <v>0.012</v>
      </c>
      <c r="G3828" s="92">
        <f t="array" ref="G3828">IF(B3828="insumo",_xlfn.XLOOKUP($D3828,Insumos!$B$1:$B$996,Insumos!$D$1:$D$996),"")</f>
        <v/>
      </c>
      <c r="H3828" s="92" t="n">
        <v>0.13512</v>
      </c>
      <c r="I3828" s="2162" t="n">
        <v>0</v>
      </c>
      <c r="J3828" s="2162" t="n">
        <v>0</v>
      </c>
      <c r="K3828" s="2162" t="n"/>
    </row>
    <row r="3829" outlineLevel="3" ht="15.75" customHeight="1">
      <c r="A3829" s="10" t="n">
        <v>3</v>
      </c>
      <c r="B3829" s="10" t="inlineStr">
        <is>
          <t>Insumo</t>
        </is>
      </c>
      <c r="C3829" s="10" t="inlineStr">
        <is>
          <t>Pintura em Resina para demarcação de vagas em piso, 1 demão</t>
        </is>
      </c>
      <c r="D3829" s="10" t="inlineStr">
        <is>
          <t>TINTA ACRILICA A BASE DE SOLVENTE</t>
        </is>
      </c>
      <c r="E3829" s="11">
        <f t="array" ref="E3829">_xlfn.XLOOKUP(D3829,Insumos!B:B,Insumos!C:$C)</f>
        <v/>
      </c>
      <c r="F3829" s="14" t="n">
        <v>0.2372222222222222</v>
      </c>
      <c r="G3829" s="92">
        <f t="array" ref="G3829">IF(B3829="insumo",_xlfn.XLOOKUP($D3829,Insumos!$B$1:$B$996,Insumos!$D$1:$D$996),"")</f>
        <v/>
      </c>
      <c r="H3829" s="92" t="n">
        <v>7.90740740740741</v>
      </c>
      <c r="I3829" s="2162" t="n">
        <v>0</v>
      </c>
      <c r="J3829" s="2162" t="n">
        <v>0</v>
      </c>
      <c r="K3829" s="2162" t="n"/>
    </row>
    <row r="3830" outlineLevel="2" ht="15.75" customHeight="1">
      <c r="A3830" s="1067" t="n">
        <v>1</v>
      </c>
      <c r="B3830" s="1067" t="inlineStr">
        <is>
          <t>Serviço</t>
        </is>
      </c>
      <c r="C3830" s="1067" t="inlineStr">
        <is>
          <t>Pintura em Epóxi para demarcação de vagas em piso, 1 demão</t>
        </is>
      </c>
      <c r="D3830" s="1067" t="inlineStr">
        <is>
          <t>Pintura em Epóxi para demarcação de vagas em piso, 1 demão</t>
        </is>
      </c>
      <c r="E3830" s="1068" t="inlineStr">
        <is>
          <t>M2</t>
        </is>
      </c>
      <c r="F3830" s="1067" t="n"/>
      <c r="G3830" s="1069">
        <f t="array" ref="G3830">IF(B3830="insumo",_xlfn.XLOOKUP($D3830,Insumos!$B$1:$B$996,Insumos!$D$1:$D$996),"")</f>
        <v/>
      </c>
      <c r="H3830" s="1069" t="n">
        <v>48.2942672098765</v>
      </c>
      <c r="I3830" s="2161" t="e">
        <v>#REF!</v>
      </c>
      <c r="J3830" s="2161" t="e">
        <v>#REF!</v>
      </c>
      <c r="K3830" s="2161" t="n"/>
    </row>
    <row r="3831" outlineLevel="3" ht="15.75" customHeight="1">
      <c r="A3831" s="10" t="n">
        <v>9</v>
      </c>
      <c r="B3831" s="10" t="inlineStr">
        <is>
          <t>Insumo</t>
        </is>
      </c>
      <c r="C3831" s="10" t="inlineStr">
        <is>
          <t>Pintura em Epóxi para demarcação de vagas em piso, 1 demão</t>
        </is>
      </c>
      <c r="D3831" s="10" t="inlineStr">
        <is>
          <t>Diluente Epoxi</t>
        </is>
      </c>
      <c r="E3831" s="11">
        <f t="array" ref="E3831">_xlfn.XLOOKUP(D3831,Insumos!B:B,Insumos!C:$C)</f>
        <v/>
      </c>
      <c r="F3831" s="14" t="n">
        <v>0.021</v>
      </c>
      <c r="G3831" s="92">
        <f t="array" ref="G3831">IF(B3831="insumo",_xlfn.XLOOKUP($D3831,Insumos!$B$1:$B$996,Insumos!$D$1:$D$996),"")</f>
        <v/>
      </c>
      <c r="H3831" s="92" t="n">
        <v>1.05252</v>
      </c>
      <c r="I3831" s="2162" t="e">
        <v>#REF!</v>
      </c>
      <c r="J3831" s="2162" t="e">
        <v>#REF!</v>
      </c>
      <c r="K3831" s="2162" t="n"/>
    </row>
    <row r="3832" outlineLevel="3" ht="15.75" customHeight="1">
      <c r="A3832" s="10" t="n">
        <v>25</v>
      </c>
      <c r="B3832" s="10" t="inlineStr">
        <is>
          <t>Insumo</t>
        </is>
      </c>
      <c r="C3832" s="10" t="inlineStr">
        <is>
          <t>Pintura em Epóxi para demarcação de vagas em piso, 1 demão</t>
        </is>
      </c>
      <c r="D3832" s="10" t="inlineStr">
        <is>
          <t>Fita Crepe Rolo De 25 Mm X 50 M</t>
        </is>
      </c>
      <c r="E3832" s="11">
        <f t="array" ref="E3832">_xlfn.XLOOKUP(D3832,Insumos!B:B,Insumos!C:$C)</f>
        <v/>
      </c>
      <c r="F3832" s="14" t="n">
        <v>0.012</v>
      </c>
      <c r="G3832" s="92">
        <f t="array" ref="G3832">IF(B3832="insumo",_xlfn.XLOOKUP($D3832,Insumos!$B$1:$B$996,Insumos!$D$1:$D$996),"")</f>
        <v/>
      </c>
      <c r="H3832" s="92" t="n">
        <v>0.13512</v>
      </c>
      <c r="I3832" s="2162" t="e">
        <v>#REF!</v>
      </c>
      <c r="J3832" s="2162" t="e">
        <v>#REF!</v>
      </c>
      <c r="K3832" s="2162" t="n"/>
    </row>
    <row r="3833" outlineLevel="3" ht="15.75" customHeight="1">
      <c r="A3833" s="10" t="n">
        <v>8</v>
      </c>
      <c r="B3833" s="10" t="inlineStr">
        <is>
          <t>Insumo</t>
        </is>
      </c>
      <c r="C3833" s="10" t="inlineStr">
        <is>
          <t>Pintura em Epóxi para demarcação de vagas em piso, 1 demão</t>
        </is>
      </c>
      <c r="D3833" s="10" t="inlineStr">
        <is>
          <t>Primer Epoxi / Epoxidico</t>
        </is>
      </c>
      <c r="E3833" s="11">
        <f t="array" ref="E3833">_xlfn.XLOOKUP(D3833,Insumos!B:B,Insumos!C:$C)</f>
        <v/>
      </c>
      <c r="F3833" s="14" t="n">
        <v>0.2016</v>
      </c>
      <c r="G3833" s="92">
        <f t="array" ref="G3833">IF(B3833="insumo",_xlfn.XLOOKUP($D3833,Insumos!$B$1:$B$996,Insumos!$D$1:$D$996),"")</f>
        <v/>
      </c>
      <c r="H3833" s="92" t="n">
        <v>27.667584</v>
      </c>
      <c r="I3833" s="2162" t="e">
        <v>#REF!</v>
      </c>
      <c r="J3833" s="2162" t="e">
        <v>#REF!</v>
      </c>
      <c r="K3833" s="2162" t="n"/>
    </row>
    <row r="3834" outlineLevel="3" ht="15.75" customHeight="1">
      <c r="A3834" s="10" t="n">
        <v>9</v>
      </c>
      <c r="B3834" s="10" t="inlineStr">
        <is>
          <t>Insumo</t>
        </is>
      </c>
      <c r="C3834" s="10" t="inlineStr">
        <is>
          <t>Pintura em Epóxi para demarcação de vagas em piso, 1 demão</t>
        </is>
      </c>
      <c r="D3834" s="10" t="inlineStr">
        <is>
          <t>Tinta Epoxi Base Agua Premium</t>
        </is>
      </c>
      <c r="E3834" s="11">
        <f t="array" ref="E3834">_xlfn.XLOOKUP(D3834,Insumos!B:B,Insumos!C:$C)</f>
        <v/>
      </c>
      <c r="F3834" s="14" t="n">
        <v>0.2372222222222222</v>
      </c>
      <c r="G3834" s="92">
        <f t="array" ref="G3834">IF(B3834="insumo",_xlfn.XLOOKUP($D3834,Insumos!$B$1:$B$996,Insumos!$D$1:$D$996),"")</f>
        <v/>
      </c>
      <c r="H3834" s="92" t="n">
        <v>19.4390432098765</v>
      </c>
      <c r="I3834" s="2162" t="e">
        <v>#REF!</v>
      </c>
      <c r="J3834" s="2162" t="e">
        <v>#REF!</v>
      </c>
      <c r="K3834" s="2162" t="n"/>
    </row>
    <row r="3835" outlineLevel="2" ht="15.75" customHeight="1">
      <c r="A3835" s="1067" t="n">
        <v>1</v>
      </c>
      <c r="B3835" s="1067" t="inlineStr">
        <is>
          <t>Serviço</t>
        </is>
      </c>
      <c r="C3835" s="1067" t="inlineStr">
        <is>
          <t>Pintura em Esmalte em Piso Amarelo, Aplicação Manual, 2 Demãos</t>
        </is>
      </c>
      <c r="D3835" s="1067" t="inlineStr">
        <is>
          <t>Pintura em Esmalte em Piso Amarelo, Aplicação Manual, 2 Demãos</t>
        </is>
      </c>
      <c r="E3835" s="1068" t="inlineStr">
        <is>
          <t>M2</t>
        </is>
      </c>
      <c r="F3835" s="1067" t="n"/>
      <c r="G3835" s="1069">
        <f t="array" ref="G3835">IF(B3835="insumo",_xlfn.XLOOKUP($D3835,Insumos!$B$1:$B$996,Insumos!$D$1:$D$996),"")</f>
        <v/>
      </c>
      <c r="H3835" s="1069" t="n">
        <v>14.3117666666667</v>
      </c>
      <c r="I3835" s="2161" t="n">
        <v>0</v>
      </c>
      <c r="J3835" s="2161" t="n">
        <v>0</v>
      </c>
      <c r="K3835" s="2161" t="n"/>
    </row>
    <row r="3836" outlineLevel="3" ht="15.75" customHeight="1">
      <c r="A3836" s="10" t="n">
        <v>25</v>
      </c>
      <c r="B3836" s="10" t="inlineStr">
        <is>
          <t>Insumo</t>
        </is>
      </c>
      <c r="C3836" s="10" t="inlineStr">
        <is>
          <t>Pintura em Esmalte em Piso Amarelo, Aplicação Manual, 2 Demãos</t>
        </is>
      </c>
      <c r="D3836" s="10" t="inlineStr">
        <is>
          <t>Fita Crepe Rolo De 25 Mm X 50 M</t>
        </is>
      </c>
      <c r="E3836" s="11">
        <f t="array" ref="E3836">_xlfn.XLOOKUP(D3836,Insumos!B:B,Insumos!C:$C)</f>
        <v/>
      </c>
      <c r="F3836" s="14" t="n">
        <v>0.01</v>
      </c>
      <c r="G3836" s="92">
        <f t="array" ref="G3836">IF(B3836="insumo",_xlfn.XLOOKUP($D3836,Insumos!$B$1:$B$996,Insumos!$D$1:$D$996),"")</f>
        <v/>
      </c>
      <c r="H3836" s="92" t="n">
        <v>0.1126</v>
      </c>
      <c r="I3836" s="2162" t="n">
        <v>0</v>
      </c>
      <c r="J3836" s="2162" t="n">
        <v>0</v>
      </c>
      <c r="K3836" s="2162" t="n"/>
    </row>
    <row r="3837" outlineLevel="3" ht="15.75" customHeight="1">
      <c r="A3837" s="10" t="n">
        <v>1</v>
      </c>
      <c r="B3837" s="10" t="inlineStr">
        <is>
          <t>Insumo</t>
        </is>
      </c>
      <c r="C3837" s="10" t="inlineStr">
        <is>
          <t>Pintura em Esmalte em Piso Amarelo, Aplicação Manual, 2 Demãos</t>
        </is>
      </c>
      <c r="D3837" s="10" t="inlineStr">
        <is>
          <t>Tinta Esmalte Sintético Base Solvente Brilhante Pronta para Uso Amarelo 3,6L Luxens</t>
        </is>
      </c>
      <c r="E3837" s="11">
        <f t="array" ref="E3837">_xlfn.XLOOKUP(D3837,Insumos!B:B,Insumos!C:$C)</f>
        <v/>
      </c>
      <c r="F3837" s="14" t="n">
        <v>0.33</v>
      </c>
      <c r="G3837" s="92">
        <f t="array" ref="G3837">IF(B3837="insumo",_xlfn.XLOOKUP($D3837,Insumos!$B$1:$B$996,Insumos!$D$1:$D$996),"")</f>
        <v/>
      </c>
      <c r="H3837" s="92" t="n">
        <v>14.1991666666667</v>
      </c>
      <c r="I3837" s="2162" t="n">
        <v>0</v>
      </c>
      <c r="J3837" s="2162" t="n">
        <v>0</v>
      </c>
      <c r="K3837" s="2162" t="n"/>
    </row>
    <row r="3838" outlineLevel="2" ht="15.75" customHeight="1">
      <c r="A3838" s="1067" t="n">
        <v>1</v>
      </c>
      <c r="B3838" s="1067" t="inlineStr">
        <is>
          <t>Serviço</t>
        </is>
      </c>
      <c r="C3838" s="1067" t="inlineStr">
        <is>
          <t>Pintura em Esmalte em Piso, Aplicação Manual, 2 Demãos</t>
        </is>
      </c>
      <c r="D3838" s="1067" t="inlineStr">
        <is>
          <t>Pintura em Esmalte em Piso, Aplicação Manual, 2 Demãos</t>
        </is>
      </c>
      <c r="E3838" s="1068" t="inlineStr">
        <is>
          <t>M2</t>
        </is>
      </c>
      <c r="F3838" s="1067" t="n"/>
      <c r="G3838" s="1069">
        <f t="array" ref="G3838">IF(B3838="insumo",_xlfn.XLOOKUP($D3838,Insumos!$B$1:$B$996,Insumos!$D$1:$D$996),"")</f>
        <v/>
      </c>
      <c r="H3838" s="1069" t="n">
        <v>20.96071</v>
      </c>
      <c r="I3838" s="2161" t="n">
        <v>0</v>
      </c>
      <c r="J3838" s="2161" t="n">
        <v>0</v>
      </c>
      <c r="K3838" s="2161" t="n"/>
    </row>
    <row r="3839" outlineLevel="3" ht="15.75" customHeight="1">
      <c r="A3839" s="10" t="n">
        <v>6</v>
      </c>
      <c r="B3839" s="10" t="inlineStr">
        <is>
          <t>Insumo</t>
        </is>
      </c>
      <c r="C3839" s="10" t="inlineStr">
        <is>
          <t>Pintura em Esmalte em Piso, Aplicação Manual, 2 Demãos</t>
        </is>
      </c>
      <c r="D3839" s="10" t="inlineStr">
        <is>
          <t>DILUENTE AGUARRAS</t>
        </is>
      </c>
      <c r="E3839" s="11">
        <f t="array" ref="E3839">_xlfn.XLOOKUP(D3839,Insumos!B:B,Insumos!C:$C)</f>
        <v/>
      </c>
      <c r="F3839" s="14" t="n">
        <v>0.064</v>
      </c>
      <c r="G3839" s="92">
        <f t="array" ref="G3839">IF(B3839="insumo",_xlfn.XLOOKUP($D3839,Insumos!$B$1:$B$996,Insumos!$D$1:$D$996),"")</f>
        <v/>
      </c>
      <c r="H3839" s="92" t="n">
        <v>1.40736</v>
      </c>
      <c r="I3839" s="2162" t="n">
        <v>0</v>
      </c>
      <c r="J3839" s="2162" t="n">
        <v>0</v>
      </c>
      <c r="K3839" s="2162" t="n"/>
    </row>
    <row r="3840" outlineLevel="3" ht="15.75" customHeight="1">
      <c r="A3840" s="10" t="n">
        <v>25</v>
      </c>
      <c r="B3840" s="10" t="inlineStr">
        <is>
          <t>Insumo</t>
        </is>
      </c>
      <c r="C3840" s="10" t="inlineStr">
        <is>
          <t>Pintura em Esmalte em Piso, Aplicação Manual, 2 Demãos</t>
        </is>
      </c>
      <c r="D3840" s="10" t="inlineStr">
        <is>
          <t>Fita Crepe Rolo De 25 Mm X 50 M</t>
        </is>
      </c>
      <c r="E3840" s="11">
        <f t="array" ref="E3840">_xlfn.XLOOKUP(D3840,Insumos!B:B,Insumos!C:$C)</f>
        <v/>
      </c>
      <c r="F3840" s="14" t="n">
        <v>0.01</v>
      </c>
      <c r="G3840" s="92">
        <f t="array" ref="G3840">IF(B3840="insumo",_xlfn.XLOOKUP($D3840,Insumos!$B$1:$B$996,Insumos!$D$1:$D$996),"")</f>
        <v/>
      </c>
      <c r="H3840" s="92" t="n">
        <v>0.1126</v>
      </c>
      <c r="I3840" s="2162" t="n">
        <v>0</v>
      </c>
      <c r="J3840" s="2162" t="n">
        <v>0</v>
      </c>
      <c r="K3840" s="2162" t="n"/>
    </row>
    <row r="3841" outlineLevel="3" ht="15.75" customHeight="1">
      <c r="A3841" s="10" t="n">
        <v>1</v>
      </c>
      <c r="B3841" s="10" t="inlineStr">
        <is>
          <t>Insumo</t>
        </is>
      </c>
      <c r="C3841" s="10" t="inlineStr">
        <is>
          <t>Pintura em Esmalte em Piso, Aplicação Manual, 2 Demãos</t>
        </is>
      </c>
      <c r="D3841" s="10" t="inlineStr">
        <is>
          <t>Tinta Esmalte</t>
        </is>
      </c>
      <c r="E3841" s="11">
        <f t="array" ref="E3841">_xlfn.XLOOKUP(D3841,Insumos!B:B,Insumos!C:$C)</f>
        <v/>
      </c>
      <c r="F3841" s="14" t="n">
        <v>0.483</v>
      </c>
      <c r="G3841" s="92">
        <f t="array" ref="G3841">IF(B3841="insumo",_xlfn.XLOOKUP($D3841,Insumos!$B$1:$B$996,Insumos!$D$1:$D$996),"")</f>
        <v/>
      </c>
      <c r="H3841" s="92" t="n">
        <v>19.44075</v>
      </c>
      <c r="I3841" s="2162" t="n">
        <v>0</v>
      </c>
      <c r="J3841" s="2162" t="n">
        <v>0</v>
      </c>
      <c r="K3841" s="2162" t="n"/>
    </row>
    <row r="3842" outlineLevel="2" ht="15.75" customHeight="1">
      <c r="A3842" s="1067" t="n">
        <v>1</v>
      </c>
      <c r="B3842" s="1067" t="inlineStr">
        <is>
          <t>Serviço</t>
        </is>
      </c>
      <c r="C3842" s="1067" t="inlineStr">
        <is>
          <t>Pintura em Acrilica em Piso, Aplicação Manual, 2 Demãos</t>
        </is>
      </c>
      <c r="D3842" s="1067" t="inlineStr">
        <is>
          <t>Pintura em Acrilica em Piso, Aplicação Manual, 2 Demãos</t>
        </is>
      </c>
      <c r="E3842" s="1068" t="inlineStr">
        <is>
          <t>M2</t>
        </is>
      </c>
      <c r="F3842" s="1067" t="n"/>
      <c r="G3842" s="1069">
        <f t="array" ref="G3842">IF(B3842="insumo",_xlfn.XLOOKUP($D3842,Insumos!$B$1:$B$996,Insumos!$D$1:$D$996),"")</f>
        <v/>
      </c>
      <c r="H3842" s="1069" t="n">
        <v>16.9302433333333</v>
      </c>
      <c r="I3842" s="2161" t="n">
        <v>0</v>
      </c>
      <c r="J3842" s="2161" t="n">
        <v>0</v>
      </c>
      <c r="K3842" s="2161" t="n"/>
    </row>
    <row r="3843" outlineLevel="3" ht="15.75" customHeight="1">
      <c r="A3843" s="10" t="n">
        <v>6</v>
      </c>
      <c r="B3843" s="10" t="inlineStr">
        <is>
          <t>Insumo</t>
        </is>
      </c>
      <c r="C3843" s="10" t="inlineStr">
        <is>
          <t>Pintura em Acrilica em Piso, Aplicação Manual, 2 Demãos</t>
        </is>
      </c>
      <c r="D3843" s="10" t="inlineStr">
        <is>
          <t>DILUENTE AGUARRAS</t>
        </is>
      </c>
      <c r="E3843" s="11">
        <f t="array" ref="E3843">_xlfn.XLOOKUP(D3843,Insumos!B:B,Insumos!C:$C)</f>
        <v/>
      </c>
      <c r="F3843" s="14" t="n">
        <v>0.021</v>
      </c>
      <c r="G3843" s="92">
        <f t="array" ref="G3843">IF(B3843="insumo",_xlfn.XLOOKUP($D3843,Insumos!$B$1:$B$996,Insumos!$D$1:$D$996),"")</f>
        <v/>
      </c>
      <c r="H3843" s="92" t="n">
        <v>0.46179</v>
      </c>
      <c r="I3843" s="2162" t="n">
        <v>0</v>
      </c>
      <c r="J3843" s="2162" t="n">
        <v>0</v>
      </c>
      <c r="K3843" s="2162" t="n"/>
    </row>
    <row r="3844" outlineLevel="3" ht="22.5" customHeight="1">
      <c r="A3844" s="10" t="n">
        <v>25</v>
      </c>
      <c r="B3844" s="10" t="inlineStr">
        <is>
          <t>Insumo</t>
        </is>
      </c>
      <c r="C3844" s="10" t="inlineStr">
        <is>
          <t>Pintura em Acrilica em Piso, Aplicação Manual, 2 Demãos</t>
        </is>
      </c>
      <c r="D3844" s="10" t="inlineStr">
        <is>
          <t>Fita Crepe Rolo De 25 Mm X 50 M</t>
        </is>
      </c>
      <c r="E3844" s="11">
        <f t="array" ref="E3844">_xlfn.XLOOKUP(D3844,Insumos!B:B,Insumos!C:$C)</f>
        <v/>
      </c>
      <c r="F3844" s="14" t="n">
        <v>0.012</v>
      </c>
      <c r="G3844" s="92">
        <f t="array" ref="G3844">IF(B3844="insumo",_xlfn.XLOOKUP($D3844,Insumos!$B$1:$B$996,Insumos!$D$1:$D$996),"")</f>
        <v/>
      </c>
      <c r="H3844" s="92" t="n">
        <v>0.13512</v>
      </c>
      <c r="I3844" s="2162" t="n">
        <v>0</v>
      </c>
      <c r="J3844" s="2162" t="n">
        <v>0</v>
      </c>
      <c r="K3844" s="2162" t="n"/>
    </row>
    <row r="3845" outlineLevel="3" ht="15.75" customHeight="1">
      <c r="A3845" s="10" t="n">
        <v>3</v>
      </c>
      <c r="B3845" s="10" t="inlineStr">
        <is>
          <t>Insumo</t>
        </is>
      </c>
      <c r="C3845" s="10" t="inlineStr">
        <is>
          <t>Pintura em Acrilica em Piso, Aplicação Manual, 2 Demãos</t>
        </is>
      </c>
      <c r="D3845" s="10" t="inlineStr">
        <is>
          <t>TINTA ACRILICA A BASE DE SOLVENTE</t>
        </is>
      </c>
      <c r="E3845" s="11">
        <f t="array" ref="E3845">_xlfn.XLOOKUP(D3845,Insumos!B:B,Insumos!C:$C)</f>
        <v/>
      </c>
      <c r="F3845" s="14" t="n">
        <v>0.49</v>
      </c>
      <c r="G3845" s="92">
        <f t="array" ref="G3845">IF(B3845="insumo",_xlfn.XLOOKUP($D3845,Insumos!$B$1:$B$996,Insumos!$D$1:$D$996),"")</f>
        <v/>
      </c>
      <c r="H3845" s="92" t="n">
        <v>16.3333333333333</v>
      </c>
      <c r="I3845" s="2162" t="n">
        <v>0</v>
      </c>
      <c r="J3845" s="2162" t="n">
        <v>0</v>
      </c>
      <c r="K3845" s="2162" t="n"/>
    </row>
    <row r="3846" outlineLevel="2" ht="15.75" customHeight="1">
      <c r="A3846" s="1067" t="n">
        <v>1</v>
      </c>
      <c r="B3846" s="1067" t="inlineStr">
        <is>
          <t>Serviço</t>
        </is>
      </c>
      <c r="C3846" s="1067" t="inlineStr">
        <is>
          <t>Textura acrílica aplicação em Escadas, 1 demão</t>
        </is>
      </c>
      <c r="D3846" s="1067" t="inlineStr">
        <is>
          <t>Textura acrílica aplicação em Escadas, 1 demão</t>
        </is>
      </c>
      <c r="E3846" s="1068" t="inlineStr">
        <is>
          <t>M2</t>
        </is>
      </c>
      <c r="F3846" s="1067" t="n"/>
      <c r="G3846" s="1069">
        <f t="array" ref="G3846">IF(B3846="insumo",_xlfn.XLOOKUP($D3846,Insumos!$B$1:$B$996,Insumos!$D$1:$D$996),"")</f>
        <v/>
      </c>
      <c r="H3846" s="1069" t="n">
        <v>14.7142656363636</v>
      </c>
      <c r="I3846" s="2161" t="n">
        <v>0</v>
      </c>
      <c r="J3846" s="2161" t="n">
        <v>0</v>
      </c>
      <c r="K3846" s="2161" t="n"/>
    </row>
    <row r="3847" outlineLevel="3" ht="15.75" customHeight="1">
      <c r="A3847" s="10" t="n">
        <v>31</v>
      </c>
      <c r="B3847" s="10" t="inlineStr">
        <is>
          <t>Insumo</t>
        </is>
      </c>
      <c r="C3847" s="10" t="inlineStr">
        <is>
          <t>Textura acrílica aplicação em Escadas, 1 demão</t>
        </is>
      </c>
      <c r="D3847" s="10" t="inlineStr">
        <is>
          <t>Selador acrilico opaco premium interno/externo</t>
        </is>
      </c>
      <c r="E3847" s="11">
        <f t="array" ref="E3847">_xlfn.XLOOKUP(D3847,Insumos!B:B,Insumos!C:$C)</f>
        <v/>
      </c>
      <c r="F3847" s="14" t="n">
        <v>0.1666</v>
      </c>
      <c r="G3847" s="92">
        <f t="array" ref="G3847">IF(B3847="insumo",_xlfn.XLOOKUP($D3847,Insumos!$B$1:$B$996,Insumos!$D$1:$D$996),"")</f>
        <v/>
      </c>
      <c r="H3847" s="92" t="n">
        <v>1.077902</v>
      </c>
      <c r="I3847" s="2162" t="n">
        <v>0</v>
      </c>
      <c r="J3847" s="2162" t="n">
        <v>0</v>
      </c>
      <c r="K3847" s="2162" t="n"/>
    </row>
    <row r="3848" outlineLevel="3" ht="15.75" customHeight="1">
      <c r="A3848" s="10" t="n">
        <v>5</v>
      </c>
      <c r="B3848" s="10" t="inlineStr">
        <is>
          <t>Insumo</t>
        </is>
      </c>
      <c r="C3848" s="10" t="inlineStr">
        <is>
          <t>Textura acrílica aplicação em Escadas, 1 demão</t>
        </is>
      </c>
      <c r="D3848" s="10" t="inlineStr">
        <is>
          <t>MASSA PREMIUM PARA TEXTURA LISA DE BASE ACRILICA</t>
        </is>
      </c>
      <c r="E3848" s="11">
        <f t="array" ref="E3848">_xlfn.XLOOKUP(D3848,Insumos!B:B,Insumos!C:$C)</f>
        <v/>
      </c>
      <c r="F3848" s="14" t="n">
        <v>1.5</v>
      </c>
      <c r="G3848" s="92">
        <f t="array" ref="G3848">IF(B3848="insumo",_xlfn.XLOOKUP($D3848,Insumos!$B$1:$B$996,Insumos!$D$1:$D$996),"")</f>
        <v/>
      </c>
      <c r="H3848" s="92" t="n">
        <v>13.6363636363636</v>
      </c>
      <c r="I3848" s="2162" t="n">
        <v>0</v>
      </c>
      <c r="J3848" s="2162" t="n">
        <v>0</v>
      </c>
      <c r="K3848" s="2162" t="n"/>
    </row>
    <row r="3849" outlineLevel="2" ht="15.75" customHeight="1">
      <c r="A3849" s="1067" t="n">
        <v>1</v>
      </c>
      <c r="B3849" s="1067" t="inlineStr">
        <is>
          <t>Serviço</t>
        </is>
      </c>
      <c r="C3849" s="1067" t="inlineStr">
        <is>
          <t>Pintura em Látex Acrilica para demarcação de vagas em piso, 1 demão</t>
        </is>
      </c>
      <c r="D3849" s="1067" t="inlineStr">
        <is>
          <t>Pintura em Látex Acrilica para demarcação de vagas em piso, 1 demão</t>
        </is>
      </c>
      <c r="E3849" s="1068" t="inlineStr">
        <is>
          <t>M2</t>
        </is>
      </c>
      <c r="F3849" s="1067" t="n"/>
      <c r="G3849" s="1069">
        <f t="array" ref="G3849">IF(B3849="insumo",_xlfn.XLOOKUP($D3849,Insumos!$B$1:$B$996,Insumos!$D$1:$D$996),"")</f>
        <v/>
      </c>
      <c r="H3849" s="1069" t="n">
        <v>5.59825</v>
      </c>
      <c r="I3849" s="2161" t="n">
        <v>0</v>
      </c>
      <c r="J3849" s="2161" t="n">
        <v>0</v>
      </c>
      <c r="K3849" s="2161" t="n"/>
    </row>
    <row r="3850" outlineLevel="3" ht="15.75" customHeight="1">
      <c r="A3850" s="10" t="n">
        <v>16</v>
      </c>
      <c r="B3850" s="10" t="inlineStr">
        <is>
          <t>Insumo</t>
        </is>
      </c>
      <c r="C3850" s="10" t="inlineStr">
        <is>
          <t>Pintura em Látex Acrilica para demarcação de vagas em piso, 1 demão</t>
        </is>
      </c>
      <c r="D3850" s="10" t="inlineStr">
        <is>
          <t xml:space="preserve">TINTA ACRILICA PREMIUM </t>
        </is>
      </c>
      <c r="E3850" s="11">
        <f t="array" ref="E3850">_xlfn.XLOOKUP(D3850,Insumos!B:B,Insumos!C:$C)</f>
        <v/>
      </c>
      <c r="F3850" s="14" t="n">
        <v>0.2285</v>
      </c>
      <c r="G3850" s="92">
        <f t="array" ref="G3850">IF(B3850="insumo",_xlfn.XLOOKUP($D3850,Insumos!$B$1:$B$996,Insumos!$D$1:$D$996),"")</f>
        <v/>
      </c>
      <c r="H3850" s="92" t="n">
        <v>5.59825</v>
      </c>
      <c r="I3850" s="2162" t="n">
        <v>0</v>
      </c>
      <c r="J3850" s="2162" t="n">
        <v>0</v>
      </c>
      <c r="K3850" s="2162" t="n"/>
    </row>
    <row r="3851" outlineLevel="2" ht="12.75" customHeight="1">
      <c r="A3851" s="1071" t="n">
        <v>1</v>
      </c>
      <c r="B3851" s="1071" t="inlineStr">
        <is>
          <t>Serviço</t>
        </is>
      </c>
      <c r="C3851" s="1071" t="inlineStr">
        <is>
          <t>Pintura em tinta para piso, Aplicação Manual, 2 Demãos</t>
        </is>
      </c>
      <c r="D3851" s="1071" t="inlineStr">
        <is>
          <t>Pintura em tinta para piso, Aplicação Manual, 2 Demãos</t>
        </is>
      </c>
      <c r="E3851" s="1072" t="inlineStr">
        <is>
          <t>M2</t>
        </is>
      </c>
      <c r="F3851" s="1071" t="n"/>
      <c r="G3851" s="1073">
        <f t="array" ref="G3851">IF(B3851="insumo",_xlfn.XLOOKUP($D3851,Insumos!$B$1:$B$996,Insumos!$D$1:$D$996),"")</f>
        <v/>
      </c>
      <c r="H3851" s="1073" t="n">
        <v>9.772600000000001</v>
      </c>
      <c r="I3851" s="2163" t="n">
        <v>0</v>
      </c>
      <c r="J3851" s="2163" t="n">
        <v>0</v>
      </c>
      <c r="K3851" s="2163" t="n"/>
    </row>
    <row r="3852" outlineLevel="3" ht="12.75" customHeight="1">
      <c r="A3852" s="82" t="n">
        <v>25</v>
      </c>
      <c r="B3852" s="82" t="inlineStr">
        <is>
          <t>Insumo</t>
        </is>
      </c>
      <c r="C3852" s="82" t="inlineStr">
        <is>
          <t>Pintura em tinta para piso, Aplicação Manual, 2 Demãos</t>
        </is>
      </c>
      <c r="D3852" s="82" t="inlineStr">
        <is>
          <t>Fita Crepe Rolo De 25 Mm X 50 M</t>
        </is>
      </c>
      <c r="E3852" s="11">
        <f t="array" ref="E3852">_xlfn.XLOOKUP(D3852,Insumos!B:B,Insumos!C:$C)</f>
        <v/>
      </c>
      <c r="F3852" s="2164" t="n">
        <v>0.01</v>
      </c>
      <c r="G3852" s="92">
        <f t="array" ref="G3852">IF(B3852="insumo",_xlfn.XLOOKUP($D3852,Insumos!$B$1:$B$996,Insumos!$D$1:$D$996),"")</f>
        <v/>
      </c>
      <c r="H3852" s="92" t="n">
        <v>0.1126</v>
      </c>
      <c r="I3852" s="2165" t="n">
        <v>0</v>
      </c>
      <c r="J3852" s="2165" t="n">
        <v>0</v>
      </c>
      <c r="K3852" s="2165" t="n"/>
    </row>
    <row r="3853" outlineLevel="3" ht="12.75" customHeight="1">
      <c r="A3853" s="82" t="n">
        <v>2</v>
      </c>
      <c r="B3853" s="82" t="inlineStr">
        <is>
          <t>Insumo</t>
        </is>
      </c>
      <c r="C3853" s="82" t="inlineStr">
        <is>
          <t>Pintura em tinta para piso, Aplicação Manual, 2 Demãos</t>
        </is>
      </c>
      <c r="D3853" s="82" t="inlineStr">
        <is>
          <t>Tinta Piso</t>
        </is>
      </c>
      <c r="E3853" s="11">
        <f t="array" ref="E3853">_xlfn.XLOOKUP(D3853,Insumos!B:B,Insumos!C:$C)</f>
        <v/>
      </c>
      <c r="F3853" s="2164" t="n">
        <v>0.483</v>
      </c>
      <c r="G3853" s="92">
        <f t="array" ref="G3853">IF(B3853="insumo",_xlfn.XLOOKUP($D3853,Insumos!$B$1:$B$996,Insumos!$D$1:$D$996),"")</f>
        <v/>
      </c>
      <c r="H3853" s="92" t="n">
        <v>9.66</v>
      </c>
      <c r="I3853" s="2165" t="n">
        <v>0</v>
      </c>
      <c r="J3853" s="2165" t="n">
        <v>0</v>
      </c>
      <c r="K3853" s="2165" t="n"/>
    </row>
    <row r="3854" outlineLevel="2" ht="12.75" customHeight="1">
      <c r="A3854" s="1071" t="n">
        <v>1</v>
      </c>
      <c r="B3854" s="1071" t="inlineStr">
        <is>
          <t>Serviço</t>
        </is>
      </c>
      <c r="C3854" s="1071" t="inlineStr">
        <is>
          <t>Pintura em Resina em Piso, Aplicação Manual, 2 Demãos</t>
        </is>
      </c>
      <c r="D3854" s="1071" t="inlineStr">
        <is>
          <t>Pintura em Resina em Piso, Aplicação Manual, 2 Demãos</t>
        </is>
      </c>
      <c r="E3854" s="1072" t="inlineStr">
        <is>
          <t>M2</t>
        </is>
      </c>
      <c r="F3854" s="1071" t="n"/>
      <c r="G3854" s="1073">
        <f t="array" ref="G3854">IF(B3854="insumo",_xlfn.XLOOKUP($D3854,Insumos!$B$1:$B$996,Insumos!$D$1:$D$996),"")</f>
        <v/>
      </c>
      <c r="H3854" s="1073" t="n">
        <v>42.8994466666667</v>
      </c>
      <c r="I3854" s="2163" t="n">
        <v>0</v>
      </c>
      <c r="J3854" s="2163" t="n">
        <v>0</v>
      </c>
      <c r="K3854" s="2163" t="n"/>
    </row>
    <row r="3855" outlineLevel="3" ht="12.75" customHeight="1">
      <c r="A3855" s="82" t="n">
        <v>9</v>
      </c>
      <c r="B3855" s="82" t="inlineStr">
        <is>
          <t>Insumo</t>
        </is>
      </c>
      <c r="C3855" s="82" t="inlineStr">
        <is>
          <t>Pintura em Resina em Piso, Aplicação Manual, 2 Demãos</t>
        </is>
      </c>
      <c r="D3855" s="82" t="inlineStr">
        <is>
          <t>Diluente Epoxi</t>
        </is>
      </c>
      <c r="E3855" s="11">
        <f t="array" ref="E3855">_xlfn.XLOOKUP(D3855,Insumos!B:B,Insumos!C:$C)</f>
        <v/>
      </c>
      <c r="F3855" s="2164" t="n">
        <v>0.064</v>
      </c>
      <c r="G3855" s="92">
        <f t="array" ref="G3855">IF(B3855="insumo",_xlfn.XLOOKUP($D3855,Insumos!$B$1:$B$996,Insumos!$D$1:$D$996),"")</f>
        <v/>
      </c>
      <c r="H3855" s="92" t="n">
        <v>3.20768</v>
      </c>
      <c r="I3855" s="2165" t="n">
        <v>0</v>
      </c>
      <c r="J3855" s="2165" t="n">
        <v>0</v>
      </c>
      <c r="K3855" s="2165" t="n"/>
    </row>
    <row r="3856" outlineLevel="3" ht="12.75" customHeight="1">
      <c r="A3856" s="82" t="n">
        <v>25</v>
      </c>
      <c r="B3856" s="82" t="inlineStr">
        <is>
          <t>Insumo</t>
        </is>
      </c>
      <c r="C3856" s="82" t="inlineStr">
        <is>
          <t>Pintura em Resina em Piso, Aplicação Manual, 2 Demãos</t>
        </is>
      </c>
      <c r="D3856" s="82" t="inlineStr">
        <is>
          <t>Fita Crepe Rolo De 25 Mm X 50 M</t>
        </is>
      </c>
      <c r="E3856" s="11">
        <f t="array" ref="E3856">_xlfn.XLOOKUP(D3856,Insumos!B:B,Insumos!C:$C)</f>
        <v/>
      </c>
      <c r="F3856" s="2164" t="n">
        <v>0.01</v>
      </c>
      <c r="G3856" s="92">
        <f t="array" ref="G3856">IF(B3856="insumo",_xlfn.XLOOKUP($D3856,Insumos!$B$1:$B$996,Insumos!$D$1:$D$996),"")</f>
        <v/>
      </c>
      <c r="H3856" s="92" t="n">
        <v>0.1126</v>
      </c>
      <c r="I3856" s="2165" t="n">
        <v>0</v>
      </c>
      <c r="J3856" s="2165" t="n">
        <v>0</v>
      </c>
      <c r="K3856" s="2165" t="n"/>
    </row>
    <row r="3857" outlineLevel="3" ht="12.75" customHeight="1">
      <c r="A3857" s="82" t="n">
        <v>9</v>
      </c>
      <c r="B3857" s="82" t="inlineStr">
        <is>
          <t>Insumo</t>
        </is>
      </c>
      <c r="C3857" s="82" t="inlineStr">
        <is>
          <t>Pintura em Resina em Piso, Aplicação Manual, 2 Demãos</t>
        </is>
      </c>
      <c r="D3857" s="82" t="inlineStr">
        <is>
          <t>Tinta Epoxi Base Agua Premium</t>
        </is>
      </c>
      <c r="E3857" s="11">
        <f t="array" ref="E3857">_xlfn.XLOOKUP(D3857,Insumos!B:B,Insumos!C:$C)</f>
        <v/>
      </c>
      <c r="F3857" s="2164" t="n">
        <v>0.483</v>
      </c>
      <c r="G3857" s="92">
        <f t="array" ref="G3857">IF(B3857="insumo",_xlfn.XLOOKUP($D3857,Insumos!$B$1:$B$996,Insumos!$D$1:$D$996),"")</f>
        <v/>
      </c>
      <c r="H3857" s="92" t="n">
        <v>39.5791666666667</v>
      </c>
      <c r="I3857" s="2165" t="n">
        <v>0</v>
      </c>
      <c r="J3857" s="2165" t="n">
        <v>0</v>
      </c>
      <c r="K3857" s="2165" t="n"/>
    </row>
    <row r="3858" outlineLevel="1" ht="15.75" customHeight="1">
      <c r="A3858" s="1090" t="n">
        <v>1</v>
      </c>
      <c r="B3858" s="1090" t="inlineStr">
        <is>
          <t>Subetapa</t>
        </is>
      </c>
      <c r="C3858" s="1090" t="inlineStr">
        <is>
          <t>Pintura em Resina em Piso, Aplicação Manual, 2 Demãos</t>
        </is>
      </c>
      <c r="D3858" s="1090" t="inlineStr">
        <is>
          <t>PAREDES</t>
        </is>
      </c>
      <c r="E3858" s="1091" t="n"/>
      <c r="F3858" s="2160" t="n"/>
      <c r="G3858" s="1091" t="n"/>
      <c r="H3858" s="1091" t="n">
        <v>0</v>
      </c>
      <c r="I3858" s="2160" t="n">
        <v>0</v>
      </c>
      <c r="J3858" s="2160" t="n">
        <v>0</v>
      </c>
      <c r="K3858" s="2160" t="n"/>
    </row>
    <row r="3859" outlineLevel="2" ht="15.75" customHeight="1">
      <c r="A3859" s="1067" t="n">
        <v>1</v>
      </c>
      <c r="B3859" s="1067" t="inlineStr">
        <is>
          <t>Serviço</t>
        </is>
      </c>
      <c r="C3859" s="1067" t="inlineStr">
        <is>
          <t>selador em Paredes Internas</t>
        </is>
      </c>
      <c r="D3859" s="1067" t="inlineStr">
        <is>
          <t>selador em Paredes Internas</t>
        </is>
      </c>
      <c r="E3859" s="1068" t="inlineStr">
        <is>
          <t>M2</t>
        </is>
      </c>
      <c r="F3859" s="1067" t="n"/>
      <c r="G3859" s="1069">
        <f t="array" ref="G3859">IF(B3859="insumo",_xlfn.XLOOKUP($D3859,Insumos!$B$1:$B$996,Insumos!$D$1:$D$996),"")</f>
        <v/>
      </c>
      <c r="H3859" s="1069" t="n">
        <v>1.75855555555556</v>
      </c>
      <c r="I3859" s="2161" t="e">
        <v>#REF!</v>
      </c>
      <c r="J3859" s="2161" t="e">
        <v>#REF!</v>
      </c>
      <c r="K3859" s="2161" t="n"/>
    </row>
    <row r="3860" outlineLevel="3" ht="15.75" customHeight="1">
      <c r="A3860" s="10" t="n">
        <v>19</v>
      </c>
      <c r="B3860" s="10" t="inlineStr">
        <is>
          <t>Insumo</t>
        </is>
      </c>
      <c r="C3860" s="10" t="inlineStr">
        <is>
          <t>selador em Paredes Internas</t>
        </is>
      </c>
      <c r="D3860" s="10" t="inlineStr">
        <is>
          <t>Selador Primer Ibratin - 4,2kg - 3,6L</t>
        </is>
      </c>
      <c r="E3860" s="11">
        <f t="array" ref="E3860">_xlfn.XLOOKUP(D3860,Insumos!B:B,Insumos!C:$C)</f>
        <v/>
      </c>
      <c r="F3860" s="14" t="n">
        <v>0.1666</v>
      </c>
      <c r="G3860" s="92">
        <f t="array" ref="G3860">IF(B3860="insumo",_xlfn.XLOOKUP($D3860,Insumos!$B$1:$B$996,Insumos!$D$1:$D$996),"")</f>
        <v/>
      </c>
      <c r="H3860" s="92" t="n">
        <v>1.75855555555556</v>
      </c>
      <c r="I3860" s="2162" t="e">
        <v>#REF!</v>
      </c>
      <c r="J3860" s="2162" t="e">
        <v>#REF!</v>
      </c>
      <c r="K3860" s="2162" t="n"/>
    </row>
    <row r="3861" outlineLevel="2" ht="15.75" customHeight="1">
      <c r="A3861" s="1067" t="n">
        <v>1</v>
      </c>
      <c r="B3861" s="1067" t="inlineStr">
        <is>
          <t>Serviço</t>
        </is>
      </c>
      <c r="C3861" s="1067" t="inlineStr">
        <is>
          <t>Massa Corrida em Paredes Internas</t>
        </is>
      </c>
      <c r="D3861" s="1067" t="inlineStr">
        <is>
          <t>Massa Corrida em Paredes Internas</t>
        </is>
      </c>
      <c r="E3861" s="1068" t="inlineStr">
        <is>
          <t>M2</t>
        </is>
      </c>
      <c r="F3861" s="1067" t="n"/>
      <c r="G3861" s="1069">
        <f t="array" ref="G3861">IF(B3861="insumo",_xlfn.XLOOKUP($D3861,Insumos!$B$1:$B$996,Insumos!$D$1:$D$996),"")</f>
        <v/>
      </c>
      <c r="H3861" s="1069" t="n">
        <v>4.34916</v>
      </c>
      <c r="I3861" s="2161" t="e">
        <v>#REF!</v>
      </c>
      <c r="J3861" s="2161" t="e">
        <v>#REF!</v>
      </c>
      <c r="K3861" s="2161" t="n"/>
    </row>
    <row r="3862" outlineLevel="3" ht="15.75" customHeight="1">
      <c r="A3862" s="10" t="n">
        <v>21</v>
      </c>
      <c r="B3862" s="10" t="inlineStr">
        <is>
          <t>Insumo</t>
        </is>
      </c>
      <c r="C3862" s="10" t="inlineStr">
        <is>
          <t>Massa Corrida em Paredes Internas</t>
        </is>
      </c>
      <c r="D3862" s="10" t="inlineStr">
        <is>
          <t>Massa corrida para superfícies de ambientes internos</t>
        </is>
      </c>
      <c r="E3862" s="11">
        <f t="array" ref="E3862">_xlfn.XLOOKUP(D3862,Insumos!B:B,Insumos!C:$C)</f>
        <v/>
      </c>
      <c r="F3862" s="14" t="n">
        <v>0.8667</v>
      </c>
      <c r="G3862" s="92">
        <f t="array" ref="G3862">IF(B3862="insumo",_xlfn.XLOOKUP($D3862,Insumos!$B$1:$B$996,Insumos!$D$1:$D$996),"")</f>
        <v/>
      </c>
      <c r="H3862" s="92" t="n">
        <v>4.16016</v>
      </c>
      <c r="I3862" s="2162" t="e">
        <v>#REF!</v>
      </c>
      <c r="J3862" s="2162" t="e">
        <v>#REF!</v>
      </c>
      <c r="K3862" s="2162" t="n"/>
    </row>
    <row r="3863" outlineLevel="3" ht="15.75" customHeight="1">
      <c r="A3863" s="10" t="n">
        <v>36</v>
      </c>
      <c r="B3863" s="10" t="inlineStr">
        <is>
          <t>Insumo</t>
        </is>
      </c>
      <c r="C3863" s="10" t="inlineStr">
        <is>
          <t>Massa Corrida em Paredes Internas</t>
        </is>
      </c>
      <c r="D3863" s="10" t="inlineStr">
        <is>
          <t>LIXA DAGUA 225X275MM GR100</t>
        </is>
      </c>
      <c r="E3863" s="11">
        <f t="array" ref="E3863">_xlfn.XLOOKUP(D3863,Insumos!B:B,Insumos!C:$C)</f>
        <v/>
      </c>
      <c r="F3863" s="14" t="n">
        <v>0.1</v>
      </c>
      <c r="G3863" s="92">
        <f t="array" ref="G3863">IF(B3863="insumo",_xlfn.XLOOKUP($D3863,Insumos!$B$1:$B$996,Insumos!$D$1:$D$996),"")</f>
        <v/>
      </c>
      <c r="H3863" s="92" t="n">
        <v>0.189</v>
      </c>
      <c r="I3863" s="2162" t="e">
        <v>#REF!</v>
      </c>
      <c r="J3863" s="2162" t="e">
        <v>#REF!</v>
      </c>
      <c r="K3863" s="2162" t="n"/>
    </row>
    <row r="3864" outlineLevel="2" ht="15.75" customHeight="1">
      <c r="A3864" s="1067" t="n">
        <v>1</v>
      </c>
      <c r="B3864" s="1067" t="inlineStr">
        <is>
          <t>Serviço</t>
        </is>
      </c>
      <c r="C3864" s="1067" t="inlineStr">
        <is>
          <t>Pintura Com Tinta Latex Acrilica em Paredes Internas, 3 Demaos Branco Gelo</t>
        </is>
      </c>
      <c r="D3864" s="1067" t="inlineStr">
        <is>
          <t>Pintura Com Tinta Latex Acrilica em Paredes Internas, 3 Demaos Branco Gelo</t>
        </is>
      </c>
      <c r="E3864" s="1068" t="inlineStr">
        <is>
          <t>M2</t>
        </is>
      </c>
      <c r="F3864" s="1067" t="n"/>
      <c r="G3864" s="1069">
        <f t="array" ref="G3864">IF(B3864="insumo",_xlfn.XLOOKUP($D3864,Insumos!$B$1:$B$996,Insumos!$D$1:$D$996),"")</f>
        <v/>
      </c>
      <c r="H3864" s="1069" t="n">
        <v>14.280716065</v>
      </c>
      <c r="I3864" s="2161" t="n">
        <v>0</v>
      </c>
      <c r="J3864" s="2161" t="n">
        <v>0</v>
      </c>
      <c r="K3864" s="2161" t="n"/>
    </row>
    <row r="3865" outlineLevel="3" ht="15.75" customHeight="1">
      <c r="A3865" s="10" t="n">
        <v>1</v>
      </c>
      <c r="B3865" s="10" t="inlineStr">
        <is>
          <t>Insumo</t>
        </is>
      </c>
      <c r="C3865" s="10" t="inlineStr">
        <is>
          <t>Pintura Com Tinta Latex Acrilica em Paredes Internas, 3 Demaos Branco Gelo</t>
        </is>
      </c>
      <c r="D3865" s="10" t="inlineStr">
        <is>
          <t>TINTA ACRILICA PREMIUM BRANCO GELO</t>
        </is>
      </c>
      <c r="E3865" s="11">
        <f t="array" ref="E3865">_xlfn.XLOOKUP(D3865,Insumos!B:B,Insumos!C:$C)</f>
        <v/>
      </c>
      <c r="F3865" s="14" t="n">
        <v>0.495</v>
      </c>
      <c r="G3865" s="92">
        <f t="array" ref="G3865">IF(B3865="insumo",_xlfn.XLOOKUP($D3865,Insumos!$B$1:$B$996,Insumos!$D$1:$D$996),"")</f>
        <v/>
      </c>
      <c r="H3865" s="92" t="n">
        <v>13.75</v>
      </c>
      <c r="I3865" s="2162" t="n">
        <v>0</v>
      </c>
      <c r="J3865" s="2162" t="n">
        <v>0</v>
      </c>
      <c r="K3865" s="2162" t="n"/>
    </row>
    <row r="3866" outlineLevel="3" ht="15.75" customHeight="1">
      <c r="A3866" s="10" t="n">
        <v>7</v>
      </c>
      <c r="B3866" s="10" t="inlineStr">
        <is>
          <t>Insumo</t>
        </is>
      </c>
      <c r="C3866" s="10" t="inlineStr">
        <is>
          <t>Pintura Com Tinta Latex Acrilica em Paredes Internas, 3 Demaos Branco Gelo</t>
        </is>
      </c>
      <c r="D3866" s="10" t="inlineStr">
        <is>
          <t>Thiner</t>
        </is>
      </c>
      <c r="E3866" s="11">
        <f t="array" ref="E3866">_xlfn.XLOOKUP(D3866,Insumos!B:B,Insumos!C:$C)</f>
        <v/>
      </c>
      <c r="F3866" s="14" t="n">
        <v>0.00225</v>
      </c>
      <c r="G3866" s="92">
        <f t="array" ref="G3866">IF(B3866="insumo",_xlfn.XLOOKUP($D3866,Insumos!$B$1:$B$996,Insumos!$D$1:$D$996),"")</f>
        <v/>
      </c>
      <c r="H3866" s="92" t="n">
        <v>0.030375</v>
      </c>
      <c r="I3866" s="2162" t="n">
        <v>0</v>
      </c>
      <c r="J3866" s="2162" t="n">
        <v>0</v>
      </c>
      <c r="K3866" s="2162" t="n"/>
    </row>
    <row r="3867" outlineLevel="3" ht="15.75" customHeight="1">
      <c r="A3867" s="10" t="n">
        <v>25</v>
      </c>
      <c r="B3867" s="10" t="inlineStr">
        <is>
          <t>Insumo</t>
        </is>
      </c>
      <c r="C3867" s="10" t="inlineStr">
        <is>
          <t>Pintura Com Tinta Latex Acrilica em Paredes Internas, 3 Demaos Branco Gelo</t>
        </is>
      </c>
      <c r="D3867" s="10" t="inlineStr">
        <is>
          <t>Fita Crepe Rolo De 25 Mm X 50 M</t>
        </is>
      </c>
      <c r="E3867" s="11">
        <f t="array" ref="E3867">_xlfn.XLOOKUP(D3867,Insumos!B:B,Insumos!C:$C)</f>
        <v/>
      </c>
      <c r="F3867" s="14" t="n">
        <v>0.002132</v>
      </c>
      <c r="G3867" s="92">
        <f t="array" ref="G3867">IF(B3867="insumo",_xlfn.XLOOKUP($D3867,Insumos!$B$1:$B$996,Insumos!$D$1:$D$996),"")</f>
        <v/>
      </c>
      <c r="H3867" s="92" t="n">
        <v>0.02400632</v>
      </c>
      <c r="I3867" s="2162" t="n">
        <v>0</v>
      </c>
      <c r="J3867" s="2162" t="n">
        <v>0</v>
      </c>
      <c r="K3867" s="2162" t="n"/>
    </row>
    <row r="3868" outlineLevel="3" ht="15.75" customHeight="1">
      <c r="A3868" s="10" t="n">
        <v>7</v>
      </c>
      <c r="B3868" s="10" t="inlineStr">
        <is>
          <t>Insumo</t>
        </is>
      </c>
      <c r="C3868" s="10" t="inlineStr">
        <is>
          <t>Pintura Com Tinta Latex Acrilica em Paredes Internas, 3 Demaos Branco Gelo</t>
        </is>
      </c>
      <c r="D3868" s="10" t="inlineStr">
        <is>
          <t>Pacote de Estopa</t>
        </is>
      </c>
      <c r="E3868" s="11">
        <f t="array" ref="E3868">_xlfn.XLOOKUP(D3868,Insumos!B:B,Insumos!C:$C)</f>
        <v/>
      </c>
      <c r="F3868" s="14" t="n">
        <v>0.01</v>
      </c>
      <c r="G3868" s="92">
        <f t="array" ref="G3868">IF(B3868="insumo",_xlfn.XLOOKUP($D3868,Insumos!$B$1:$B$996,Insumos!$D$1:$D$996),"")</f>
        <v/>
      </c>
      <c r="H3868" s="92" t="n">
        <v>0.06900000000000001</v>
      </c>
      <c r="I3868" s="2162" t="n">
        <v>0</v>
      </c>
      <c r="J3868" s="2162" t="n">
        <v>0</v>
      </c>
      <c r="K3868" s="2162" t="n"/>
    </row>
    <row r="3869" outlineLevel="3" ht="15.75" customHeight="1">
      <c r="A3869" s="10" t="n">
        <v>7</v>
      </c>
      <c r="B3869" s="10" t="inlineStr">
        <is>
          <t>Insumo</t>
        </is>
      </c>
      <c r="C3869" s="10" t="inlineStr">
        <is>
          <t>Pintura Com Tinta Latex Acrilica em Paredes Internas, 3 Demaos Branco Gelo</t>
        </is>
      </c>
      <c r="D3869" s="10" t="inlineStr">
        <is>
          <t>Cloro para Limpeza</t>
        </is>
      </c>
      <c r="E3869" s="11">
        <f t="array" ref="E3869">_xlfn.XLOOKUP(D3869,Insumos!B:B,Insumos!C:$C)</f>
        <v/>
      </c>
      <c r="F3869" s="14" t="n">
        <v>0.002358</v>
      </c>
      <c r="G3869" s="92">
        <f t="array" ref="G3869">IF(B3869="insumo",_xlfn.XLOOKUP($D3869,Insumos!$B$1:$B$996,Insumos!$D$1:$D$996),"")</f>
        <v/>
      </c>
      <c r="H3869" s="92" t="n">
        <v>0.0150912</v>
      </c>
      <c r="I3869" s="2162" t="n">
        <v>0</v>
      </c>
      <c r="J3869" s="2162" t="n">
        <v>0</v>
      </c>
      <c r="K3869" s="2162" t="n"/>
    </row>
    <row r="3870" outlineLevel="3" ht="15.75" customHeight="1">
      <c r="A3870" s="10" t="n">
        <v>9</v>
      </c>
      <c r="B3870" s="10" t="inlineStr">
        <is>
          <t>Insumo</t>
        </is>
      </c>
      <c r="C3870" s="10" t="inlineStr">
        <is>
          <t>Pintura Com Tinta Latex Acrilica em Paredes Internas, 3 Demaos Branco Gelo</t>
        </is>
      </c>
      <c r="D3870" s="10" t="inlineStr">
        <is>
          <t>Lona Preta Plástica 4x100 Metros 25kg - Agroplastic, Tamanho: 120 Micras</t>
        </is>
      </c>
      <c r="E3870" s="11">
        <f t="array" ref="E3870">_xlfn.XLOOKUP(D3870,Insumos!B:B,Insumos!C:$C)</f>
        <v/>
      </c>
      <c r="F3870" s="14" t="n">
        <v>0.00225</v>
      </c>
      <c r="G3870" s="92">
        <f t="array" ref="G3870">IF(B3870="insumo",_xlfn.XLOOKUP($D3870,Insumos!$B$1:$B$996,Insumos!$D$1:$D$996),"")</f>
        <v/>
      </c>
      <c r="H3870" s="92" t="n">
        <v>0.005180625</v>
      </c>
      <c r="I3870" s="2162" t="n">
        <v>0</v>
      </c>
      <c r="J3870" s="2162" t="n">
        <v>0</v>
      </c>
      <c r="K3870" s="2162" t="n"/>
    </row>
    <row r="3871" outlineLevel="3" ht="15.75" customHeight="1">
      <c r="A3871" s="10" t="n">
        <v>7</v>
      </c>
      <c r="B3871" s="10" t="inlineStr">
        <is>
          <t>Insumo</t>
        </is>
      </c>
      <c r="C3871" s="10" t="inlineStr">
        <is>
          <t>Pintura Com Tinta Latex Acrilica em Paredes Internas, 3 Demaos Branco Gelo</t>
        </is>
      </c>
      <c r="D3871" s="10" t="inlineStr">
        <is>
          <t>Disco de lixa (Diametro 225mm) - Grão 180</t>
        </is>
      </c>
      <c r="E3871" s="11">
        <f t="array" ref="E3871">_xlfn.XLOOKUP(D3871,Insumos!B:B,Insumos!C:$C)</f>
        <v/>
      </c>
      <c r="F3871" s="14" t="n">
        <v>0.02488</v>
      </c>
      <c r="G3871" s="92">
        <f t="array" ref="G3871">IF(B3871="insumo",_xlfn.XLOOKUP($D3871,Insumos!$B$1:$B$996,Insumos!$D$1:$D$996),"")</f>
        <v/>
      </c>
      <c r="H3871" s="92" t="n">
        <v>0.14900632</v>
      </c>
      <c r="I3871" s="2162" t="n">
        <v>0</v>
      </c>
      <c r="J3871" s="2162" t="n">
        <v>0</v>
      </c>
      <c r="K3871" s="2162" t="n"/>
    </row>
    <row r="3872" outlineLevel="3" ht="15.75" customHeight="1">
      <c r="A3872" s="10" t="n">
        <v>7</v>
      </c>
      <c r="B3872" s="10" t="inlineStr">
        <is>
          <t>Insumo</t>
        </is>
      </c>
      <c r="C3872" s="10" t="inlineStr">
        <is>
          <t>Pintura Com Tinta Latex Acrilica em Paredes Internas, 3 Demaos Branco Gelo</t>
        </is>
      </c>
      <c r="D3872" s="10" t="inlineStr">
        <is>
          <t>Disco de lixa telado (Diâmetro 225mm) - Grão 220</t>
        </is>
      </c>
      <c r="E3872" s="11">
        <f t="array" ref="E3872">_xlfn.XLOOKUP(D3872,Insumos!B:B,Insumos!C:$C)</f>
        <v/>
      </c>
      <c r="F3872" s="14" t="n">
        <v>0.02488</v>
      </c>
      <c r="G3872" s="92">
        <f t="array" ref="G3872">IF(B3872="insumo",_xlfn.XLOOKUP($D3872,Insumos!$B$1:$B$996,Insumos!$D$1:$D$996),"")</f>
        <v/>
      </c>
      <c r="H3872" s="92" t="n">
        <v>0.13062</v>
      </c>
      <c r="I3872" s="2162" t="n">
        <v>0</v>
      </c>
      <c r="J3872" s="2162" t="n">
        <v>0</v>
      </c>
      <c r="K3872" s="2162" t="n"/>
    </row>
    <row r="3873" outlineLevel="3" ht="15.75" customHeight="1">
      <c r="A3873" s="10" t="n">
        <v>7</v>
      </c>
      <c r="B3873" s="10" t="inlineStr">
        <is>
          <t>Insumo</t>
        </is>
      </c>
      <c r="C3873" s="10" t="inlineStr">
        <is>
          <t>Pintura Com Tinta Latex Acrilica em Paredes Internas, 3 Demaos Branco Gelo</t>
        </is>
      </c>
      <c r="D3873" s="10" t="inlineStr">
        <is>
          <t>Fita Crepe 50mm x 50mt Azul</t>
        </is>
      </c>
      <c r="E3873" s="11">
        <f t="array" ref="E3873">_xlfn.XLOOKUP(D3873,Insumos!B:B,Insumos!C:$C)</f>
        <v/>
      </c>
      <c r="F3873" s="14" t="n">
        <v>0.002132</v>
      </c>
      <c r="G3873" s="92">
        <f t="array" ref="G3873">IF(B3873="insumo",_xlfn.XLOOKUP($D3873,Insumos!$B$1:$B$996,Insumos!$D$1:$D$996),"")</f>
        <v/>
      </c>
      <c r="H3873" s="92" t="n">
        <v>0.0786708</v>
      </c>
      <c r="I3873" s="2162" t="n">
        <v>0</v>
      </c>
      <c r="J3873" s="2162" t="n">
        <v>0</v>
      </c>
      <c r="K3873" s="2162" t="n"/>
    </row>
    <row r="3874" outlineLevel="3" ht="15.75" customHeight="1">
      <c r="A3874" s="10" t="n">
        <v>36</v>
      </c>
      <c r="B3874" s="10" t="inlineStr">
        <is>
          <t>Insumo</t>
        </is>
      </c>
      <c r="C3874" s="10" t="inlineStr">
        <is>
          <t>Pintura Com Tinta Latex Acrilica em Paredes Internas, 3 Demaos Branco Gelo</t>
        </is>
      </c>
      <c r="D3874" s="10" t="inlineStr">
        <is>
          <t>LIXA DAGUA 225X275MM GR100</t>
        </is>
      </c>
      <c r="E3874" s="11">
        <f t="array" ref="E3874">_xlfn.XLOOKUP(D3874,Insumos!B:B,Insumos!C:$C)</f>
        <v/>
      </c>
      <c r="F3874" s="14" t="n">
        <v>0.01522</v>
      </c>
      <c r="G3874" s="92">
        <f t="array" ref="G3874">IF(B3874="insumo",_xlfn.XLOOKUP($D3874,Insumos!$B$1:$B$996,Insumos!$D$1:$D$996),"")</f>
        <v/>
      </c>
      <c r="H3874" s="92" t="n">
        <v>0.0287658</v>
      </c>
      <c r="I3874" s="2162" t="n">
        <v>0</v>
      </c>
      <c r="J3874" s="2162" t="n">
        <v>0</v>
      </c>
      <c r="K3874" s="2162" t="n"/>
    </row>
    <row r="3875" outlineLevel="2" ht="15.75" customHeight="1">
      <c r="A3875" s="1067" t="n">
        <v>1</v>
      </c>
      <c r="B3875" s="1067" t="inlineStr">
        <is>
          <t>Serviço</t>
        </is>
      </c>
      <c r="C3875" s="1067" t="inlineStr">
        <is>
          <t>Pintura em Epóxi em Parede, Aplicação Manual, 2 Demãos (com massa e selador)</t>
        </is>
      </c>
      <c r="D3875" s="1067" t="inlineStr">
        <is>
          <t>Pintura em Epóxi em Parede, Aplicação Manual, 2 Demãos (com massa e selador)</t>
        </is>
      </c>
      <c r="E3875" s="1068" t="inlineStr">
        <is>
          <t>M2</t>
        </is>
      </c>
      <c r="F3875" s="1067" t="n"/>
      <c r="G3875" s="1069">
        <f t="array" ref="G3875">IF(B3875="insumo",_xlfn.XLOOKUP($D3875,Insumos!$B$1:$B$996,Insumos!$D$1:$D$996),"")</f>
        <v/>
      </c>
      <c r="H3875" s="1069" t="n">
        <v>76.6747462222222</v>
      </c>
      <c r="I3875" s="2161" t="e">
        <v>#REF!</v>
      </c>
      <c r="J3875" s="2161" t="e">
        <v>#REF!</v>
      </c>
      <c r="K3875" s="2161" t="n"/>
    </row>
    <row r="3876" outlineLevel="3" ht="15.75" customHeight="1">
      <c r="A3876" s="10" t="n">
        <v>9</v>
      </c>
      <c r="B3876" s="10" t="inlineStr">
        <is>
          <t>Insumo</t>
        </is>
      </c>
      <c r="C3876" s="10" t="inlineStr">
        <is>
          <t>Pintura em Epóxi em Parede, Aplicação Manual, 2 Demãos (com massa e selador)</t>
        </is>
      </c>
      <c r="D3876" s="10" t="inlineStr">
        <is>
          <t>Diluente Epoxi</t>
        </is>
      </c>
      <c r="E3876" s="11">
        <f t="array" ref="E3876">_xlfn.XLOOKUP(D3876,Insumos!B:B,Insumos!C:$C)</f>
        <v/>
      </c>
      <c r="F3876" s="14" t="n">
        <v>0.064</v>
      </c>
      <c r="G3876" s="92">
        <f t="array" ref="G3876">IF(B3876="insumo",_xlfn.XLOOKUP($D3876,Insumos!$B$1:$B$996,Insumos!$D$1:$D$996),"")</f>
        <v/>
      </c>
      <c r="H3876" s="92" t="n">
        <v>3.20768</v>
      </c>
      <c r="I3876" s="2162" t="e">
        <v>#REF!</v>
      </c>
      <c r="J3876" s="2162" t="e">
        <v>#REF!</v>
      </c>
      <c r="K3876" s="2162" t="n"/>
    </row>
    <row r="3877" outlineLevel="3" ht="15.75" customHeight="1">
      <c r="A3877" s="10" t="n">
        <v>24</v>
      </c>
      <c r="B3877" s="10" t="inlineStr">
        <is>
          <t>Insumo</t>
        </is>
      </c>
      <c r="C3877" s="10" t="inlineStr">
        <is>
          <t>Pintura em Epóxi em Parede, Aplicação Manual, 2 Demãos (com massa e selador)</t>
        </is>
      </c>
      <c r="D3877" s="10" t="inlineStr">
        <is>
          <t>Fita Crepe Rolo De 25 Mm X 50 M</t>
        </is>
      </c>
      <c r="E3877" s="11">
        <f t="array" ref="E3877">_xlfn.XLOOKUP(D3877,Insumos!B:B,Insumos!C:$C)</f>
        <v/>
      </c>
      <c r="F3877" s="14" t="n">
        <v>0.01</v>
      </c>
      <c r="G3877" s="92">
        <f t="array" ref="G3877">IF(B3877="insumo",_xlfn.XLOOKUP($D3877,Insumos!$B$1:$B$996,Insumos!$D$1:$D$996),"")</f>
        <v/>
      </c>
      <c r="H3877" s="92" t="n">
        <v>0.1126</v>
      </c>
      <c r="I3877" s="2162" t="e">
        <v>#REF!</v>
      </c>
      <c r="J3877" s="2162" t="e">
        <v>#REF!</v>
      </c>
      <c r="K3877" s="2162" t="n"/>
    </row>
    <row r="3878" outlineLevel="3" ht="15.75" customHeight="1">
      <c r="A3878" s="10" t="n">
        <v>19</v>
      </c>
      <c r="B3878" s="10" t="inlineStr">
        <is>
          <t>Insumo</t>
        </is>
      </c>
      <c r="C3878" s="10" t="inlineStr">
        <is>
          <t>Pintura em Epóxi em Parede, Aplicação Manual, 2 Demãos (com massa e selador)</t>
        </is>
      </c>
      <c r="D3878" s="10" t="inlineStr">
        <is>
          <t>Selador Primer Ibratin - 4,2kg - 3,6L</t>
        </is>
      </c>
      <c r="E3878" s="11">
        <f t="array" ref="E3878">_xlfn.XLOOKUP(D3878,Insumos!B:B,Insumos!C:$C)</f>
        <v/>
      </c>
      <c r="F3878" s="14" t="n">
        <v>0.1666</v>
      </c>
      <c r="G3878" s="92">
        <f t="array" ref="G3878">IF(B3878="insumo",_xlfn.XLOOKUP($D3878,Insumos!$B$1:$B$996,Insumos!$D$1:$D$996),"")</f>
        <v/>
      </c>
      <c r="H3878" s="92" t="n">
        <v>1.75855555555556</v>
      </c>
      <c r="I3878" s="2162" t="e">
        <v>#REF!</v>
      </c>
      <c r="J3878" s="2162" t="e">
        <v>#REF!</v>
      </c>
      <c r="K3878" s="2162" t="n"/>
    </row>
    <row r="3879" outlineLevel="3" ht="15.75" customHeight="1">
      <c r="A3879" s="10" t="n">
        <v>21</v>
      </c>
      <c r="B3879" s="10" t="inlineStr">
        <is>
          <t>Insumo</t>
        </is>
      </c>
      <c r="C3879" s="10" t="inlineStr">
        <is>
          <t>Pintura em Epóxi em Parede, Aplicação Manual, 2 Demãos (com massa e selador)</t>
        </is>
      </c>
      <c r="D3879" s="10" t="inlineStr">
        <is>
          <t>Massa corrida para superfícies de ambientes internos</t>
        </is>
      </c>
      <c r="E3879" s="11">
        <f t="array" ref="E3879">_xlfn.XLOOKUP(D3879,Insumos!B:B,Insumos!C:$C)</f>
        <v/>
      </c>
      <c r="F3879" s="14" t="n">
        <v>0.8667</v>
      </c>
      <c r="G3879" s="92">
        <f t="array" ref="G3879">IF(B3879="insumo",_xlfn.XLOOKUP($D3879,Insumos!$B$1:$B$996,Insumos!$D$1:$D$996),"")</f>
        <v/>
      </c>
      <c r="H3879" s="92" t="n">
        <v>4.16016</v>
      </c>
      <c r="I3879" s="2162" t="e">
        <v>#REF!</v>
      </c>
      <c r="J3879" s="2162" t="e">
        <v>#REF!</v>
      </c>
      <c r="K3879" s="2162" t="n"/>
    </row>
    <row r="3880" outlineLevel="3" ht="15.75" customHeight="1">
      <c r="A3880" s="10" t="n">
        <v>36</v>
      </c>
      <c r="B3880" s="10" t="inlineStr">
        <is>
          <t>Insumo</t>
        </is>
      </c>
      <c r="C3880" s="10" t="inlineStr">
        <is>
          <t>Pintura em Epóxi em Parede, Aplicação Manual, 2 Demãos (com massa e selador)</t>
        </is>
      </c>
      <c r="D3880" s="10" t="inlineStr">
        <is>
          <t>LIXA DAGUA 225X275MM GR100</t>
        </is>
      </c>
      <c r="E3880" s="11">
        <f t="array" ref="E3880">_xlfn.XLOOKUP(D3880,Insumos!B:B,Insumos!C:$C)</f>
        <v/>
      </c>
      <c r="F3880" s="14" t="n">
        <v>0.1</v>
      </c>
      <c r="G3880" s="92">
        <f t="array" ref="G3880">IF(B3880="insumo",_xlfn.XLOOKUP($D3880,Insumos!$B$1:$B$996,Insumos!$D$1:$D$996),"")</f>
        <v/>
      </c>
      <c r="H3880" s="92" t="n">
        <v>0.189</v>
      </c>
      <c r="I3880" s="2162" t="e">
        <v>#REF!</v>
      </c>
      <c r="J3880" s="2162" t="e">
        <v>#REF!</v>
      </c>
      <c r="K3880" s="2162" t="n"/>
    </row>
    <row r="3881" outlineLevel="3" ht="15.75" customHeight="1">
      <c r="A3881" s="10" t="n">
        <v>8</v>
      </c>
      <c r="B3881" s="10" t="inlineStr">
        <is>
          <t>Insumo</t>
        </is>
      </c>
      <c r="C3881" s="10" t="inlineStr">
        <is>
          <t>Pintura em Epóxi em Parede, Aplicação Manual, 2 Demãos (com massa e selador)</t>
        </is>
      </c>
      <c r="D3881" s="10" t="inlineStr">
        <is>
          <t>Primer Epoxi / Epoxidico</t>
        </is>
      </c>
      <c r="E3881" s="11">
        <f t="array" ref="E3881">_xlfn.XLOOKUP(D3881,Insumos!B:B,Insumos!C:$C)</f>
        <v/>
      </c>
      <c r="F3881" s="14" t="n">
        <v>0.2016</v>
      </c>
      <c r="G3881" s="92">
        <f t="array" ref="G3881">IF(B3881="insumo",_xlfn.XLOOKUP($D3881,Insumos!$B$1:$B$996,Insumos!$D$1:$D$996),"")</f>
        <v/>
      </c>
      <c r="H3881" s="92" t="n">
        <v>27.667584</v>
      </c>
      <c r="I3881" s="2162" t="e">
        <v>#REF!</v>
      </c>
      <c r="J3881" s="2162" t="e">
        <v>#REF!</v>
      </c>
      <c r="K3881" s="2162" t="n"/>
    </row>
    <row r="3882" outlineLevel="3" ht="15.75" customHeight="1">
      <c r="A3882" s="10" t="n">
        <v>9</v>
      </c>
      <c r="B3882" s="10" t="inlineStr">
        <is>
          <t>Insumo</t>
        </is>
      </c>
      <c r="C3882" s="10" t="inlineStr">
        <is>
          <t>Pintura em Epóxi em Parede, Aplicação Manual, 2 Demãos (com massa e selador)</t>
        </is>
      </c>
      <c r="D3882" s="10" t="inlineStr">
        <is>
          <t>Tinta Epoxi Base Agua Premium</t>
        </is>
      </c>
      <c r="E3882" s="11">
        <f t="array" ref="E3882">_xlfn.XLOOKUP(D3882,Insumos!B:B,Insumos!C:$C)</f>
        <v/>
      </c>
      <c r="F3882" s="14" t="n">
        <v>0.483</v>
      </c>
      <c r="G3882" s="92">
        <f t="array" ref="G3882">IF(B3882="insumo",_xlfn.XLOOKUP($D3882,Insumos!$B$1:$B$996,Insumos!$D$1:$D$996),"")</f>
        <v/>
      </c>
      <c r="H3882" s="92" t="n">
        <v>39.5791666666667</v>
      </c>
      <c r="I3882" s="2162" t="e">
        <v>#REF!</v>
      </c>
      <c r="J3882" s="2162" t="e">
        <v>#REF!</v>
      </c>
      <c r="K3882" s="2162" t="n"/>
    </row>
    <row r="3883" outlineLevel="2" ht="15.75" customHeight="1">
      <c r="A3883" s="1067" t="n">
        <v>1</v>
      </c>
      <c r="B3883" s="1067" t="inlineStr">
        <is>
          <t>Serviço</t>
        </is>
      </c>
      <c r="C3883" s="1067" t="inlineStr">
        <is>
          <t>Pintura Com Tinta Latex Acrilica em Paredes Internas, 3 Demaos Branco Acetinado</t>
        </is>
      </c>
      <c r="D3883" s="1067" t="inlineStr">
        <is>
          <t>Pintura Com Tinta Latex Acrilica em Paredes Internas, 3 Demaos Branco Acetinado</t>
        </is>
      </c>
      <c r="E3883" s="1068" t="inlineStr">
        <is>
          <t>M2</t>
        </is>
      </c>
      <c r="F3883" s="1067" t="n"/>
      <c r="G3883" s="1069">
        <f t="array" ref="G3883">IF(B3883="insumo",_xlfn.XLOOKUP($D3883,Insumos!$B$1:$B$996,Insumos!$D$1:$D$996),"")</f>
        <v/>
      </c>
      <c r="H3883" s="1069" t="n">
        <v>18.433216065</v>
      </c>
      <c r="I3883" s="2161" t="n">
        <v>0</v>
      </c>
      <c r="J3883" s="2161" t="n">
        <v>0</v>
      </c>
      <c r="K3883" s="2161" t="n"/>
    </row>
    <row r="3884" outlineLevel="3" ht="15.75" customHeight="1">
      <c r="A3884" s="10" t="n">
        <v>1</v>
      </c>
      <c r="B3884" s="10" t="inlineStr">
        <is>
          <t>Insumo</t>
        </is>
      </c>
      <c r="C3884" s="10" t="inlineStr">
        <is>
          <t>Pintura Com Tinta Latex Acrilica em Paredes Internas, 3 Demaos Branco Acetinado</t>
        </is>
      </c>
      <c r="D3884" s="10" t="inlineStr">
        <is>
          <t>TINTA ACRILICA PREMIUM BRANCO ACETINADO</t>
        </is>
      </c>
      <c r="E3884" s="11">
        <f t="array" ref="E3884">_xlfn.XLOOKUP(D3884,Insumos!B:B,Insumos!C:$C)</f>
        <v/>
      </c>
      <c r="F3884" s="14" t="n">
        <v>0.495</v>
      </c>
      <c r="G3884" s="92">
        <f t="array" ref="G3884">IF(B3884="insumo",_xlfn.XLOOKUP($D3884,Insumos!$B$1:$B$996,Insumos!$D$1:$D$996),"")</f>
        <v/>
      </c>
      <c r="H3884" s="92" t="n">
        <v>17.9025</v>
      </c>
      <c r="I3884" s="2162" t="n">
        <v>0</v>
      </c>
      <c r="J3884" s="2162" t="n">
        <v>0</v>
      </c>
      <c r="K3884" s="2162" t="n"/>
    </row>
    <row r="3885" outlineLevel="3" ht="15.75" customHeight="1">
      <c r="A3885" s="10" t="n">
        <v>7</v>
      </c>
      <c r="B3885" s="10" t="inlineStr">
        <is>
          <t>Insumo</t>
        </is>
      </c>
      <c r="C3885" s="10" t="inlineStr">
        <is>
          <t>Pintura Com Tinta Latex Acrilica em Paredes Internas, 3 Demaos Branco Acetinado</t>
        </is>
      </c>
      <c r="D3885" s="10" t="inlineStr">
        <is>
          <t>Thiner</t>
        </is>
      </c>
      <c r="E3885" s="11">
        <f t="array" ref="E3885">_xlfn.XLOOKUP(D3885,Insumos!B:B,Insumos!C:$C)</f>
        <v/>
      </c>
      <c r="F3885" s="14" t="n">
        <v>0.00225</v>
      </c>
      <c r="G3885" s="92">
        <f t="array" ref="G3885">IF(B3885="insumo",_xlfn.XLOOKUP($D3885,Insumos!$B$1:$B$996,Insumos!$D$1:$D$996),"")</f>
        <v/>
      </c>
      <c r="H3885" s="92" t="n">
        <v>0.030375</v>
      </c>
      <c r="I3885" s="2162" t="n">
        <v>0</v>
      </c>
      <c r="J3885" s="2162" t="n">
        <v>0</v>
      </c>
      <c r="K3885" s="2162" t="n"/>
    </row>
    <row r="3886" outlineLevel="3" ht="15.75" customHeight="1">
      <c r="A3886" s="10" t="n">
        <v>25</v>
      </c>
      <c r="B3886" s="10" t="inlineStr">
        <is>
          <t>Insumo</t>
        </is>
      </c>
      <c r="C3886" s="10" t="inlineStr">
        <is>
          <t>Pintura Com Tinta Latex Acrilica em Paredes Internas, 3 Demaos Branco Acetinado</t>
        </is>
      </c>
      <c r="D3886" s="10" t="inlineStr">
        <is>
          <t>Fita Crepe Rolo De 25 Mm X 50 M</t>
        </is>
      </c>
      <c r="E3886" s="11">
        <f t="array" ref="E3886">_xlfn.XLOOKUP(D3886,Insumos!B:B,Insumos!C:$C)</f>
        <v/>
      </c>
      <c r="F3886" s="14" t="n">
        <v>0.002132</v>
      </c>
      <c r="G3886" s="92">
        <f t="array" ref="G3886">IF(B3886="insumo",_xlfn.XLOOKUP($D3886,Insumos!$B$1:$B$996,Insumos!$D$1:$D$996),"")</f>
        <v/>
      </c>
      <c r="H3886" s="92" t="n">
        <v>0.02400632</v>
      </c>
      <c r="I3886" s="2162" t="n">
        <v>0</v>
      </c>
      <c r="J3886" s="2162" t="n">
        <v>0</v>
      </c>
      <c r="K3886" s="2162" t="n"/>
    </row>
    <row r="3887" outlineLevel="3" ht="15.75" customHeight="1">
      <c r="A3887" s="10" t="n">
        <v>7</v>
      </c>
      <c r="B3887" s="10" t="inlineStr">
        <is>
          <t>Insumo</t>
        </is>
      </c>
      <c r="C3887" s="10" t="inlineStr">
        <is>
          <t>Pintura Com Tinta Latex Acrilica em Paredes Internas, 3 Demaos Branco Acetinado</t>
        </is>
      </c>
      <c r="D3887" s="10" t="inlineStr">
        <is>
          <t>Pacote de Estopa</t>
        </is>
      </c>
      <c r="E3887" s="11">
        <f t="array" ref="E3887">_xlfn.XLOOKUP(D3887,Insumos!B:B,Insumos!C:$C)</f>
        <v/>
      </c>
      <c r="F3887" s="14" t="n">
        <v>0.01</v>
      </c>
      <c r="G3887" s="92">
        <f t="array" ref="G3887">IF(B3887="insumo",_xlfn.XLOOKUP($D3887,Insumos!$B$1:$B$996,Insumos!$D$1:$D$996),"")</f>
        <v/>
      </c>
      <c r="H3887" s="92" t="n">
        <v>0.06900000000000001</v>
      </c>
      <c r="I3887" s="2162" t="n">
        <v>0</v>
      </c>
      <c r="J3887" s="2162" t="n">
        <v>0</v>
      </c>
      <c r="K3887" s="2162" t="n"/>
    </row>
    <row r="3888" outlineLevel="3" ht="15.75" customHeight="1">
      <c r="A3888" s="10" t="n">
        <v>7</v>
      </c>
      <c r="B3888" s="10" t="inlineStr">
        <is>
          <t>Insumo</t>
        </is>
      </c>
      <c r="C3888" s="10" t="inlineStr">
        <is>
          <t>Pintura Com Tinta Latex Acrilica em Paredes Internas, 3 Demaos Branco Acetinado</t>
        </is>
      </c>
      <c r="D3888" s="10" t="inlineStr">
        <is>
          <t>Cloro para Limpeza</t>
        </is>
      </c>
      <c r="E3888" s="11">
        <f t="array" ref="E3888">_xlfn.XLOOKUP(D3888,Insumos!B:B,Insumos!C:$C)</f>
        <v/>
      </c>
      <c r="F3888" s="14" t="n">
        <v>0.002358</v>
      </c>
      <c r="G3888" s="92">
        <f t="array" ref="G3888">IF(B3888="insumo",_xlfn.XLOOKUP($D3888,Insumos!$B$1:$B$996,Insumos!$D$1:$D$996),"")</f>
        <v/>
      </c>
      <c r="H3888" s="92" t="n">
        <v>0.0150912</v>
      </c>
      <c r="I3888" s="2162" t="n">
        <v>0</v>
      </c>
      <c r="J3888" s="2162" t="n">
        <v>0</v>
      </c>
      <c r="K3888" s="2162" t="n"/>
    </row>
    <row r="3889" outlineLevel="3" ht="15.75" customHeight="1">
      <c r="A3889" s="10" t="n">
        <v>9</v>
      </c>
      <c r="B3889" s="10" t="inlineStr">
        <is>
          <t>Insumo</t>
        </is>
      </c>
      <c r="C3889" s="10" t="inlineStr">
        <is>
          <t>Pintura Com Tinta Latex Acrilica em Paredes Internas, 3 Demaos Branco Acetinado</t>
        </is>
      </c>
      <c r="D3889" s="10" t="inlineStr">
        <is>
          <t>Lona Preta Plástica 4x100 Metros 25kg - Agroplastic, Tamanho: 120 Micras</t>
        </is>
      </c>
      <c r="E3889" s="11">
        <f t="array" ref="E3889">_xlfn.XLOOKUP(D3889,Insumos!B:B,Insumos!C:$C)</f>
        <v/>
      </c>
      <c r="F3889" s="14" t="n">
        <v>0.00225</v>
      </c>
      <c r="G3889" s="92">
        <f t="array" ref="G3889">IF(B3889="insumo",_xlfn.XLOOKUP($D3889,Insumos!$B$1:$B$996,Insumos!$D$1:$D$996),"")</f>
        <v/>
      </c>
      <c r="H3889" s="92" t="n">
        <v>0.005180625</v>
      </c>
      <c r="I3889" s="2162" t="n">
        <v>0</v>
      </c>
      <c r="J3889" s="2162" t="n">
        <v>0</v>
      </c>
      <c r="K3889" s="2162" t="n"/>
    </row>
    <row r="3890" outlineLevel="3" ht="15.75" customHeight="1">
      <c r="A3890" s="10" t="n">
        <v>7</v>
      </c>
      <c r="B3890" s="10" t="inlineStr">
        <is>
          <t>Insumo</t>
        </is>
      </c>
      <c r="C3890" s="10" t="inlineStr">
        <is>
          <t>Pintura Com Tinta Latex Acrilica em Paredes Internas, 3 Demaos Branco Acetinado</t>
        </is>
      </c>
      <c r="D3890" s="10" t="inlineStr">
        <is>
          <t>Disco de lixa (Diametro 225mm) - Grão 180</t>
        </is>
      </c>
      <c r="E3890" s="11">
        <f t="array" ref="E3890">_xlfn.XLOOKUP(D3890,Insumos!B:B,Insumos!C:$C)</f>
        <v/>
      </c>
      <c r="F3890" s="14" t="n">
        <v>0.02488</v>
      </c>
      <c r="G3890" s="92">
        <f t="array" ref="G3890">IF(B3890="insumo",_xlfn.XLOOKUP($D3890,Insumos!$B$1:$B$996,Insumos!$D$1:$D$996),"")</f>
        <v/>
      </c>
      <c r="H3890" s="92" t="n">
        <v>0.14900632</v>
      </c>
      <c r="I3890" s="2162" t="n">
        <v>0</v>
      </c>
      <c r="J3890" s="2162" t="n">
        <v>0</v>
      </c>
      <c r="K3890" s="2162" t="n"/>
    </row>
    <row r="3891" outlineLevel="3" ht="15.75" customHeight="1">
      <c r="A3891" s="10" t="n">
        <v>7</v>
      </c>
      <c r="B3891" s="10" t="inlineStr">
        <is>
          <t>Insumo</t>
        </is>
      </c>
      <c r="C3891" s="10" t="inlineStr">
        <is>
          <t>Pintura Com Tinta Latex Acrilica em Paredes Internas, 3 Demaos Branco Acetinado</t>
        </is>
      </c>
      <c r="D3891" s="10" t="inlineStr">
        <is>
          <t>Disco de lixa telado (Diâmetro 225mm) - Grão 220</t>
        </is>
      </c>
      <c r="E3891" s="11">
        <f t="array" ref="E3891">_xlfn.XLOOKUP(D3891,Insumos!B:B,Insumos!C:$C)</f>
        <v/>
      </c>
      <c r="F3891" s="14" t="n">
        <v>0.02488</v>
      </c>
      <c r="G3891" s="92">
        <f t="array" ref="G3891">IF(B3891="insumo",_xlfn.XLOOKUP($D3891,Insumos!$B$1:$B$996,Insumos!$D$1:$D$996),"")</f>
        <v/>
      </c>
      <c r="H3891" s="92" t="n">
        <v>0.13062</v>
      </c>
      <c r="I3891" s="2162" t="n">
        <v>0</v>
      </c>
      <c r="J3891" s="2162" t="n">
        <v>0</v>
      </c>
      <c r="K3891" s="2162" t="n"/>
    </row>
    <row r="3892" outlineLevel="3" ht="15.75" customHeight="1">
      <c r="A3892" s="10" t="n">
        <v>7</v>
      </c>
      <c r="B3892" s="10" t="inlineStr">
        <is>
          <t>Insumo</t>
        </is>
      </c>
      <c r="C3892" s="10" t="inlineStr">
        <is>
          <t>Pintura Com Tinta Latex Acrilica em Paredes Internas, 3 Demaos Branco Acetinado</t>
        </is>
      </c>
      <c r="D3892" s="10" t="inlineStr">
        <is>
          <t>Fita Crepe 50mm x 50mt Azul</t>
        </is>
      </c>
      <c r="E3892" s="11">
        <f t="array" ref="E3892">_xlfn.XLOOKUP(D3892,Insumos!B:B,Insumos!C:$C)</f>
        <v/>
      </c>
      <c r="F3892" s="14" t="n">
        <v>0.002132</v>
      </c>
      <c r="G3892" s="92">
        <f t="array" ref="G3892">IF(B3892="insumo",_xlfn.XLOOKUP($D3892,Insumos!$B$1:$B$996,Insumos!$D$1:$D$996),"")</f>
        <v/>
      </c>
      <c r="H3892" s="92" t="n">
        <v>0.0786708</v>
      </c>
      <c r="I3892" s="2162" t="n">
        <v>0</v>
      </c>
      <c r="J3892" s="2162" t="n">
        <v>0</v>
      </c>
      <c r="K3892" s="2162" t="n"/>
    </row>
    <row r="3893" outlineLevel="3" ht="15.75" customHeight="1">
      <c r="A3893" s="10" t="n">
        <v>36</v>
      </c>
      <c r="B3893" s="10" t="inlineStr">
        <is>
          <t>Insumo</t>
        </is>
      </c>
      <c r="C3893" s="10" t="inlineStr">
        <is>
          <t>Pintura Com Tinta Latex Acrilica em Paredes Internas, 3 Demaos Branco Acetinado</t>
        </is>
      </c>
      <c r="D3893" s="10" t="inlineStr">
        <is>
          <t>LIXA DAGUA 225X275MM GR100</t>
        </is>
      </c>
      <c r="E3893" s="11">
        <f t="array" ref="E3893">_xlfn.XLOOKUP(D3893,Insumos!B:B,Insumos!C:$C)</f>
        <v/>
      </c>
      <c r="F3893" s="14" t="n">
        <v>0.01522</v>
      </c>
      <c r="G3893" s="92">
        <f t="array" ref="G3893">IF(B3893="insumo",_xlfn.XLOOKUP($D3893,Insumos!$B$1:$B$996,Insumos!$D$1:$D$996),"")</f>
        <v/>
      </c>
      <c r="H3893" s="92" t="n">
        <v>0.0287658</v>
      </c>
      <c r="I3893" s="2162" t="n">
        <v>0</v>
      </c>
      <c r="J3893" s="2162" t="n">
        <v>0</v>
      </c>
      <c r="K3893" s="2162" t="n"/>
    </row>
    <row r="3894" outlineLevel="2" ht="15.75" customHeight="1">
      <c r="A3894" s="1067" t="n">
        <v>1</v>
      </c>
      <c r="B3894" s="1067" t="inlineStr">
        <is>
          <t>Serviço</t>
        </is>
      </c>
      <c r="C3894" s="1067" t="inlineStr">
        <is>
          <t>Pintura Com Tinta Latex Acrilica em Paredes Internas, 3 Demaos Anfora de Prata</t>
        </is>
      </c>
      <c r="D3894" s="1067" t="inlineStr">
        <is>
          <t>Pintura Com Tinta Latex Acrilica em Paredes Internas, 3 Demaos Anfora de Prata</t>
        </is>
      </c>
      <c r="E3894" s="1068" t="inlineStr">
        <is>
          <t>M2</t>
        </is>
      </c>
      <c r="F3894" s="1067" t="n"/>
      <c r="G3894" s="1069">
        <f t="array" ref="G3894">IF(B3894="insumo",_xlfn.XLOOKUP($D3894,Insumos!$B$1:$B$996,Insumos!$D$1:$D$996),"")</f>
        <v/>
      </c>
      <c r="H3894" s="1069" t="n">
        <v>27.446341065</v>
      </c>
      <c r="I3894" s="2161" t="n">
        <v>0</v>
      </c>
      <c r="J3894" s="2161" t="n">
        <v>0</v>
      </c>
      <c r="K3894" s="2161" t="n"/>
    </row>
    <row r="3895" outlineLevel="3" ht="15.75" customHeight="1">
      <c r="A3895" s="10" t="n">
        <v>1</v>
      </c>
      <c r="B3895" s="10" t="inlineStr">
        <is>
          <t>Insumo</t>
        </is>
      </c>
      <c r="C3895" s="10" t="inlineStr">
        <is>
          <t>Pintura Com Tinta Latex Acrilica em Paredes Internas, 3 Demaos Anfora de Prata</t>
        </is>
      </c>
      <c r="D3895" s="10" t="inlineStr">
        <is>
          <t>TINTA ACRILICA PREMIUM ANFORA DE PRATA</t>
        </is>
      </c>
      <c r="E3895" s="11">
        <f t="array" ref="E3895">_xlfn.XLOOKUP(D3895,Insumos!B:B,Insumos!C:$C)</f>
        <v/>
      </c>
      <c r="F3895" s="14" t="n">
        <v>0.495</v>
      </c>
      <c r="G3895" s="92">
        <f t="array" ref="G3895">IF(B3895="insumo",_xlfn.XLOOKUP($D3895,Insumos!$B$1:$B$996,Insumos!$D$1:$D$996),"")</f>
        <v/>
      </c>
      <c r="H3895" s="92" t="n">
        <v>26.915625</v>
      </c>
      <c r="I3895" s="2162" t="n">
        <v>0</v>
      </c>
      <c r="J3895" s="2162" t="n">
        <v>0</v>
      </c>
      <c r="K3895" s="2162" t="n"/>
    </row>
    <row r="3896" outlineLevel="3" ht="15.75" customHeight="1">
      <c r="A3896" s="10" t="n">
        <v>7</v>
      </c>
      <c r="B3896" s="10" t="inlineStr">
        <is>
          <t>Insumo</t>
        </is>
      </c>
      <c r="C3896" s="10" t="inlineStr">
        <is>
          <t>Pintura Com Tinta Latex Acrilica em Paredes Internas, 3 Demaos Anfora de Prata</t>
        </is>
      </c>
      <c r="D3896" s="10" t="inlineStr">
        <is>
          <t>Thiner</t>
        </is>
      </c>
      <c r="E3896" s="11">
        <f t="array" ref="E3896">_xlfn.XLOOKUP(D3896,Insumos!B:B,Insumos!C:$C)</f>
        <v/>
      </c>
      <c r="F3896" s="14" t="n">
        <v>0.00225</v>
      </c>
      <c r="G3896" s="92">
        <f t="array" ref="G3896">IF(B3896="insumo",_xlfn.XLOOKUP($D3896,Insumos!$B$1:$B$996,Insumos!$D$1:$D$996),"")</f>
        <v/>
      </c>
      <c r="H3896" s="92" t="n">
        <v>0.030375</v>
      </c>
      <c r="I3896" s="2162" t="n">
        <v>0</v>
      </c>
      <c r="J3896" s="2162" t="n">
        <v>0</v>
      </c>
      <c r="K3896" s="2162" t="n"/>
    </row>
    <row r="3897" outlineLevel="3" ht="15.75" customHeight="1">
      <c r="A3897" s="10" t="n">
        <v>25</v>
      </c>
      <c r="B3897" s="10" t="inlineStr">
        <is>
          <t>Insumo</t>
        </is>
      </c>
      <c r="C3897" s="10" t="inlineStr">
        <is>
          <t>Pintura Com Tinta Latex Acrilica em Paredes Internas, 3 Demaos Anfora de Prata</t>
        </is>
      </c>
      <c r="D3897" s="10" t="inlineStr">
        <is>
          <t>Fita Crepe Rolo De 25 Mm X 50 M</t>
        </is>
      </c>
      <c r="E3897" s="11">
        <f t="array" ref="E3897">_xlfn.XLOOKUP(D3897,Insumos!B:B,Insumos!C:$C)</f>
        <v/>
      </c>
      <c r="F3897" s="14" t="n">
        <v>0.002132</v>
      </c>
      <c r="G3897" s="92">
        <f t="array" ref="G3897">IF(B3897="insumo",_xlfn.XLOOKUP($D3897,Insumos!$B$1:$B$996,Insumos!$D$1:$D$996),"")</f>
        <v/>
      </c>
      <c r="H3897" s="92" t="n">
        <v>0.02400632</v>
      </c>
      <c r="I3897" s="2162" t="n">
        <v>0</v>
      </c>
      <c r="J3897" s="2162" t="n">
        <v>0</v>
      </c>
      <c r="K3897" s="2162" t="n"/>
    </row>
    <row r="3898" outlineLevel="3" ht="15.75" customHeight="1">
      <c r="A3898" s="10" t="n">
        <v>7</v>
      </c>
      <c r="B3898" s="10" t="inlineStr">
        <is>
          <t>Insumo</t>
        </is>
      </c>
      <c r="C3898" s="10" t="inlineStr">
        <is>
          <t>Pintura Com Tinta Latex Acrilica em Paredes Internas, 3 Demaos Anfora de Prata</t>
        </is>
      </c>
      <c r="D3898" s="10" t="inlineStr">
        <is>
          <t>Pacote de Estopa</t>
        </is>
      </c>
      <c r="E3898" s="11">
        <f t="array" ref="E3898">_xlfn.XLOOKUP(D3898,Insumos!B:B,Insumos!C:$C)</f>
        <v/>
      </c>
      <c r="F3898" s="14" t="n">
        <v>0.01</v>
      </c>
      <c r="G3898" s="92">
        <f t="array" ref="G3898">IF(B3898="insumo",_xlfn.XLOOKUP($D3898,Insumos!$B$1:$B$996,Insumos!$D$1:$D$996),"")</f>
        <v/>
      </c>
      <c r="H3898" s="92" t="n">
        <v>0.06900000000000001</v>
      </c>
      <c r="I3898" s="2162" t="n">
        <v>0</v>
      </c>
      <c r="J3898" s="2162" t="n">
        <v>0</v>
      </c>
      <c r="K3898" s="2162" t="n"/>
    </row>
    <row r="3899" outlineLevel="3" ht="15.75" customHeight="1">
      <c r="A3899" s="10" t="n">
        <v>7</v>
      </c>
      <c r="B3899" s="10" t="inlineStr">
        <is>
          <t>Insumo</t>
        </is>
      </c>
      <c r="C3899" s="10" t="inlineStr">
        <is>
          <t>Pintura Com Tinta Latex Acrilica em Paredes Internas, 3 Demaos Anfora de Prata</t>
        </is>
      </c>
      <c r="D3899" s="10" t="inlineStr">
        <is>
          <t>Cloro para Limpeza</t>
        </is>
      </c>
      <c r="E3899" s="11">
        <f t="array" ref="E3899">_xlfn.XLOOKUP(D3899,Insumos!B:B,Insumos!C:$C)</f>
        <v/>
      </c>
      <c r="F3899" s="14" t="n">
        <v>0.002358</v>
      </c>
      <c r="G3899" s="92">
        <f t="array" ref="G3899">IF(B3899="insumo",_xlfn.XLOOKUP($D3899,Insumos!$B$1:$B$996,Insumos!$D$1:$D$996),"")</f>
        <v/>
      </c>
      <c r="H3899" s="92" t="n">
        <v>0.0150912</v>
      </c>
      <c r="I3899" s="2162" t="n">
        <v>0</v>
      </c>
      <c r="J3899" s="2162" t="n">
        <v>0</v>
      </c>
      <c r="K3899" s="2162" t="n"/>
    </row>
    <row r="3900" outlineLevel="3" ht="15.75" customHeight="1">
      <c r="A3900" s="10" t="n">
        <v>9</v>
      </c>
      <c r="B3900" s="10" t="inlineStr">
        <is>
          <t>Insumo</t>
        </is>
      </c>
      <c r="C3900" s="10" t="inlineStr">
        <is>
          <t>Pintura Com Tinta Latex Acrilica em Paredes Internas, 3 Demaos Anfora de Prata</t>
        </is>
      </c>
      <c r="D3900" s="10" t="inlineStr">
        <is>
          <t>Lona Preta Plástica 4x100 Metros 25kg - Agroplastic, Tamanho: 120 Micras</t>
        </is>
      </c>
      <c r="E3900" s="11">
        <f t="array" ref="E3900">_xlfn.XLOOKUP(D3900,Insumos!B:B,Insumos!C:$C)</f>
        <v/>
      </c>
      <c r="F3900" s="14" t="n">
        <v>0.00225</v>
      </c>
      <c r="G3900" s="92">
        <f t="array" ref="G3900">IF(B3900="insumo",_xlfn.XLOOKUP($D3900,Insumos!$B$1:$B$996,Insumos!$D$1:$D$996),"")</f>
        <v/>
      </c>
      <c r="H3900" s="92" t="n">
        <v>0.005180625</v>
      </c>
      <c r="I3900" s="2162" t="n">
        <v>0</v>
      </c>
      <c r="J3900" s="2162" t="n">
        <v>0</v>
      </c>
      <c r="K3900" s="2162" t="n"/>
    </row>
    <row r="3901" outlineLevel="3" ht="15.75" customHeight="1">
      <c r="A3901" s="10" t="n">
        <v>7</v>
      </c>
      <c r="B3901" s="10" t="inlineStr">
        <is>
          <t>Insumo</t>
        </is>
      </c>
      <c r="C3901" s="10" t="inlineStr">
        <is>
          <t>Pintura Com Tinta Latex Acrilica em Paredes Internas, 3 Demaos Anfora de Prata</t>
        </is>
      </c>
      <c r="D3901" s="10" t="inlineStr">
        <is>
          <t>Disco de lixa (Diametro 225mm) - Grão 180</t>
        </is>
      </c>
      <c r="E3901" s="11">
        <f t="array" ref="E3901">_xlfn.XLOOKUP(D3901,Insumos!B:B,Insumos!C:$C)</f>
        <v/>
      </c>
      <c r="F3901" s="14" t="n">
        <v>0.02488</v>
      </c>
      <c r="G3901" s="92">
        <f t="array" ref="G3901">IF(B3901="insumo",_xlfn.XLOOKUP($D3901,Insumos!$B$1:$B$996,Insumos!$D$1:$D$996),"")</f>
        <v/>
      </c>
      <c r="H3901" s="92" t="n">
        <v>0.14900632</v>
      </c>
      <c r="I3901" s="2162" t="n">
        <v>0</v>
      </c>
      <c r="J3901" s="2162" t="n">
        <v>0</v>
      </c>
      <c r="K3901" s="2162" t="n"/>
    </row>
    <row r="3902" outlineLevel="3" ht="15.75" customHeight="1">
      <c r="A3902" s="10" t="n">
        <v>7</v>
      </c>
      <c r="B3902" s="10" t="inlineStr">
        <is>
          <t>Insumo</t>
        </is>
      </c>
      <c r="C3902" s="10" t="inlineStr">
        <is>
          <t>Pintura Com Tinta Latex Acrilica em Paredes Internas, 3 Demaos Anfora de Prata</t>
        </is>
      </c>
      <c r="D3902" s="10" t="inlineStr">
        <is>
          <t>Disco de lixa telado (Diâmetro 225mm) - Grão 220</t>
        </is>
      </c>
      <c r="E3902" s="11">
        <f t="array" ref="E3902">_xlfn.XLOOKUP(D3902,Insumos!B:B,Insumos!C:$C)</f>
        <v/>
      </c>
      <c r="F3902" s="14" t="n">
        <v>0.02488</v>
      </c>
      <c r="G3902" s="92">
        <f t="array" ref="G3902">IF(B3902="insumo",_xlfn.XLOOKUP($D3902,Insumos!$B$1:$B$996,Insumos!$D$1:$D$996),"")</f>
        <v/>
      </c>
      <c r="H3902" s="92" t="n">
        <v>0.13062</v>
      </c>
      <c r="I3902" s="2162" t="n">
        <v>0</v>
      </c>
      <c r="J3902" s="2162" t="n">
        <v>0</v>
      </c>
      <c r="K3902" s="2162" t="n"/>
    </row>
    <row r="3903" outlineLevel="3" ht="15.75" customHeight="1">
      <c r="A3903" s="10" t="n">
        <v>7</v>
      </c>
      <c r="B3903" s="10" t="inlineStr">
        <is>
          <t>Insumo</t>
        </is>
      </c>
      <c r="C3903" s="10" t="inlineStr">
        <is>
          <t>Pintura Com Tinta Latex Acrilica em Paredes Internas, 3 Demaos Anfora de Prata</t>
        </is>
      </c>
      <c r="D3903" s="10" t="inlineStr">
        <is>
          <t>Fita Crepe 50mm x 50mt Azul</t>
        </is>
      </c>
      <c r="E3903" s="11">
        <f t="array" ref="E3903">_xlfn.XLOOKUP(D3903,Insumos!B:B,Insumos!C:$C)</f>
        <v/>
      </c>
      <c r="F3903" s="14" t="n">
        <v>0.002132</v>
      </c>
      <c r="G3903" s="92">
        <f t="array" ref="G3903">IF(B3903="insumo",_xlfn.XLOOKUP($D3903,Insumos!$B$1:$B$996,Insumos!$D$1:$D$996),"")</f>
        <v/>
      </c>
      <c r="H3903" s="92" t="n">
        <v>0.0786708</v>
      </c>
      <c r="I3903" s="2162" t="n">
        <v>0</v>
      </c>
      <c r="J3903" s="2162" t="n">
        <v>0</v>
      </c>
      <c r="K3903" s="2162" t="n"/>
    </row>
    <row r="3904" outlineLevel="3" ht="15.75" customHeight="1">
      <c r="A3904" s="10" t="n">
        <v>36</v>
      </c>
      <c r="B3904" s="10" t="inlineStr">
        <is>
          <t>Insumo</t>
        </is>
      </c>
      <c r="C3904" s="10" t="inlineStr">
        <is>
          <t>Pintura Com Tinta Latex Acrilica em Paredes Internas, 3 Demaos Anfora de Prata</t>
        </is>
      </c>
      <c r="D3904" s="10" t="inlineStr">
        <is>
          <t>LIXA DAGUA 225X275MM GR100</t>
        </is>
      </c>
      <c r="E3904" s="11">
        <f t="array" ref="E3904">_xlfn.XLOOKUP(D3904,Insumos!B:B,Insumos!C:$C)</f>
        <v/>
      </c>
      <c r="F3904" s="14" t="n">
        <v>0.01522</v>
      </c>
      <c r="G3904" s="92">
        <f t="array" ref="G3904">IF(B3904="insumo",_xlfn.XLOOKUP($D3904,Insumos!$B$1:$B$996,Insumos!$D$1:$D$996),"")</f>
        <v/>
      </c>
      <c r="H3904" s="92" t="n">
        <v>0.0287658</v>
      </c>
      <c r="I3904" s="2162" t="n">
        <v>0</v>
      </c>
      <c r="J3904" s="2162" t="n">
        <v>0</v>
      </c>
      <c r="K3904" s="2162" t="n"/>
    </row>
    <row r="3905" outlineLevel="2" ht="15.75" customHeight="1">
      <c r="A3905" s="1067" t="n">
        <v>1</v>
      </c>
      <c r="B3905" s="1067" t="inlineStr">
        <is>
          <t>Serviço</t>
        </is>
      </c>
      <c r="C3905" s="1067" t="inlineStr">
        <is>
          <t>Pintura Com Tinta Latex Acrilica em Paredes Internas, 3 Demaos Nevoeiro</t>
        </is>
      </c>
      <c r="D3905" s="1067" t="inlineStr">
        <is>
          <t>Pintura Com Tinta Latex Acrilica em Paredes Internas, 3 Demaos Nevoeiro</t>
        </is>
      </c>
      <c r="E3905" s="1068" t="inlineStr">
        <is>
          <t>M2</t>
        </is>
      </c>
      <c r="F3905" s="1067" t="n"/>
      <c r="G3905" s="1069">
        <f t="array" ref="G3905">IF(B3905="insumo",_xlfn.XLOOKUP($D3905,Insumos!$B$1:$B$996,Insumos!$D$1:$D$996),"")</f>
        <v/>
      </c>
      <c r="H3905" s="1069" t="n">
        <v>18.405716065</v>
      </c>
      <c r="I3905" s="2161" t="n">
        <v>0</v>
      </c>
      <c r="J3905" s="2161" t="n">
        <v>0</v>
      </c>
      <c r="K3905" s="2161" t="n"/>
    </row>
    <row r="3906" outlineLevel="3" ht="15.75" customHeight="1">
      <c r="A3906" s="10" t="n">
        <v>1</v>
      </c>
      <c r="B3906" s="10" t="inlineStr">
        <is>
          <t>Insumo</t>
        </is>
      </c>
      <c r="C3906" s="10" t="inlineStr">
        <is>
          <t>Pintura Com Tinta Latex Acrilica em Paredes Internas, 3 Demaos Nevoeiro</t>
        </is>
      </c>
      <c r="D3906" s="10" t="inlineStr">
        <is>
          <t>TINTA ACRILICA PREMIUM NEVOEIRO</t>
        </is>
      </c>
      <c r="E3906" s="11">
        <f t="array" ref="E3906">_xlfn.XLOOKUP(D3906,Insumos!B:B,Insumos!C:$C)</f>
        <v/>
      </c>
      <c r="F3906" s="14" t="n">
        <v>0.495</v>
      </c>
      <c r="G3906" s="92">
        <f t="array" ref="G3906">IF(B3906="insumo",_xlfn.XLOOKUP($D3906,Insumos!$B$1:$B$996,Insumos!$D$1:$D$996),"")</f>
        <v/>
      </c>
      <c r="H3906" s="92" t="n">
        <v>17.875</v>
      </c>
      <c r="I3906" s="2162" t="n">
        <v>0</v>
      </c>
      <c r="J3906" s="2162" t="n">
        <v>0</v>
      </c>
      <c r="K3906" s="2162" t="n"/>
    </row>
    <row r="3907" outlineLevel="3" ht="15.75" customHeight="1">
      <c r="A3907" s="10" t="n">
        <v>7</v>
      </c>
      <c r="B3907" s="10" t="inlineStr">
        <is>
          <t>Insumo</t>
        </is>
      </c>
      <c r="C3907" s="10" t="inlineStr">
        <is>
          <t>Pintura Com Tinta Latex Acrilica em Paredes Internas, 3 Demaos Nevoeiro</t>
        </is>
      </c>
      <c r="D3907" s="10" t="inlineStr">
        <is>
          <t>Thiner</t>
        </is>
      </c>
      <c r="E3907" s="11">
        <f t="array" ref="E3907">_xlfn.XLOOKUP(D3907,Insumos!B:B,Insumos!C:$C)</f>
        <v/>
      </c>
      <c r="F3907" s="14" t="n">
        <v>0.00225</v>
      </c>
      <c r="G3907" s="92">
        <f t="array" ref="G3907">IF(B3907="insumo",_xlfn.XLOOKUP($D3907,Insumos!$B$1:$B$996,Insumos!$D$1:$D$996),"")</f>
        <v/>
      </c>
      <c r="H3907" s="92" t="n">
        <v>0.030375</v>
      </c>
      <c r="I3907" s="2162" t="n">
        <v>0</v>
      </c>
      <c r="J3907" s="2162" t="n">
        <v>0</v>
      </c>
      <c r="K3907" s="2162" t="n"/>
    </row>
    <row r="3908" outlineLevel="3" ht="15.75" customHeight="1">
      <c r="A3908" s="10" t="n">
        <v>25</v>
      </c>
      <c r="B3908" s="10" t="inlineStr">
        <is>
          <t>Insumo</t>
        </is>
      </c>
      <c r="C3908" s="10" t="inlineStr">
        <is>
          <t>Pintura Com Tinta Latex Acrilica em Paredes Internas, 3 Demaos Nevoeiro</t>
        </is>
      </c>
      <c r="D3908" s="10" t="inlineStr">
        <is>
          <t>Fita Crepe Rolo De 25 Mm X 50 M</t>
        </is>
      </c>
      <c r="E3908" s="11">
        <f t="array" ref="E3908">_xlfn.XLOOKUP(D3908,Insumos!B:B,Insumos!C:$C)</f>
        <v/>
      </c>
      <c r="F3908" s="14" t="n">
        <v>0.002132</v>
      </c>
      <c r="G3908" s="92">
        <f t="array" ref="G3908">IF(B3908="insumo",_xlfn.XLOOKUP($D3908,Insumos!$B$1:$B$996,Insumos!$D$1:$D$996),"")</f>
        <v/>
      </c>
      <c r="H3908" s="92" t="n">
        <v>0.02400632</v>
      </c>
      <c r="I3908" s="2162" t="n">
        <v>0</v>
      </c>
      <c r="J3908" s="2162" t="n">
        <v>0</v>
      </c>
      <c r="K3908" s="2162" t="n"/>
    </row>
    <row r="3909" outlineLevel="3" ht="15.75" customHeight="1">
      <c r="A3909" s="10" t="n">
        <v>7</v>
      </c>
      <c r="B3909" s="10" t="inlineStr">
        <is>
          <t>Insumo</t>
        </is>
      </c>
      <c r="C3909" s="10" t="inlineStr">
        <is>
          <t>Pintura Com Tinta Latex Acrilica em Paredes Internas, 3 Demaos Nevoeiro</t>
        </is>
      </c>
      <c r="D3909" s="10" t="inlineStr">
        <is>
          <t>Pacote de Estopa</t>
        </is>
      </c>
      <c r="E3909" s="11">
        <f t="array" ref="E3909">_xlfn.XLOOKUP(D3909,Insumos!B:B,Insumos!C:$C)</f>
        <v/>
      </c>
      <c r="F3909" s="14" t="n">
        <v>0.01</v>
      </c>
      <c r="G3909" s="92">
        <f t="array" ref="G3909">IF(B3909="insumo",_xlfn.XLOOKUP($D3909,Insumos!$B$1:$B$996,Insumos!$D$1:$D$996),"")</f>
        <v/>
      </c>
      <c r="H3909" s="92" t="n">
        <v>0.06900000000000001</v>
      </c>
      <c r="I3909" s="2162" t="n">
        <v>0</v>
      </c>
      <c r="J3909" s="2162" t="n">
        <v>0</v>
      </c>
      <c r="K3909" s="2162" t="n"/>
    </row>
    <row r="3910" outlineLevel="3" ht="15.75" customHeight="1">
      <c r="A3910" s="10" t="n">
        <v>7</v>
      </c>
      <c r="B3910" s="10" t="inlineStr">
        <is>
          <t>Insumo</t>
        </is>
      </c>
      <c r="C3910" s="10" t="inlineStr">
        <is>
          <t>Pintura Com Tinta Latex Acrilica em Paredes Internas, 3 Demaos Nevoeiro</t>
        </is>
      </c>
      <c r="D3910" s="10" t="inlineStr">
        <is>
          <t>Cloro para Limpeza</t>
        </is>
      </c>
      <c r="E3910" s="11">
        <f t="array" ref="E3910">_xlfn.XLOOKUP(D3910,Insumos!B:B,Insumos!C:$C)</f>
        <v/>
      </c>
      <c r="F3910" s="14" t="n">
        <v>0.002358</v>
      </c>
      <c r="G3910" s="92">
        <f t="array" ref="G3910">IF(B3910="insumo",_xlfn.XLOOKUP($D3910,Insumos!$B$1:$B$996,Insumos!$D$1:$D$996),"")</f>
        <v/>
      </c>
      <c r="H3910" s="92" t="n">
        <v>0.0150912</v>
      </c>
      <c r="I3910" s="2162" t="n">
        <v>0</v>
      </c>
      <c r="J3910" s="2162" t="n">
        <v>0</v>
      </c>
      <c r="K3910" s="2162" t="n"/>
    </row>
    <row r="3911" outlineLevel="3" ht="15.75" customHeight="1">
      <c r="A3911" s="10" t="n">
        <v>9</v>
      </c>
      <c r="B3911" s="10" t="inlineStr">
        <is>
          <t>Insumo</t>
        </is>
      </c>
      <c r="C3911" s="10" t="inlineStr">
        <is>
          <t>Pintura Com Tinta Latex Acrilica em Paredes Internas, 3 Demaos Nevoeiro</t>
        </is>
      </c>
      <c r="D3911" s="10" t="inlineStr">
        <is>
          <t>Lona Preta Plástica 4x100 Metros 25kg - Agroplastic, Tamanho: 120 Micras</t>
        </is>
      </c>
      <c r="E3911" s="11">
        <f t="array" ref="E3911">_xlfn.XLOOKUP(D3911,Insumos!B:B,Insumos!C:$C)</f>
        <v/>
      </c>
      <c r="F3911" s="14" t="n">
        <v>0.00225</v>
      </c>
      <c r="G3911" s="92">
        <f t="array" ref="G3911">IF(B3911="insumo",_xlfn.XLOOKUP($D3911,Insumos!$B$1:$B$996,Insumos!$D$1:$D$996),"")</f>
        <v/>
      </c>
      <c r="H3911" s="92" t="n">
        <v>0.005180625</v>
      </c>
      <c r="I3911" s="2162" t="n">
        <v>0</v>
      </c>
      <c r="J3911" s="2162" t="n">
        <v>0</v>
      </c>
      <c r="K3911" s="2162" t="n"/>
    </row>
    <row r="3912" outlineLevel="3" ht="15.75" customHeight="1">
      <c r="A3912" s="10" t="n">
        <v>7</v>
      </c>
      <c r="B3912" s="10" t="inlineStr">
        <is>
          <t>Insumo</t>
        </is>
      </c>
      <c r="C3912" s="10" t="inlineStr">
        <is>
          <t>Pintura Com Tinta Latex Acrilica em Paredes Internas, 3 Demaos Nevoeiro</t>
        </is>
      </c>
      <c r="D3912" s="10" t="inlineStr">
        <is>
          <t>Disco de lixa (Diametro 225mm) - Grão 180</t>
        </is>
      </c>
      <c r="E3912" s="11">
        <f t="array" ref="E3912">_xlfn.XLOOKUP(D3912,Insumos!B:B,Insumos!C:$C)</f>
        <v/>
      </c>
      <c r="F3912" s="14" t="n">
        <v>0.02488</v>
      </c>
      <c r="G3912" s="92">
        <f t="array" ref="G3912">IF(B3912="insumo",_xlfn.XLOOKUP($D3912,Insumos!$B$1:$B$996,Insumos!$D$1:$D$996),"")</f>
        <v/>
      </c>
      <c r="H3912" s="92" t="n">
        <v>0.14900632</v>
      </c>
      <c r="I3912" s="2162" t="n">
        <v>0</v>
      </c>
      <c r="J3912" s="2162" t="n">
        <v>0</v>
      </c>
      <c r="K3912" s="2162" t="n"/>
    </row>
    <row r="3913" outlineLevel="3" ht="15.75" customHeight="1">
      <c r="A3913" s="10" t="n">
        <v>7</v>
      </c>
      <c r="B3913" s="10" t="inlineStr">
        <is>
          <t>Insumo</t>
        </is>
      </c>
      <c r="C3913" s="10" t="inlineStr">
        <is>
          <t>Pintura Com Tinta Latex Acrilica em Paredes Internas, 3 Demaos Nevoeiro</t>
        </is>
      </c>
      <c r="D3913" s="10" t="inlineStr">
        <is>
          <t>Disco de lixa telado (Diâmetro 225mm) - Grão 220</t>
        </is>
      </c>
      <c r="E3913" s="11">
        <f t="array" ref="E3913">_xlfn.XLOOKUP(D3913,Insumos!B:B,Insumos!C:$C)</f>
        <v/>
      </c>
      <c r="F3913" s="14" t="n">
        <v>0.02488</v>
      </c>
      <c r="G3913" s="92">
        <f t="array" ref="G3913">IF(B3913="insumo",_xlfn.XLOOKUP($D3913,Insumos!$B$1:$B$996,Insumos!$D$1:$D$996),"")</f>
        <v/>
      </c>
      <c r="H3913" s="92" t="n">
        <v>0.13062</v>
      </c>
      <c r="I3913" s="2162" t="n">
        <v>0</v>
      </c>
      <c r="J3913" s="2162" t="n">
        <v>0</v>
      </c>
      <c r="K3913" s="2162" t="n"/>
    </row>
    <row r="3914" outlineLevel="3" ht="15.75" customHeight="1">
      <c r="A3914" s="10" t="n">
        <v>7</v>
      </c>
      <c r="B3914" s="10" t="inlineStr">
        <is>
          <t>Insumo</t>
        </is>
      </c>
      <c r="C3914" s="10" t="inlineStr">
        <is>
          <t>Pintura Com Tinta Latex Acrilica em Paredes Internas, 3 Demaos Nevoeiro</t>
        </is>
      </c>
      <c r="D3914" s="10" t="inlineStr">
        <is>
          <t>Fita Crepe 50mm x 50mt Azul</t>
        </is>
      </c>
      <c r="E3914" s="11">
        <f t="array" ref="E3914">_xlfn.XLOOKUP(D3914,Insumos!B:B,Insumos!C:$C)</f>
        <v/>
      </c>
      <c r="F3914" s="14" t="n">
        <v>0.002132</v>
      </c>
      <c r="G3914" s="92">
        <f t="array" ref="G3914">IF(B3914="insumo",_xlfn.XLOOKUP($D3914,Insumos!$B$1:$B$996,Insumos!$D$1:$D$996),"")</f>
        <v/>
      </c>
      <c r="H3914" s="92" t="n">
        <v>0.0786708</v>
      </c>
      <c r="I3914" s="2162" t="n">
        <v>0</v>
      </c>
      <c r="J3914" s="2162" t="n">
        <v>0</v>
      </c>
      <c r="K3914" s="2162" t="n"/>
    </row>
    <row r="3915" outlineLevel="3" ht="15.75" customHeight="1">
      <c r="A3915" s="10" t="n">
        <v>36</v>
      </c>
      <c r="B3915" s="10" t="inlineStr">
        <is>
          <t>Insumo</t>
        </is>
      </c>
      <c r="C3915" s="10" t="inlineStr">
        <is>
          <t>Pintura Com Tinta Latex Acrilica em Paredes Internas, 3 Demaos Nevoeiro</t>
        </is>
      </c>
      <c r="D3915" s="10" t="inlineStr">
        <is>
          <t>LIXA DAGUA 225X275MM GR100</t>
        </is>
      </c>
      <c r="E3915" s="11">
        <f t="array" ref="E3915">_xlfn.XLOOKUP(D3915,Insumos!B:B,Insumos!C:$C)</f>
        <v/>
      </c>
      <c r="F3915" s="14" t="n">
        <v>0.01522</v>
      </c>
      <c r="G3915" s="92">
        <f t="array" ref="G3915">IF(B3915="insumo",_xlfn.XLOOKUP($D3915,Insumos!$B$1:$B$996,Insumos!$D$1:$D$996),"")</f>
        <v/>
      </c>
      <c r="H3915" s="92" t="n">
        <v>0.0287658</v>
      </c>
      <c r="I3915" s="2162" t="n">
        <v>0</v>
      </c>
      <c r="J3915" s="2162" t="n">
        <v>0</v>
      </c>
      <c r="K3915" s="2162" t="n"/>
    </row>
    <row r="3916" outlineLevel="2" ht="15.75" customHeight="1">
      <c r="A3916" s="1067" t="n">
        <v>1</v>
      </c>
      <c r="B3916" s="1067" t="inlineStr">
        <is>
          <t>Serviço</t>
        </is>
      </c>
      <c r="C3916" s="1067" t="inlineStr">
        <is>
          <t>Pintura Com Tinta Latex Acrilica em Paredes Internas, 3 Demaos Ouro Branco</t>
        </is>
      </c>
      <c r="D3916" s="1067" t="inlineStr">
        <is>
          <t>Pintura Com Tinta Latex Acrilica em Paredes Internas, 3 Demaos Ouro Branco</t>
        </is>
      </c>
      <c r="E3916" s="1068" t="inlineStr">
        <is>
          <t>M2</t>
        </is>
      </c>
      <c r="F3916" s="1067" t="n"/>
      <c r="G3916" s="1069">
        <f t="array" ref="G3916">IF(B3916="insumo",_xlfn.XLOOKUP($D3916,Insumos!$B$1:$B$996,Insumos!$D$1:$D$996),"")</f>
        <v/>
      </c>
      <c r="H3916" s="1069" t="n">
        <v>19.278841065</v>
      </c>
      <c r="I3916" s="2161" t="n">
        <v>0</v>
      </c>
      <c r="J3916" s="2161" t="n">
        <v>0</v>
      </c>
      <c r="K3916" s="2161" t="n"/>
    </row>
    <row r="3917" outlineLevel="3" ht="15.75" customHeight="1">
      <c r="A3917" s="10" t="n">
        <v>1</v>
      </c>
      <c r="B3917" s="10" t="inlineStr">
        <is>
          <t>Insumo</t>
        </is>
      </c>
      <c r="C3917" s="10" t="inlineStr">
        <is>
          <t>Pintura Com Tinta Latex Acrilica em Paredes Internas, 3 Demaos Ouro Branco</t>
        </is>
      </c>
      <c r="D3917" s="10" t="inlineStr">
        <is>
          <t>TINTA ACRILICA PREMIUM OURO BRANCO</t>
        </is>
      </c>
      <c r="E3917" s="11">
        <f t="array" ref="E3917">_xlfn.XLOOKUP(D3917,Insumos!B:B,Insumos!C:$C)</f>
        <v/>
      </c>
      <c r="F3917" s="14" t="n">
        <v>0.495</v>
      </c>
      <c r="G3917" s="92">
        <f t="array" ref="G3917">IF(B3917="insumo",_xlfn.XLOOKUP($D3917,Insumos!$B$1:$B$996,Insumos!$D$1:$D$996),"")</f>
        <v/>
      </c>
      <c r="H3917" s="92" t="n">
        <v>18.748125</v>
      </c>
      <c r="I3917" s="2162" t="n">
        <v>0</v>
      </c>
      <c r="J3917" s="2162" t="n">
        <v>0</v>
      </c>
      <c r="K3917" s="2162" t="n"/>
    </row>
    <row r="3918" outlineLevel="3" ht="15.75" customHeight="1">
      <c r="A3918" s="10" t="n">
        <v>7</v>
      </c>
      <c r="B3918" s="10" t="inlineStr">
        <is>
          <t>Insumo</t>
        </is>
      </c>
      <c r="C3918" s="10" t="inlineStr">
        <is>
          <t>Pintura Com Tinta Latex Acrilica em Paredes Internas, 3 Demaos Ouro Branco</t>
        </is>
      </c>
      <c r="D3918" s="10" t="inlineStr">
        <is>
          <t>Thiner</t>
        </is>
      </c>
      <c r="E3918" s="11">
        <f t="array" ref="E3918">_xlfn.XLOOKUP(D3918,Insumos!B:B,Insumos!C:$C)</f>
        <v/>
      </c>
      <c r="F3918" s="14" t="n">
        <v>0.00225</v>
      </c>
      <c r="G3918" s="92">
        <f t="array" ref="G3918">IF(B3918="insumo",_xlfn.XLOOKUP($D3918,Insumos!$B$1:$B$996,Insumos!$D$1:$D$996),"")</f>
        <v/>
      </c>
      <c r="H3918" s="92" t="n">
        <v>0.030375</v>
      </c>
      <c r="I3918" s="2162" t="n">
        <v>0</v>
      </c>
      <c r="J3918" s="2162" t="n">
        <v>0</v>
      </c>
      <c r="K3918" s="2162" t="n"/>
    </row>
    <row r="3919" outlineLevel="3" ht="15.75" customHeight="1">
      <c r="A3919" s="10" t="n">
        <v>25</v>
      </c>
      <c r="B3919" s="10" t="inlineStr">
        <is>
          <t>Insumo</t>
        </is>
      </c>
      <c r="C3919" s="10" t="inlineStr">
        <is>
          <t>Pintura Com Tinta Latex Acrilica em Paredes Internas, 3 Demaos Ouro Branco</t>
        </is>
      </c>
      <c r="D3919" s="10" t="inlineStr">
        <is>
          <t>Fita Crepe Rolo De 25 Mm X 50 M</t>
        </is>
      </c>
      <c r="E3919" s="11">
        <f t="array" ref="E3919">_xlfn.XLOOKUP(D3919,Insumos!B:B,Insumos!C:$C)</f>
        <v/>
      </c>
      <c r="F3919" s="14" t="n">
        <v>0.002132</v>
      </c>
      <c r="G3919" s="92">
        <f t="array" ref="G3919">IF(B3919="insumo",_xlfn.XLOOKUP($D3919,Insumos!$B$1:$B$996,Insumos!$D$1:$D$996),"")</f>
        <v/>
      </c>
      <c r="H3919" s="92" t="n">
        <v>0.02400632</v>
      </c>
      <c r="I3919" s="2162" t="n">
        <v>0</v>
      </c>
      <c r="J3919" s="2162" t="n">
        <v>0</v>
      </c>
      <c r="K3919" s="2162" t="n"/>
    </row>
    <row r="3920" outlineLevel="3" ht="15.75" customHeight="1">
      <c r="A3920" s="10" t="n">
        <v>7</v>
      </c>
      <c r="B3920" s="10" t="inlineStr">
        <is>
          <t>Insumo</t>
        </is>
      </c>
      <c r="C3920" s="10" t="inlineStr">
        <is>
          <t>Pintura Com Tinta Latex Acrilica em Paredes Internas, 3 Demaos Ouro Branco</t>
        </is>
      </c>
      <c r="D3920" s="10" t="inlineStr">
        <is>
          <t>Pacote de Estopa</t>
        </is>
      </c>
      <c r="E3920" s="11">
        <f t="array" ref="E3920">_xlfn.XLOOKUP(D3920,Insumos!B:B,Insumos!C:$C)</f>
        <v/>
      </c>
      <c r="F3920" s="14" t="n">
        <v>0.01</v>
      </c>
      <c r="G3920" s="92">
        <f t="array" ref="G3920">IF(B3920="insumo",_xlfn.XLOOKUP($D3920,Insumos!$B$1:$B$996,Insumos!$D$1:$D$996),"")</f>
        <v/>
      </c>
      <c r="H3920" s="92" t="n">
        <v>0.06900000000000001</v>
      </c>
      <c r="I3920" s="2162" t="n">
        <v>0</v>
      </c>
      <c r="J3920" s="2162" t="n">
        <v>0</v>
      </c>
      <c r="K3920" s="2162" t="n"/>
    </row>
    <row r="3921" outlineLevel="3" ht="15.75" customHeight="1">
      <c r="A3921" s="10" t="n">
        <v>7</v>
      </c>
      <c r="B3921" s="10" t="inlineStr">
        <is>
          <t>Insumo</t>
        </is>
      </c>
      <c r="C3921" s="10" t="inlineStr">
        <is>
          <t>Pintura Com Tinta Latex Acrilica em Paredes Internas, 3 Demaos Ouro Branco</t>
        </is>
      </c>
      <c r="D3921" s="10" t="inlineStr">
        <is>
          <t>Cloro para Limpeza</t>
        </is>
      </c>
      <c r="E3921" s="11">
        <f t="array" ref="E3921">_xlfn.XLOOKUP(D3921,Insumos!B:B,Insumos!C:$C)</f>
        <v/>
      </c>
      <c r="F3921" s="14" t="n">
        <v>0.002358</v>
      </c>
      <c r="G3921" s="92">
        <f t="array" ref="G3921">IF(B3921="insumo",_xlfn.XLOOKUP($D3921,Insumos!$B$1:$B$996,Insumos!$D$1:$D$996),"")</f>
        <v/>
      </c>
      <c r="H3921" s="92" t="n">
        <v>0.0150912</v>
      </c>
      <c r="I3921" s="2162" t="n">
        <v>0</v>
      </c>
      <c r="J3921" s="2162" t="n">
        <v>0</v>
      </c>
      <c r="K3921" s="2162" t="n"/>
    </row>
    <row r="3922" outlineLevel="3" ht="15.75" customHeight="1">
      <c r="A3922" s="10" t="n">
        <v>9</v>
      </c>
      <c r="B3922" s="10" t="inlineStr">
        <is>
          <t>Insumo</t>
        </is>
      </c>
      <c r="C3922" s="10" t="inlineStr">
        <is>
          <t>Pintura Com Tinta Latex Acrilica em Paredes Internas, 3 Demaos Ouro Branco</t>
        </is>
      </c>
      <c r="D3922" s="10" t="inlineStr">
        <is>
          <t>Lona Preta Plástica 4x100 Metros 25kg - Agroplastic, Tamanho: 120 Micras</t>
        </is>
      </c>
      <c r="E3922" s="11">
        <f t="array" ref="E3922">_xlfn.XLOOKUP(D3922,Insumos!B:B,Insumos!C:$C)</f>
        <v/>
      </c>
      <c r="F3922" s="14" t="n">
        <v>0.00225</v>
      </c>
      <c r="G3922" s="92">
        <f t="array" ref="G3922">IF(B3922="insumo",_xlfn.XLOOKUP($D3922,Insumos!$B$1:$B$996,Insumos!$D$1:$D$996),"")</f>
        <v/>
      </c>
      <c r="H3922" s="92" t="n">
        <v>0.005180625</v>
      </c>
      <c r="I3922" s="2162" t="n">
        <v>0</v>
      </c>
      <c r="J3922" s="2162" t="n">
        <v>0</v>
      </c>
      <c r="K3922" s="2162" t="n"/>
    </row>
    <row r="3923" outlineLevel="3" ht="15.75" customHeight="1">
      <c r="A3923" s="10" t="n">
        <v>7</v>
      </c>
      <c r="B3923" s="10" t="inlineStr">
        <is>
          <t>Insumo</t>
        </is>
      </c>
      <c r="C3923" s="10" t="inlineStr">
        <is>
          <t>Pintura Com Tinta Latex Acrilica em Paredes Internas, 3 Demaos Ouro Branco</t>
        </is>
      </c>
      <c r="D3923" s="10" t="inlineStr">
        <is>
          <t>Disco de lixa (Diametro 225mm) - Grão 180</t>
        </is>
      </c>
      <c r="E3923" s="11">
        <f t="array" ref="E3923">_xlfn.XLOOKUP(D3923,Insumos!B:B,Insumos!C:$C)</f>
        <v/>
      </c>
      <c r="F3923" s="14" t="n">
        <v>0.02488</v>
      </c>
      <c r="G3923" s="92">
        <f t="array" ref="G3923">IF(B3923="insumo",_xlfn.XLOOKUP($D3923,Insumos!$B$1:$B$996,Insumos!$D$1:$D$996),"")</f>
        <v/>
      </c>
      <c r="H3923" s="92" t="n">
        <v>0.14900632</v>
      </c>
      <c r="I3923" s="2162" t="n">
        <v>0</v>
      </c>
      <c r="J3923" s="2162" t="n">
        <v>0</v>
      </c>
      <c r="K3923" s="2162" t="n"/>
    </row>
    <row r="3924" outlineLevel="3" ht="15.75" customHeight="1">
      <c r="A3924" s="10" t="n">
        <v>7</v>
      </c>
      <c r="B3924" s="10" t="inlineStr">
        <is>
          <t>Insumo</t>
        </is>
      </c>
      <c r="C3924" s="10" t="inlineStr">
        <is>
          <t>Pintura Com Tinta Latex Acrilica em Paredes Internas, 3 Demaos Ouro Branco</t>
        </is>
      </c>
      <c r="D3924" s="10" t="inlineStr">
        <is>
          <t>Disco de lixa telado (Diâmetro 225mm) - Grão 220</t>
        </is>
      </c>
      <c r="E3924" s="11">
        <f t="array" ref="E3924">_xlfn.XLOOKUP(D3924,Insumos!B:B,Insumos!C:$C)</f>
        <v/>
      </c>
      <c r="F3924" s="14" t="n">
        <v>0.02488</v>
      </c>
      <c r="G3924" s="92">
        <f t="array" ref="G3924">IF(B3924="insumo",_xlfn.XLOOKUP($D3924,Insumos!$B$1:$B$996,Insumos!$D$1:$D$996),"")</f>
        <v/>
      </c>
      <c r="H3924" s="92" t="n">
        <v>0.13062</v>
      </c>
      <c r="I3924" s="2162" t="n">
        <v>0</v>
      </c>
      <c r="J3924" s="2162" t="n">
        <v>0</v>
      </c>
      <c r="K3924" s="2162" t="n"/>
    </row>
    <row r="3925" outlineLevel="3" ht="15.75" customHeight="1">
      <c r="A3925" s="10" t="n">
        <v>7</v>
      </c>
      <c r="B3925" s="10" t="inlineStr">
        <is>
          <t>Insumo</t>
        </is>
      </c>
      <c r="C3925" s="10" t="inlineStr">
        <is>
          <t>Pintura Com Tinta Latex Acrilica em Paredes Internas, 3 Demaos Ouro Branco</t>
        </is>
      </c>
      <c r="D3925" s="10" t="inlineStr">
        <is>
          <t>Fita Crepe 50mm x 50mt Azul</t>
        </is>
      </c>
      <c r="E3925" s="11">
        <f t="array" ref="E3925">_xlfn.XLOOKUP(D3925,Insumos!B:B,Insumos!C:$C)</f>
        <v/>
      </c>
      <c r="F3925" s="14" t="n">
        <v>0.002132</v>
      </c>
      <c r="G3925" s="92">
        <f t="array" ref="G3925">IF(B3925="insumo",_xlfn.XLOOKUP($D3925,Insumos!$B$1:$B$996,Insumos!$D$1:$D$996),"")</f>
        <v/>
      </c>
      <c r="H3925" s="92" t="n">
        <v>0.0786708</v>
      </c>
      <c r="I3925" s="2162" t="n">
        <v>0</v>
      </c>
      <c r="J3925" s="2162" t="n">
        <v>0</v>
      </c>
      <c r="K3925" s="2162" t="n"/>
    </row>
    <row r="3926" outlineLevel="3" ht="15.75" customHeight="1">
      <c r="A3926" s="10" t="n">
        <v>36</v>
      </c>
      <c r="B3926" s="10" t="inlineStr">
        <is>
          <t>Insumo</t>
        </is>
      </c>
      <c r="C3926" s="10" t="inlineStr">
        <is>
          <t>Pintura Com Tinta Latex Acrilica em Paredes Internas, 3 Demaos Ouro Branco</t>
        </is>
      </c>
      <c r="D3926" s="10" t="inlineStr">
        <is>
          <t>LIXA DAGUA 225X275MM GR100</t>
        </is>
      </c>
      <c r="E3926" s="11">
        <f t="array" ref="E3926">_xlfn.XLOOKUP(D3926,Insumos!B:B,Insumos!C:$C)</f>
        <v/>
      </c>
      <c r="F3926" s="14" t="n">
        <v>0.01522</v>
      </c>
      <c r="G3926" s="92">
        <f t="array" ref="G3926">IF(B3926="insumo",_xlfn.XLOOKUP($D3926,Insumos!$B$1:$B$996,Insumos!$D$1:$D$996),"")</f>
        <v/>
      </c>
      <c r="H3926" s="92" t="n">
        <v>0.0287658</v>
      </c>
      <c r="I3926" s="2162" t="n">
        <v>0</v>
      </c>
      <c r="J3926" s="2162" t="n">
        <v>0</v>
      </c>
      <c r="K3926" s="2162" t="n"/>
    </row>
    <row r="3927" outlineLevel="2" ht="15.75" customHeight="1">
      <c r="A3927" s="1067" t="n">
        <v>1</v>
      </c>
      <c r="B3927" s="1067" t="inlineStr">
        <is>
          <t>Serviço</t>
        </is>
      </c>
      <c r="C3927" s="1067" t="inlineStr">
        <is>
          <t>Pintura Com Tinta Latex Acrilica em Paredes Internas, 3 Demaos Branco</t>
        </is>
      </c>
      <c r="D3927" s="1067" t="inlineStr">
        <is>
          <t>Pintura Com Tinta Latex Acrilica em Paredes Internas, 3 Demaos Branco</t>
        </is>
      </c>
      <c r="E3927" s="1068" t="inlineStr">
        <is>
          <t>M2</t>
        </is>
      </c>
      <c r="F3927" s="1067" t="n"/>
      <c r="G3927" s="1069">
        <f t="array" ref="G3927">IF(B3927="insumo",_xlfn.XLOOKUP($D3927,Insumos!$B$1:$B$996,Insumos!$D$1:$D$996),"")</f>
        <v/>
      </c>
      <c r="H3927" s="1069" t="n">
        <v>12.658216065</v>
      </c>
      <c r="I3927" s="2161" t="n">
        <v>0</v>
      </c>
      <c r="J3927" s="2161" t="n">
        <v>0</v>
      </c>
      <c r="K3927" s="2161" t="n"/>
    </row>
    <row r="3928" outlineLevel="3" ht="15.75" customHeight="1">
      <c r="A3928" s="10" t="n">
        <v>16</v>
      </c>
      <c r="B3928" s="10" t="inlineStr">
        <is>
          <t>Insumo</t>
        </is>
      </c>
      <c r="C3928" s="10" t="inlineStr">
        <is>
          <t>Pintura Com Tinta Latex Acrilica em Paredes Internas, 3 Demaos Branco</t>
        </is>
      </c>
      <c r="D3928" s="10" t="inlineStr">
        <is>
          <t xml:space="preserve">TINTA ACRILICA PREMIUM </t>
        </is>
      </c>
      <c r="E3928" s="11">
        <f t="array" ref="E3928">_xlfn.XLOOKUP(D3928,Insumos!B:B,Insumos!C:$C)</f>
        <v/>
      </c>
      <c r="F3928" s="14" t="n">
        <v>0.495</v>
      </c>
      <c r="G3928" s="92">
        <f t="array" ref="G3928">IF(B3928="insumo",_xlfn.XLOOKUP($D3928,Insumos!$B$1:$B$996,Insumos!$D$1:$D$996),"")</f>
        <v/>
      </c>
      <c r="H3928" s="92" t="n">
        <v>12.1275</v>
      </c>
      <c r="I3928" s="2162" t="n">
        <v>0</v>
      </c>
      <c r="J3928" s="2162" t="n">
        <v>0</v>
      </c>
      <c r="K3928" s="2162" t="n"/>
    </row>
    <row r="3929" outlineLevel="3" ht="15.75" customHeight="1">
      <c r="A3929" s="10" t="n">
        <v>7</v>
      </c>
      <c r="B3929" s="10" t="inlineStr">
        <is>
          <t>Insumo</t>
        </is>
      </c>
      <c r="C3929" s="10" t="inlineStr">
        <is>
          <t>Pintura Com Tinta Latex Acrilica em Paredes Internas, 3 Demaos Branco</t>
        </is>
      </c>
      <c r="D3929" s="10" t="inlineStr">
        <is>
          <t>Thiner</t>
        </is>
      </c>
      <c r="E3929" s="11">
        <f t="array" ref="E3929">_xlfn.XLOOKUP(D3929,Insumos!B:B,Insumos!C:$C)</f>
        <v/>
      </c>
      <c r="F3929" s="14" t="n">
        <v>0.00225</v>
      </c>
      <c r="G3929" s="92">
        <f t="array" ref="G3929">IF(B3929="insumo",_xlfn.XLOOKUP($D3929,Insumos!$B$1:$B$996,Insumos!$D$1:$D$996),"")</f>
        <v/>
      </c>
      <c r="H3929" s="92" t="n">
        <v>0.030375</v>
      </c>
      <c r="I3929" s="2162" t="n">
        <v>0</v>
      </c>
      <c r="J3929" s="2162" t="n">
        <v>0</v>
      </c>
      <c r="K3929" s="2162" t="n"/>
    </row>
    <row r="3930" outlineLevel="3" ht="15.75" customHeight="1">
      <c r="A3930" s="10" t="n">
        <v>25</v>
      </c>
      <c r="B3930" s="10" t="inlineStr">
        <is>
          <t>Insumo</t>
        </is>
      </c>
      <c r="C3930" s="10" t="inlineStr">
        <is>
          <t>Pintura Com Tinta Latex Acrilica em Paredes Internas, 3 Demaos Branco</t>
        </is>
      </c>
      <c r="D3930" s="10" t="inlineStr">
        <is>
          <t>Fita Crepe Rolo De 25 Mm X 50 M</t>
        </is>
      </c>
      <c r="E3930" s="11">
        <f t="array" ref="E3930">_xlfn.XLOOKUP(D3930,Insumos!B:B,Insumos!C:$C)</f>
        <v/>
      </c>
      <c r="F3930" s="14" t="n">
        <v>0.002132</v>
      </c>
      <c r="G3930" s="92">
        <f t="array" ref="G3930">IF(B3930="insumo",_xlfn.XLOOKUP($D3930,Insumos!$B$1:$B$996,Insumos!$D$1:$D$996),"")</f>
        <v/>
      </c>
      <c r="H3930" s="92" t="n">
        <v>0.02400632</v>
      </c>
      <c r="I3930" s="2162" t="n">
        <v>0</v>
      </c>
      <c r="J3930" s="2162" t="n">
        <v>0</v>
      </c>
      <c r="K3930" s="2162" t="n"/>
    </row>
    <row r="3931" outlineLevel="3" ht="15.75" customHeight="1">
      <c r="A3931" s="10" t="n">
        <v>7</v>
      </c>
      <c r="B3931" s="10" t="inlineStr">
        <is>
          <t>Insumo</t>
        </is>
      </c>
      <c r="C3931" s="10" t="inlineStr">
        <is>
          <t>Pintura Com Tinta Latex Acrilica em Paredes Internas, 3 Demaos Branco</t>
        </is>
      </c>
      <c r="D3931" s="10" t="inlineStr">
        <is>
          <t>Pacote de Estopa</t>
        </is>
      </c>
      <c r="E3931" s="11">
        <f t="array" ref="E3931">_xlfn.XLOOKUP(D3931,Insumos!B:B,Insumos!C:$C)</f>
        <v/>
      </c>
      <c r="F3931" s="14" t="n">
        <v>0.01</v>
      </c>
      <c r="G3931" s="92">
        <f t="array" ref="G3931">IF(B3931="insumo",_xlfn.XLOOKUP($D3931,Insumos!$B$1:$B$996,Insumos!$D$1:$D$996),"")</f>
        <v/>
      </c>
      <c r="H3931" s="92" t="n">
        <v>0.06900000000000001</v>
      </c>
      <c r="I3931" s="2162" t="n">
        <v>0</v>
      </c>
      <c r="J3931" s="2162" t="n">
        <v>0</v>
      </c>
      <c r="K3931" s="2162" t="n"/>
    </row>
    <row r="3932" outlineLevel="3" ht="15.75" customHeight="1">
      <c r="A3932" s="10" t="n">
        <v>7</v>
      </c>
      <c r="B3932" s="10" t="inlineStr">
        <is>
          <t>Insumo</t>
        </is>
      </c>
      <c r="C3932" s="10" t="inlineStr">
        <is>
          <t>Pintura Com Tinta Latex Acrilica em Paredes Internas, 3 Demaos Branco</t>
        </is>
      </c>
      <c r="D3932" s="10" t="inlineStr">
        <is>
          <t>Cloro para Limpeza</t>
        </is>
      </c>
      <c r="E3932" s="11">
        <f t="array" ref="E3932">_xlfn.XLOOKUP(D3932,Insumos!B:B,Insumos!C:$C)</f>
        <v/>
      </c>
      <c r="F3932" s="14" t="n">
        <v>0.002358</v>
      </c>
      <c r="G3932" s="92">
        <f t="array" ref="G3932">IF(B3932="insumo",_xlfn.XLOOKUP($D3932,Insumos!$B$1:$B$996,Insumos!$D$1:$D$996),"")</f>
        <v/>
      </c>
      <c r="H3932" s="92" t="n">
        <v>0.0150912</v>
      </c>
      <c r="I3932" s="2162" t="n">
        <v>0</v>
      </c>
      <c r="J3932" s="2162" t="n">
        <v>0</v>
      </c>
      <c r="K3932" s="2162" t="n"/>
    </row>
    <row r="3933" outlineLevel="3" ht="27" customHeight="1">
      <c r="A3933" s="10" t="n">
        <v>9</v>
      </c>
      <c r="B3933" s="10" t="inlineStr">
        <is>
          <t>Insumo</t>
        </is>
      </c>
      <c r="C3933" s="10" t="inlineStr">
        <is>
          <t>Pintura Com Tinta Latex Acrilica em Paredes Internas, 3 Demaos Branco</t>
        </is>
      </c>
      <c r="D3933" s="10" t="inlineStr">
        <is>
          <t>Lona Preta Plástica 4x100 Metros 25kg - Agroplastic, Tamanho: 120 Micras</t>
        </is>
      </c>
      <c r="E3933" s="11">
        <f t="array" ref="E3933">_xlfn.XLOOKUP(D3933,Insumos!B:B,Insumos!C:$C)</f>
        <v/>
      </c>
      <c r="F3933" s="14" t="n">
        <v>0.00225</v>
      </c>
      <c r="G3933" s="92">
        <f t="array" ref="G3933">IF(B3933="insumo",_xlfn.XLOOKUP($D3933,Insumos!$B$1:$B$996,Insumos!$D$1:$D$996),"")</f>
        <v/>
      </c>
      <c r="H3933" s="92" t="n">
        <v>0.005180625</v>
      </c>
      <c r="I3933" s="2162" t="n">
        <v>0</v>
      </c>
      <c r="J3933" s="2162" t="n">
        <v>0</v>
      </c>
      <c r="K3933" s="2162" t="n"/>
    </row>
    <row r="3934" outlineLevel="3" ht="15.75" customHeight="1">
      <c r="A3934" s="10" t="n">
        <v>7</v>
      </c>
      <c r="B3934" s="10" t="inlineStr">
        <is>
          <t>Insumo</t>
        </is>
      </c>
      <c r="C3934" s="10" t="inlineStr">
        <is>
          <t>Pintura Com Tinta Latex Acrilica em Paredes Internas, 3 Demaos Branco</t>
        </is>
      </c>
      <c r="D3934" s="10" t="inlineStr">
        <is>
          <t>Disco de lixa (Diametro 225mm) - Grão 180</t>
        </is>
      </c>
      <c r="E3934" s="11">
        <f t="array" ref="E3934">_xlfn.XLOOKUP(D3934,Insumos!B:B,Insumos!C:$C)</f>
        <v/>
      </c>
      <c r="F3934" s="14" t="n">
        <v>0.02488</v>
      </c>
      <c r="G3934" s="92">
        <f t="array" ref="G3934">IF(B3934="insumo",_xlfn.XLOOKUP($D3934,Insumos!$B$1:$B$996,Insumos!$D$1:$D$996),"")</f>
        <v/>
      </c>
      <c r="H3934" s="92" t="n">
        <v>0.14900632</v>
      </c>
      <c r="I3934" s="2162" t="n">
        <v>0</v>
      </c>
      <c r="J3934" s="2162" t="n">
        <v>0</v>
      </c>
      <c r="K3934" s="2162" t="n"/>
    </row>
    <row r="3935" outlineLevel="3" ht="15.75" customHeight="1">
      <c r="A3935" s="10" t="n">
        <v>7</v>
      </c>
      <c r="B3935" s="10" t="inlineStr">
        <is>
          <t>Insumo</t>
        </is>
      </c>
      <c r="C3935" s="10" t="inlineStr">
        <is>
          <t>Pintura Com Tinta Latex Acrilica em Paredes Internas, 3 Demaos Branco</t>
        </is>
      </c>
      <c r="D3935" s="10" t="inlineStr">
        <is>
          <t>Disco de lixa telado (Diâmetro 225mm) - Grão 220</t>
        </is>
      </c>
      <c r="E3935" s="11">
        <f t="array" ref="E3935">_xlfn.XLOOKUP(D3935,Insumos!B:B,Insumos!C:$C)</f>
        <v/>
      </c>
      <c r="F3935" s="14" t="n">
        <v>0.02488</v>
      </c>
      <c r="G3935" s="92">
        <f t="array" ref="G3935">IF(B3935="insumo",_xlfn.XLOOKUP($D3935,Insumos!$B$1:$B$996,Insumos!$D$1:$D$996),"")</f>
        <v/>
      </c>
      <c r="H3935" s="92" t="n">
        <v>0.13062</v>
      </c>
      <c r="I3935" s="2162" t="n">
        <v>0</v>
      </c>
      <c r="J3935" s="2162" t="n">
        <v>0</v>
      </c>
      <c r="K3935" s="2162" t="n"/>
    </row>
    <row r="3936" outlineLevel="3" ht="15.75" customHeight="1">
      <c r="A3936" s="10" t="n">
        <v>7</v>
      </c>
      <c r="B3936" s="10" t="inlineStr">
        <is>
          <t>Insumo</t>
        </is>
      </c>
      <c r="C3936" s="10" t="inlineStr">
        <is>
          <t>Pintura Com Tinta Latex Acrilica em Paredes Internas, 3 Demaos Branco</t>
        </is>
      </c>
      <c r="D3936" s="10" t="inlineStr">
        <is>
          <t>Fita Crepe 50mm x 50mt Azul</t>
        </is>
      </c>
      <c r="E3936" s="11">
        <f t="array" ref="E3936">_xlfn.XLOOKUP(D3936,Insumos!B:B,Insumos!C:$C)</f>
        <v/>
      </c>
      <c r="F3936" s="14" t="n">
        <v>0.002132</v>
      </c>
      <c r="G3936" s="92">
        <f t="array" ref="G3936">IF(B3936="insumo",_xlfn.XLOOKUP($D3936,Insumos!$B$1:$B$996,Insumos!$D$1:$D$996),"")</f>
        <v/>
      </c>
      <c r="H3936" s="92" t="n">
        <v>0.0786708</v>
      </c>
      <c r="I3936" s="2162" t="n">
        <v>0</v>
      </c>
      <c r="J3936" s="2162" t="n">
        <v>0</v>
      </c>
      <c r="K3936" s="2162" t="n"/>
    </row>
    <row r="3937" outlineLevel="3" ht="15.75" customHeight="1">
      <c r="A3937" s="10" t="n">
        <v>36</v>
      </c>
      <c r="B3937" s="10" t="inlineStr">
        <is>
          <t>Insumo</t>
        </is>
      </c>
      <c r="C3937" s="10" t="inlineStr">
        <is>
          <t>Pintura Com Tinta Latex Acrilica em Paredes Internas, 3 Demaos Branco</t>
        </is>
      </c>
      <c r="D3937" s="10" t="inlineStr">
        <is>
          <t>LIXA DAGUA 225X275MM GR100</t>
        </is>
      </c>
      <c r="E3937" s="11">
        <f t="array" ref="E3937">_xlfn.XLOOKUP(D3937,Insumos!B:B,Insumos!C:$C)</f>
        <v/>
      </c>
      <c r="F3937" s="14" t="n">
        <v>0.01522</v>
      </c>
      <c r="G3937" s="92">
        <f t="array" ref="G3937">IF(B3937="insumo",_xlfn.XLOOKUP($D3937,Insumos!$B$1:$B$996,Insumos!$D$1:$D$996),"")</f>
        <v/>
      </c>
      <c r="H3937" s="92" t="n">
        <v>0.0287658</v>
      </c>
      <c r="I3937" s="2162" t="n">
        <v>0</v>
      </c>
      <c r="J3937" s="2162" t="n">
        <v>0</v>
      </c>
      <c r="K3937" s="2162" t="n"/>
    </row>
    <row r="3938" outlineLevel="2" ht="15.75" customHeight="1">
      <c r="A3938" s="1067" t="n">
        <v>1</v>
      </c>
      <c r="B3938" s="1067" t="inlineStr">
        <is>
          <t>Serviço</t>
        </is>
      </c>
      <c r="C3938" s="1067" t="inlineStr">
        <is>
          <t>Pintura Com Tinta Latex Acrilica com selador e massa em Paredes Internas, 3 Demaos</t>
        </is>
      </c>
      <c r="D3938" s="1067" t="inlineStr">
        <is>
          <t>Pintura Com Tinta Latex Acrilica com selador e massa em Paredes Internas, 3 Demaos</t>
        </is>
      </c>
      <c r="E3938" s="1068" t="inlineStr">
        <is>
          <t>M2</t>
        </is>
      </c>
      <c r="F3938" s="1067" t="n"/>
      <c r="G3938" s="1069">
        <f t="array" ref="G3938">IF(B3938="insumo",_xlfn.XLOOKUP($D3938,Insumos!$B$1:$B$996,Insumos!$D$1:$D$996),"")</f>
        <v/>
      </c>
      <c r="H3938" s="1069" t="n">
        <v>18.2352155555556</v>
      </c>
      <c r="I3938" s="2161" t="n">
        <v>0</v>
      </c>
      <c r="J3938" s="2161" t="n">
        <v>0</v>
      </c>
      <c r="K3938" s="2161" t="n"/>
    </row>
    <row r="3939" outlineLevel="3" ht="15.75" customHeight="1">
      <c r="A3939" s="10" t="n">
        <v>36</v>
      </c>
      <c r="B3939" s="10" t="inlineStr">
        <is>
          <t>Insumo</t>
        </is>
      </c>
      <c r="C3939" s="10" t="inlineStr">
        <is>
          <t>Pintura Com Tinta Latex Acrilica com selador e massa em Paredes Internas, 3 Demaos</t>
        </is>
      </c>
      <c r="D3939" s="10" t="inlineStr">
        <is>
          <t>LIXA DAGUA 225X275MM GR100</t>
        </is>
      </c>
      <c r="E3939" s="11">
        <f t="array" ref="E3939">_xlfn.XLOOKUP(D3939,Insumos!B:B,Insumos!C:$C)</f>
        <v/>
      </c>
      <c r="F3939" s="14" t="n">
        <v>0.1</v>
      </c>
      <c r="G3939" s="92">
        <f t="array" ref="G3939">IF(B3939="insumo",_xlfn.XLOOKUP($D3939,Insumos!$B$1:$B$996,Insumos!$D$1:$D$996),"")</f>
        <v/>
      </c>
      <c r="H3939" s="92" t="n">
        <v>0.189</v>
      </c>
      <c r="I3939" s="2162" t="n">
        <v>0</v>
      </c>
      <c r="J3939" s="2162" t="n">
        <v>0</v>
      </c>
      <c r="K3939" s="2162" t="n"/>
    </row>
    <row r="3940" outlineLevel="3" ht="15.75" customHeight="1">
      <c r="A3940" s="10" t="n">
        <v>21</v>
      </c>
      <c r="B3940" s="10" t="inlineStr">
        <is>
          <t>Insumo</t>
        </is>
      </c>
      <c r="C3940" s="10" t="inlineStr">
        <is>
          <t>Pintura Com Tinta Latex Acrilica com selador e massa em Paredes Internas, 3 Demaos</t>
        </is>
      </c>
      <c r="D3940" s="10" t="inlineStr">
        <is>
          <t>Massa corrida para superfícies de ambientes internos</t>
        </is>
      </c>
      <c r="E3940" s="11">
        <f t="array" ref="E3940">_xlfn.XLOOKUP(D3940,Insumos!B:B,Insumos!C:$C)</f>
        <v/>
      </c>
      <c r="F3940" s="14" t="n">
        <v>0.8667</v>
      </c>
      <c r="G3940" s="92">
        <f t="array" ref="G3940">IF(B3940="insumo",_xlfn.XLOOKUP($D3940,Insumos!$B$1:$B$996,Insumos!$D$1:$D$996),"")</f>
        <v/>
      </c>
      <c r="H3940" s="92" t="n">
        <v>4.16016</v>
      </c>
      <c r="I3940" s="2162" t="n">
        <v>0</v>
      </c>
      <c r="J3940" s="2162" t="n">
        <v>0</v>
      </c>
      <c r="K3940" s="2162" t="n"/>
    </row>
    <row r="3941" outlineLevel="3" ht="15.75" customHeight="1">
      <c r="A3941" s="10" t="n">
        <v>19</v>
      </c>
      <c r="B3941" s="10" t="inlineStr">
        <is>
          <t>Insumo</t>
        </is>
      </c>
      <c r="C3941" s="10" t="inlineStr">
        <is>
          <t>Pintura Com Tinta Latex Acrilica com selador e massa em Paredes Internas, 3 Demaos</t>
        </is>
      </c>
      <c r="D3941" s="10" t="inlineStr">
        <is>
          <t>Selador Primer Ibratin - 4,2kg - 3,6L</t>
        </is>
      </c>
      <c r="E3941" s="11">
        <f t="array" ref="E3941">_xlfn.XLOOKUP(D3941,Insumos!B:B,Insumos!C:$C)</f>
        <v/>
      </c>
      <c r="F3941" s="14" t="n">
        <v>0.1666</v>
      </c>
      <c r="G3941" s="92">
        <f t="array" ref="G3941">IF(B3941="insumo",_xlfn.XLOOKUP($D3941,Insumos!$B$1:$B$996,Insumos!$D$1:$D$996),"")</f>
        <v/>
      </c>
      <c r="H3941" s="92" t="n">
        <v>1.75855555555556</v>
      </c>
      <c r="I3941" s="2162" t="n">
        <v>0</v>
      </c>
      <c r="J3941" s="2162" t="n">
        <v>0</v>
      </c>
      <c r="K3941" s="2162" t="n"/>
    </row>
    <row r="3942" outlineLevel="3" ht="15.75" customHeight="1">
      <c r="A3942" s="10" t="n">
        <v>16</v>
      </c>
      <c r="B3942" s="10" t="inlineStr">
        <is>
          <t>Insumo</t>
        </is>
      </c>
      <c r="C3942" s="10" t="inlineStr">
        <is>
          <t>Pintura Com Tinta Latex Acrilica com selador e massa em Paredes Internas, 3 Demaos</t>
        </is>
      </c>
      <c r="D3942" s="10" t="inlineStr">
        <is>
          <t xml:space="preserve">TINTA ACRILICA PREMIUM </t>
        </is>
      </c>
      <c r="E3942" s="11">
        <f t="array" ref="E3942">_xlfn.XLOOKUP(D3942,Insumos!B:B,Insumos!C:$C)</f>
        <v/>
      </c>
      <c r="F3942" s="14" t="n">
        <v>0.495</v>
      </c>
      <c r="G3942" s="92">
        <f t="array" ref="G3942">IF(B3942="insumo",_xlfn.XLOOKUP($D3942,Insumos!$B$1:$B$996,Insumos!$D$1:$D$996),"")</f>
        <v/>
      </c>
      <c r="H3942" s="92" t="n">
        <v>12.1275</v>
      </c>
      <c r="I3942" s="2162" t="n">
        <v>0</v>
      </c>
      <c r="J3942" s="2162" t="n">
        <v>0</v>
      </c>
      <c r="K3942" s="2162" t="n"/>
    </row>
    <row r="3943" outlineLevel="2" ht="15.75" customHeight="1">
      <c r="A3943" s="1067" t="n">
        <v>1</v>
      </c>
      <c r="B3943" s="1067" t="inlineStr">
        <is>
          <t>Serviço</t>
        </is>
      </c>
      <c r="C3943" s="1067" t="inlineStr">
        <is>
          <t>Textura acrílica aplicação em paredes internas, 1 demão</t>
        </is>
      </c>
      <c r="D3943" s="1067" t="inlineStr">
        <is>
          <t>Textura acrílica aplicação em paredes internas, 1 demão</t>
        </is>
      </c>
      <c r="E3943" s="1068" t="inlineStr">
        <is>
          <t>M2</t>
        </is>
      </c>
      <c r="F3943" s="1067" t="n"/>
      <c r="G3943" s="1069">
        <f t="array" ref="G3943">IF(B3943="insumo",_xlfn.XLOOKUP($D3943,Insumos!$B$1:$B$996,Insumos!$D$1:$D$996),"")</f>
        <v/>
      </c>
      <c r="H3943" s="1069" t="n">
        <v>13.6363636363636</v>
      </c>
      <c r="I3943" s="2161" t="n">
        <v>0</v>
      </c>
      <c r="J3943" s="2161" t="n">
        <v>0</v>
      </c>
      <c r="K3943" s="2161" t="n"/>
    </row>
    <row r="3944" outlineLevel="3" ht="15.75" customHeight="1">
      <c r="A3944" s="10" t="n">
        <v>5</v>
      </c>
      <c r="B3944" s="10" t="inlineStr">
        <is>
          <t>Insumo</t>
        </is>
      </c>
      <c r="C3944" s="10" t="inlineStr">
        <is>
          <t>Textura acrílica aplicação em paredes internas, 1 demão</t>
        </is>
      </c>
      <c r="D3944" s="10" t="inlineStr">
        <is>
          <t>MASSA PREMIUM PARA TEXTURA LISA DE BASE ACRILICA</t>
        </is>
      </c>
      <c r="E3944" s="11">
        <f t="array" ref="E3944">_xlfn.XLOOKUP(D3944,Insumos!B:B,Insumos!C:$C)</f>
        <v/>
      </c>
      <c r="F3944" s="14" t="n">
        <v>1.5</v>
      </c>
      <c r="G3944" s="92">
        <f t="array" ref="G3944">IF(B3944="insumo",_xlfn.XLOOKUP($D3944,Insumos!$B$1:$B$996,Insumos!$D$1:$D$996),"")</f>
        <v/>
      </c>
      <c r="H3944" s="92" t="n">
        <v>13.6363636363636</v>
      </c>
      <c r="I3944" s="2162" t="n">
        <v>0</v>
      </c>
      <c r="J3944" s="2162" t="n">
        <v>0</v>
      </c>
      <c r="K3944" s="2162" t="n"/>
    </row>
    <row r="3945" outlineLevel="2" ht="15.75" customHeight="1">
      <c r="A3945" s="1067" t="n">
        <v>1</v>
      </c>
      <c r="B3945" s="1067" t="inlineStr">
        <is>
          <t>Serviço</t>
        </is>
      </c>
      <c r="C3945" s="1067" t="inlineStr">
        <is>
          <t>Pintura em Látex Acrilica para demarcação de vagas em parede, 2 demão</t>
        </is>
      </c>
      <c r="D3945" s="1067" t="inlineStr">
        <is>
          <t>Pintura em Látex Acrilica para demarcação de vagas em parede, 2 demão</t>
        </is>
      </c>
      <c r="E3945" s="1068" t="inlineStr">
        <is>
          <t>M2</t>
        </is>
      </c>
      <c r="F3945" s="1067" t="n"/>
      <c r="G3945" s="1069">
        <f t="array" ref="G3945">IF(B3945="insumo",_xlfn.XLOOKUP($D3945,Insumos!$B$1:$B$996,Insumos!$D$1:$D$996),"")</f>
        <v/>
      </c>
      <c r="H3945" s="1069" t="n">
        <v>8.728316065</v>
      </c>
      <c r="I3945" s="2161" t="e">
        <v>#REF!</v>
      </c>
      <c r="J3945" s="2161" t="e">
        <v>#REF!</v>
      </c>
      <c r="K3945" s="2161" t="n"/>
    </row>
    <row r="3946" outlineLevel="3" ht="15.75" customHeight="1">
      <c r="A3946" s="10" t="n">
        <v>25</v>
      </c>
      <c r="B3946" s="10" t="inlineStr">
        <is>
          <t>Insumo</t>
        </is>
      </c>
      <c r="C3946" s="10" t="inlineStr">
        <is>
          <t>Pintura em Látex Acrilica para demarcação de vagas em parede, 2 demão</t>
        </is>
      </c>
      <c r="D3946" s="10" t="inlineStr">
        <is>
          <t>Fita Crepe Rolo De 25 Mm X 50 M</t>
        </is>
      </c>
      <c r="E3946" s="11">
        <f t="array" ref="E3946">_xlfn.XLOOKUP(D3946,Insumos!B:B,Insumos!C:$C)</f>
        <v/>
      </c>
      <c r="F3946" s="14" t="n">
        <v>0.01</v>
      </c>
      <c r="G3946" s="92">
        <f t="array" ref="G3946">IF(B3946="insumo",_xlfn.XLOOKUP($D3946,Insumos!$B$1:$B$996,Insumos!$D$1:$D$996),"")</f>
        <v/>
      </c>
      <c r="H3946" s="92" t="n">
        <v>0.1126</v>
      </c>
      <c r="I3946" s="2162" t="e">
        <v>#REF!</v>
      </c>
      <c r="J3946" s="2162" t="e">
        <v>#REF!</v>
      </c>
      <c r="K3946" s="2162" t="n"/>
    </row>
    <row r="3947" outlineLevel="3" ht="15.75" customHeight="1">
      <c r="A3947" s="10" t="n">
        <v>16</v>
      </c>
      <c r="B3947" s="10" t="inlineStr">
        <is>
          <t>Insumo</t>
        </is>
      </c>
      <c r="C3947" s="10" t="inlineStr">
        <is>
          <t>Pintura em Látex Acrilica para demarcação de vagas em parede, 2 demão</t>
        </is>
      </c>
      <c r="D3947" s="10" t="inlineStr">
        <is>
          <t xml:space="preserve">TINTA ACRILICA PREMIUM </t>
        </is>
      </c>
      <c r="E3947" s="11">
        <f t="array" ref="E3947">_xlfn.XLOOKUP(D3947,Insumos!B:B,Insumos!C:$C)</f>
        <v/>
      </c>
      <c r="F3947" s="14" t="n">
        <v>0.33</v>
      </c>
      <c r="G3947" s="92">
        <f t="array" ref="G3947">IF(B3947="insumo",_xlfn.XLOOKUP($D3947,Insumos!$B$1:$B$996,Insumos!$D$1:$D$996),"")</f>
        <v/>
      </c>
      <c r="H3947" s="92" t="n">
        <v>8.085000000000001</v>
      </c>
      <c r="I3947" s="2162" t="e">
        <v>#REF!</v>
      </c>
      <c r="J3947" s="2162" t="e">
        <v>#REF!</v>
      </c>
      <c r="K3947" s="2162" t="n"/>
    </row>
    <row r="3948" outlineLevel="3" ht="15.75" customHeight="1">
      <c r="A3948" s="10" t="n">
        <v>7</v>
      </c>
      <c r="B3948" s="10" t="inlineStr">
        <is>
          <t>Insumo</t>
        </is>
      </c>
      <c r="C3948" s="10" t="inlineStr">
        <is>
          <t>Pintura em Látex Acrilica para demarcação de vagas em parede, 2 demão</t>
        </is>
      </c>
      <c r="D3948" s="10" t="inlineStr">
        <is>
          <t>Thiner</t>
        </is>
      </c>
      <c r="E3948" s="11">
        <f t="array" ref="E3948">_xlfn.XLOOKUP(D3948,Insumos!B:B,Insumos!C:$C)</f>
        <v/>
      </c>
      <c r="F3948" s="14" t="n">
        <v>0.00225</v>
      </c>
      <c r="G3948" s="92">
        <f t="array" ref="G3948">IF(B3948="insumo",_xlfn.XLOOKUP($D3948,Insumos!$B$1:$B$996,Insumos!$D$1:$D$996),"")</f>
        <v/>
      </c>
      <c r="H3948" s="92" t="n">
        <v>0.030375</v>
      </c>
      <c r="I3948" s="2162" t="e">
        <v>#REF!</v>
      </c>
      <c r="J3948" s="2162" t="e">
        <v>#REF!</v>
      </c>
      <c r="K3948" s="2162" t="n"/>
    </row>
    <row r="3949" outlineLevel="3" ht="15.75" customHeight="1">
      <c r="A3949" s="10" t="n">
        <v>25</v>
      </c>
      <c r="B3949" s="10" t="inlineStr">
        <is>
          <t>Insumo</t>
        </is>
      </c>
      <c r="C3949" s="10" t="inlineStr">
        <is>
          <t>Pintura em Látex Acrilica para demarcação de vagas em parede, 2 demão</t>
        </is>
      </c>
      <c r="D3949" s="10" t="inlineStr">
        <is>
          <t>Fita Crepe Rolo De 25 Mm X 50 M</t>
        </is>
      </c>
      <c r="E3949" s="11">
        <f t="array" ref="E3949">_xlfn.XLOOKUP(D3949,Insumos!B:B,Insumos!C:$C)</f>
        <v/>
      </c>
      <c r="F3949" s="14" t="n">
        <v>0.002132</v>
      </c>
      <c r="G3949" s="92">
        <f t="array" ref="G3949">IF(B3949="insumo",_xlfn.XLOOKUP($D3949,Insumos!$B$1:$B$996,Insumos!$D$1:$D$996),"")</f>
        <v/>
      </c>
      <c r="H3949" s="92" t="n">
        <v>0.02400632</v>
      </c>
      <c r="I3949" s="2162" t="e">
        <v>#REF!</v>
      </c>
      <c r="J3949" s="2162" t="e">
        <v>#REF!</v>
      </c>
      <c r="K3949" s="2162" t="n"/>
    </row>
    <row r="3950" outlineLevel="3" ht="15.75" customHeight="1">
      <c r="A3950" s="10" t="n">
        <v>7</v>
      </c>
      <c r="B3950" s="10" t="inlineStr">
        <is>
          <t>Insumo</t>
        </is>
      </c>
      <c r="C3950" s="10" t="inlineStr">
        <is>
          <t>Pintura em Látex Acrilica para demarcação de vagas em parede, 2 demão</t>
        </is>
      </c>
      <c r="D3950" s="10" t="inlineStr">
        <is>
          <t>Pacote de Estopa</t>
        </is>
      </c>
      <c r="E3950" s="11">
        <f t="array" ref="E3950">_xlfn.XLOOKUP(D3950,Insumos!B:B,Insumos!C:$C)</f>
        <v/>
      </c>
      <c r="F3950" s="14" t="n">
        <v>0.01</v>
      </c>
      <c r="G3950" s="92">
        <f t="array" ref="G3950">IF(B3950="insumo",_xlfn.XLOOKUP($D3950,Insumos!$B$1:$B$996,Insumos!$D$1:$D$996),"")</f>
        <v/>
      </c>
      <c r="H3950" s="92" t="n">
        <v>0.06900000000000001</v>
      </c>
      <c r="I3950" s="2162" t="e">
        <v>#REF!</v>
      </c>
      <c r="J3950" s="2162" t="e">
        <v>#REF!</v>
      </c>
      <c r="K3950" s="2162" t="n"/>
    </row>
    <row r="3951" outlineLevel="3" ht="15.75" customHeight="1">
      <c r="A3951" s="10" t="n">
        <v>7</v>
      </c>
      <c r="B3951" s="10" t="inlineStr">
        <is>
          <t>Insumo</t>
        </is>
      </c>
      <c r="C3951" s="10" t="inlineStr">
        <is>
          <t>Pintura em Látex Acrilica para demarcação de vagas em parede, 2 demão</t>
        </is>
      </c>
      <c r="D3951" s="10" t="inlineStr">
        <is>
          <t>Cloro para Limpeza</t>
        </is>
      </c>
      <c r="E3951" s="11">
        <f t="array" ref="E3951">_xlfn.XLOOKUP(D3951,Insumos!B:B,Insumos!C:$C)</f>
        <v/>
      </c>
      <c r="F3951" s="14" t="n">
        <v>0.002358</v>
      </c>
      <c r="G3951" s="92">
        <f t="array" ref="G3951">IF(B3951="insumo",_xlfn.XLOOKUP($D3951,Insumos!$B$1:$B$996,Insumos!$D$1:$D$996),"")</f>
        <v/>
      </c>
      <c r="H3951" s="92" t="n">
        <v>0.0150912</v>
      </c>
      <c r="I3951" s="2162" t="e">
        <v>#REF!</v>
      </c>
      <c r="J3951" s="2162" t="e">
        <v>#REF!</v>
      </c>
      <c r="K3951" s="2162" t="n"/>
    </row>
    <row r="3952" outlineLevel="3" ht="15.75" customHeight="1">
      <c r="A3952" s="10" t="n">
        <v>9</v>
      </c>
      <c r="B3952" s="10" t="inlineStr">
        <is>
          <t>Insumo</t>
        </is>
      </c>
      <c r="C3952" s="10" t="inlineStr">
        <is>
          <t>Pintura em Látex Acrilica para demarcação de vagas em parede, 2 demão</t>
        </is>
      </c>
      <c r="D3952" s="10" t="inlineStr">
        <is>
          <t>Lona Preta Plástica 4x100 Metros 25kg - Agroplastic, Tamanho: 120 Micras</t>
        </is>
      </c>
      <c r="E3952" s="11">
        <f t="array" ref="E3952">_xlfn.XLOOKUP(D3952,Insumos!B:B,Insumos!C:$C)</f>
        <v/>
      </c>
      <c r="F3952" s="14" t="n">
        <v>0.00225</v>
      </c>
      <c r="G3952" s="92">
        <f t="array" ref="G3952">IF(B3952="insumo",_xlfn.XLOOKUP($D3952,Insumos!$B$1:$B$996,Insumos!$D$1:$D$996),"")</f>
        <v/>
      </c>
      <c r="H3952" s="92" t="n">
        <v>0.005180625</v>
      </c>
      <c r="I3952" s="2162" t="e">
        <v>#REF!</v>
      </c>
      <c r="J3952" s="2162" t="e">
        <v>#REF!</v>
      </c>
      <c r="K3952" s="2162" t="n"/>
    </row>
    <row r="3953" outlineLevel="3" ht="15.75" customHeight="1">
      <c r="A3953" s="10" t="n">
        <v>7</v>
      </c>
      <c r="B3953" s="10" t="inlineStr">
        <is>
          <t>Insumo</t>
        </is>
      </c>
      <c r="C3953" s="10" t="inlineStr">
        <is>
          <t>Pintura em Látex Acrilica para demarcação de vagas em parede, 2 demão</t>
        </is>
      </c>
      <c r="D3953" s="10" t="inlineStr">
        <is>
          <t>Disco de lixa (Diametro 225mm) - Grão 180</t>
        </is>
      </c>
      <c r="E3953" s="11">
        <f t="array" ref="E3953">_xlfn.XLOOKUP(D3953,Insumos!B:B,Insumos!C:$C)</f>
        <v/>
      </c>
      <c r="F3953" s="14" t="n">
        <v>0.02488</v>
      </c>
      <c r="G3953" s="92">
        <f t="array" ref="G3953">IF(B3953="insumo",_xlfn.XLOOKUP($D3953,Insumos!$B$1:$B$996,Insumos!$D$1:$D$996),"")</f>
        <v/>
      </c>
      <c r="H3953" s="92" t="n">
        <v>0.14900632</v>
      </c>
      <c r="I3953" s="2162" t="e">
        <v>#REF!</v>
      </c>
      <c r="J3953" s="2162" t="e">
        <v>#REF!</v>
      </c>
      <c r="K3953" s="2162" t="n"/>
    </row>
    <row r="3954" outlineLevel="3" ht="15.75" customHeight="1">
      <c r="A3954" s="10" t="n">
        <v>7</v>
      </c>
      <c r="B3954" s="10" t="inlineStr">
        <is>
          <t>Insumo</t>
        </is>
      </c>
      <c r="C3954" s="10" t="inlineStr">
        <is>
          <t>Pintura em Látex Acrilica para demarcação de vagas em parede, 2 demão</t>
        </is>
      </c>
      <c r="D3954" s="10" t="inlineStr">
        <is>
          <t>Disco de lixa telado (Diâmetro 225mm) - Grão 220</t>
        </is>
      </c>
      <c r="E3954" s="11">
        <f t="array" ref="E3954">_xlfn.XLOOKUP(D3954,Insumos!B:B,Insumos!C:$C)</f>
        <v/>
      </c>
      <c r="F3954" s="14" t="n">
        <v>0.02488</v>
      </c>
      <c r="G3954" s="92">
        <f t="array" ref="G3954">IF(B3954="insumo",_xlfn.XLOOKUP($D3954,Insumos!$B$1:$B$996,Insumos!$D$1:$D$996),"")</f>
        <v/>
      </c>
      <c r="H3954" s="92" t="n">
        <v>0.13062</v>
      </c>
      <c r="I3954" s="2162" t="e">
        <v>#REF!</v>
      </c>
      <c r="J3954" s="2162" t="e">
        <v>#REF!</v>
      </c>
      <c r="K3954" s="2162" t="n"/>
    </row>
    <row r="3955" outlineLevel="3" ht="15.75" customHeight="1">
      <c r="A3955" s="10" t="n">
        <v>7</v>
      </c>
      <c r="B3955" s="10" t="inlineStr">
        <is>
          <t>Insumo</t>
        </is>
      </c>
      <c r="C3955" s="10" t="inlineStr">
        <is>
          <t>Pintura em Látex Acrilica para demarcação de vagas em parede, 2 demão</t>
        </is>
      </c>
      <c r="D3955" s="10" t="inlineStr">
        <is>
          <t>Fita Crepe 50mm x 50mt Azul</t>
        </is>
      </c>
      <c r="E3955" s="11">
        <f t="array" ref="E3955">_xlfn.XLOOKUP(D3955,Insumos!B:B,Insumos!C:$C)</f>
        <v/>
      </c>
      <c r="F3955" s="14" t="n">
        <v>0.002132</v>
      </c>
      <c r="G3955" s="92">
        <f t="array" ref="G3955">IF(B3955="insumo",_xlfn.XLOOKUP($D3955,Insumos!$B$1:$B$996,Insumos!$D$1:$D$996),"")</f>
        <v/>
      </c>
      <c r="H3955" s="92" t="n">
        <v>0.0786708</v>
      </c>
      <c r="I3955" s="2162" t="e">
        <v>#REF!</v>
      </c>
      <c r="J3955" s="2162" t="e">
        <v>#REF!</v>
      </c>
      <c r="K3955" s="2162" t="n"/>
    </row>
    <row r="3956" outlineLevel="3" ht="15.75" customHeight="1">
      <c r="A3956" s="10" t="n">
        <v>36</v>
      </c>
      <c r="B3956" s="10" t="inlineStr">
        <is>
          <t>Insumo</t>
        </is>
      </c>
      <c r="C3956" s="10" t="inlineStr">
        <is>
          <t>Pintura em Látex Acrilica para demarcação de vagas em parede, 2 demão</t>
        </is>
      </c>
      <c r="D3956" s="10" t="inlineStr">
        <is>
          <t>LIXA DAGUA 225X275MM GR100</t>
        </is>
      </c>
      <c r="E3956" s="11">
        <f t="array" ref="E3956">_xlfn.XLOOKUP(D3956,Insumos!B:B,Insumos!C:$C)</f>
        <v/>
      </c>
      <c r="F3956" s="14" t="n">
        <v>0.01522</v>
      </c>
      <c r="G3956" s="92">
        <f t="array" ref="G3956">IF(B3956="insumo",_xlfn.XLOOKUP($D3956,Insumos!$B$1:$B$996,Insumos!$D$1:$D$996),"")</f>
        <v/>
      </c>
      <c r="H3956" s="92" t="n">
        <v>0.0287658</v>
      </c>
      <c r="I3956" s="2162" t="e">
        <v>#REF!</v>
      </c>
      <c r="J3956" s="2162" t="e">
        <v>#REF!</v>
      </c>
      <c r="K3956" s="2162" t="n"/>
    </row>
    <row r="3957" outlineLevel="2" ht="15.75" customHeight="1">
      <c r="A3957" s="1067" t="n">
        <v>1</v>
      </c>
      <c r="B3957" s="1067" t="inlineStr">
        <is>
          <t>Serviço</t>
        </is>
      </c>
      <c r="C3957" s="1067" t="inlineStr">
        <is>
          <t>Pintura Com Tinta Latex Acrilica em Paredes Internas, 3 Demaos (Somente tinta e fundo)</t>
        </is>
      </c>
      <c r="D3957" s="1067" t="inlineStr">
        <is>
          <t>Pintura Com Tinta Latex Acrilica em Paredes Internas, 3 Demaos (Somente tinta e fundo)</t>
        </is>
      </c>
      <c r="E3957" s="1068" t="inlineStr">
        <is>
          <t>M2</t>
        </is>
      </c>
      <c r="F3957" s="1067" t="n"/>
      <c r="G3957" s="1069">
        <f t="array" ref="G3957">IF(B3957="insumo",_xlfn.XLOOKUP($D3957,Insumos!$B$1:$B$996,Insumos!$D$1:$D$996),"")</f>
        <v/>
      </c>
      <c r="H3957" s="1069" t="n">
        <v>13.205402</v>
      </c>
      <c r="I3957" s="2161" t="n">
        <v>0</v>
      </c>
      <c r="J3957" s="2161" t="n">
        <v>0</v>
      </c>
      <c r="K3957" s="2161" t="n"/>
    </row>
    <row r="3958" outlineLevel="3" ht="15.75" customHeight="1">
      <c r="A3958" s="10" t="n">
        <v>16</v>
      </c>
      <c r="B3958" s="10" t="inlineStr">
        <is>
          <t>Insumo</t>
        </is>
      </c>
      <c r="C3958" s="10" t="inlineStr">
        <is>
          <t>Pintura Com Tinta Latex Acrilica em Paredes Internas, 3 Demaos (Somente tinta e fundo)</t>
        </is>
      </c>
      <c r="D3958" s="10" t="inlineStr">
        <is>
          <t xml:space="preserve">TINTA ACRILICA PREMIUM </t>
        </is>
      </c>
      <c r="E3958" s="11">
        <f t="array" ref="E3958">_xlfn.XLOOKUP(D3958,Insumos!B:B,Insumos!C:$C)</f>
        <v/>
      </c>
      <c r="F3958" s="14" t="n">
        <v>0.495</v>
      </c>
      <c r="G3958" s="92">
        <f t="array" ref="G3958">IF(B3958="insumo",_xlfn.XLOOKUP($D3958,Insumos!$B$1:$B$996,Insumos!$D$1:$D$996),"")</f>
        <v/>
      </c>
      <c r="H3958" s="92" t="n">
        <v>12.1275</v>
      </c>
      <c r="I3958" s="2162" t="n">
        <v>0</v>
      </c>
      <c r="J3958" s="2162" t="n">
        <v>0</v>
      </c>
      <c r="K3958" s="2162" t="n"/>
    </row>
    <row r="3959" outlineLevel="3" ht="15.75" customHeight="1">
      <c r="A3959" s="10" t="n">
        <v>31</v>
      </c>
      <c r="B3959" s="10" t="inlineStr">
        <is>
          <t>Insumo</t>
        </is>
      </c>
      <c r="C3959" s="10" t="inlineStr">
        <is>
          <t>Pintura Com Tinta Latex Acrilica em Paredes Internas, 3 Demaos (Somente tinta e fundo)</t>
        </is>
      </c>
      <c r="D3959" s="10" t="inlineStr">
        <is>
          <t>Selador acrilico opaco premium interno/externo</t>
        </is>
      </c>
      <c r="E3959" s="11">
        <f t="array" ref="E3959">_xlfn.XLOOKUP(D3959,Insumos!B:B,Insumos!C:$C)</f>
        <v/>
      </c>
      <c r="F3959" s="14" t="n">
        <v>0.1666</v>
      </c>
      <c r="G3959" s="92">
        <f t="array" ref="G3959">IF(B3959="insumo",_xlfn.XLOOKUP($D3959,Insumos!$B$1:$B$996,Insumos!$D$1:$D$996),"")</f>
        <v/>
      </c>
      <c r="H3959" s="92" t="n">
        <v>1.077902</v>
      </c>
      <c r="I3959" s="2162" t="n">
        <v>0</v>
      </c>
      <c r="J3959" s="2162" t="n">
        <v>0</v>
      </c>
      <c r="K3959" s="2162" t="n"/>
    </row>
    <row r="3960" outlineLevel="2" ht="15.75" customHeight="1">
      <c r="A3960" s="1067" t="n">
        <v>1</v>
      </c>
      <c r="B3960" s="1067" t="inlineStr">
        <is>
          <t>Serviço</t>
        </is>
      </c>
      <c r="C3960" s="1067" t="inlineStr">
        <is>
          <t>Textura acrílica aplicação em paredes internas, 1 demão - Diore Ornamentali Bege Bahia</t>
        </is>
      </c>
      <c r="D3960" s="1067" t="inlineStr">
        <is>
          <t>Textura acrílica aplicação em paredes internas, 1 demão - Diore Ornamentali Bege Bahia</t>
        </is>
      </c>
      <c r="E3960" s="1068" t="inlineStr">
        <is>
          <t>M2</t>
        </is>
      </c>
      <c r="F3960" s="1067" t="n"/>
      <c r="G3960" s="1069">
        <f t="array" ref="G3960">IF(B3960="insumo",_xlfn.XLOOKUP($D3960,Insumos!$B$1:$B$996,Insumos!$D$1:$D$996),"")</f>
        <v/>
      </c>
      <c r="H3960" s="1069" t="n">
        <v>39.6</v>
      </c>
      <c r="I3960" s="2161" t="e">
        <v>#REF!</v>
      </c>
      <c r="J3960" s="2161" t="e">
        <v>#REF!</v>
      </c>
      <c r="K3960" s="2161" t="n"/>
    </row>
    <row r="3961" outlineLevel="3" ht="15.75" customHeight="1">
      <c r="A3961" s="10" t="n">
        <v>2</v>
      </c>
      <c r="B3961" s="10" t="inlineStr">
        <is>
          <t>Insumo</t>
        </is>
      </c>
      <c r="C3961" s="10" t="inlineStr">
        <is>
          <t>Textura acrílica aplicação em paredes internas, 1 demão - Diore Ornamentali Bege Bahia</t>
        </is>
      </c>
      <c r="D3961" s="10" t="inlineStr">
        <is>
          <t xml:space="preserve">revestimento Diore Ornamentali na cor Bege Bahia </t>
        </is>
      </c>
      <c r="E3961" s="11">
        <f t="array" ref="E3961">_xlfn.XLOOKUP(D3961,Insumos!B:B,Insumos!C:$C)</f>
        <v/>
      </c>
      <c r="F3961" s="14" t="n">
        <v>1.5</v>
      </c>
      <c r="G3961" s="92">
        <f t="array" ref="G3961">IF(B3961="insumo",_xlfn.XLOOKUP($D3961,Insumos!$B$1:$B$996,Insumos!$D$1:$D$996),"")</f>
        <v/>
      </c>
      <c r="H3961" s="92" t="n">
        <v>39.6</v>
      </c>
      <c r="I3961" s="2162" t="e">
        <v>#REF!</v>
      </c>
      <c r="J3961" s="2162" t="e">
        <v>#REF!</v>
      </c>
      <c r="K3961" s="2162" t="n"/>
    </row>
    <row r="3962" outlineLevel="2" ht="15.75" customHeight="1">
      <c r="A3962" s="1067" t="n">
        <v>1</v>
      </c>
      <c r="B3962" s="1067" t="inlineStr">
        <is>
          <t>Serviço</t>
        </is>
      </c>
      <c r="C3962" s="1067" t="inlineStr">
        <is>
          <t>Pintura Com Tinta Latex Acrilica em Paredes Internas, 3 Demaos (Somente tinta) - Suvinil Azul Etéreo</t>
        </is>
      </c>
      <c r="D3962" s="1067" t="inlineStr">
        <is>
          <t>Pintura Com Tinta Latex Acrilica em Paredes Internas, 3 Demaos (Somente tinta) - Suvinil Azul Etéreo</t>
        </is>
      </c>
      <c r="E3962" s="1068" t="inlineStr">
        <is>
          <t>M2</t>
        </is>
      </c>
      <c r="F3962" s="1067" t="n"/>
      <c r="G3962" s="1069">
        <f t="array" ref="G3962">IF(B3962="insumo",_xlfn.XLOOKUP($D3962,Insumos!$B$1:$B$996,Insumos!$D$1:$D$996),"")</f>
        <v/>
      </c>
      <c r="H3962" s="1069" t="n">
        <v>22.507959375</v>
      </c>
      <c r="I3962" s="2161" t="e">
        <v>#REF!</v>
      </c>
      <c r="J3962" s="2161" t="e">
        <v>#REF!</v>
      </c>
      <c r="K3962" s="2161" t="n"/>
    </row>
    <row r="3963" outlineLevel="3" ht="15.75" customHeight="1">
      <c r="A3963" s="10" t="n">
        <v>2</v>
      </c>
      <c r="B3963" s="10" t="inlineStr">
        <is>
          <t>Insumo</t>
        </is>
      </c>
      <c r="C3963" s="10" t="inlineStr">
        <is>
          <t>Pintura Com Tinta Latex Acrilica em Paredes Internas, 3 Demaos (Somente tinta) - Suvinil Azul Etéreo</t>
        </is>
      </c>
      <c r="D3963" s="10" t="inlineStr">
        <is>
          <t>TINTA ACRILICA PREMIUM AZUL ETÉREO</t>
        </is>
      </c>
      <c r="E3963" s="11">
        <f t="array" ref="E3963">_xlfn.XLOOKUP(D3963,Insumos!B:B,Insumos!C:$C)</f>
        <v/>
      </c>
      <c r="F3963" s="14" t="n">
        <v>0.495</v>
      </c>
      <c r="G3963" s="92">
        <f t="array" ref="G3963">IF(B3963="insumo",_xlfn.XLOOKUP($D3963,Insumos!$B$1:$B$996,Insumos!$D$1:$D$996),"")</f>
        <v/>
      </c>
      <c r="H3963" s="92" t="n">
        <v>22.507959375</v>
      </c>
      <c r="I3963" s="2162" t="e">
        <v>#REF!</v>
      </c>
      <c r="J3963" s="2162" t="e">
        <v>#REF!</v>
      </c>
      <c r="K3963" s="2162" t="n"/>
    </row>
    <row r="3964" outlineLevel="2" ht="15.75" customHeight="1">
      <c r="A3964" s="1067" t="n">
        <v>1</v>
      </c>
      <c r="B3964" s="1067" t="inlineStr">
        <is>
          <t>Serviço</t>
        </is>
      </c>
      <c r="C3964" s="1067" t="inlineStr">
        <is>
          <t>Pintura Com Tinta Latex Acrilica em Paredes Internas, 3 Demaos (Somente tinta) - Suvinil Papel Picado</t>
        </is>
      </c>
      <c r="D3964" s="1067" t="inlineStr">
        <is>
          <t>Pintura Com Tinta Latex Acrilica em Paredes Internas, 3 Demaos (Somente tinta) - Suvinil Papel Picado</t>
        </is>
      </c>
      <c r="E3964" s="1068" t="inlineStr">
        <is>
          <t>M2</t>
        </is>
      </c>
      <c r="F3964" s="1067" t="n"/>
      <c r="G3964" s="1069">
        <f t="array" ref="G3964">IF(B3964="insumo",_xlfn.XLOOKUP($D3964,Insumos!$B$1:$B$996,Insumos!$D$1:$D$996),"")</f>
        <v/>
      </c>
      <c r="H3964" s="1069" t="n">
        <v>20.46886875</v>
      </c>
      <c r="I3964" s="2161" t="e">
        <v>#REF!</v>
      </c>
      <c r="J3964" s="2161" t="e">
        <v>#REF!</v>
      </c>
      <c r="K3964" s="2161" t="n"/>
    </row>
    <row r="3965" outlineLevel="3" ht="15.75" customHeight="1">
      <c r="A3965" s="10" t="n">
        <v>2</v>
      </c>
      <c r="B3965" s="10" t="inlineStr">
        <is>
          <t>Insumo</t>
        </is>
      </c>
      <c r="C3965" s="10" t="inlineStr">
        <is>
          <t>Pintura Com Tinta Latex Acrilica em Paredes Internas, 3 Demaos (Somente tinta) - Suvinil Papel Picado</t>
        </is>
      </c>
      <c r="D3965" s="10" t="inlineStr">
        <is>
          <t>TINTA ACRILICA PREMIUM  PAPEL PICADO</t>
        </is>
      </c>
      <c r="E3965" s="11">
        <f t="array" ref="E3965">_xlfn.XLOOKUP(D3965,Insumos!B:B,Insumos!C:$C)</f>
        <v/>
      </c>
      <c r="F3965" s="14" t="n">
        <v>0.495</v>
      </c>
      <c r="G3965" s="92">
        <f t="array" ref="G3965">IF(B3965="insumo",_xlfn.XLOOKUP($D3965,Insumos!$B$1:$B$996,Insumos!$D$1:$D$996),"")</f>
        <v/>
      </c>
      <c r="H3965" s="92" t="n">
        <v>20.46886875</v>
      </c>
      <c r="I3965" s="2162" t="e">
        <v>#REF!</v>
      </c>
      <c r="J3965" s="2162" t="e">
        <v>#REF!</v>
      </c>
      <c r="K3965" s="2162" t="n"/>
    </row>
    <row r="3966" outlineLevel="2" ht="15.75" customHeight="1">
      <c r="A3966" s="1067" t="n">
        <v>1</v>
      </c>
      <c r="B3966" s="1067" t="inlineStr">
        <is>
          <t>Serviço</t>
        </is>
      </c>
      <c r="C3966" s="1067" t="inlineStr">
        <is>
          <t xml:space="preserve">Textura acrílica aplicação em paredes internas, 1 demão - Textura Terracal / Marca: Terracor </t>
        </is>
      </c>
      <c r="D3966" s="1067" t="inlineStr">
        <is>
          <t xml:space="preserve">Textura acrílica aplicação em paredes internas, 1 demão - Textura Terracal / Marca: Terracor </t>
        </is>
      </c>
      <c r="E3966" s="1068" t="inlineStr">
        <is>
          <t>M2</t>
        </is>
      </c>
      <c r="F3966" s="1067" t="n"/>
      <c r="G3966" s="1069">
        <f t="array" ref="G3966">IF(B3966="insumo",_xlfn.XLOOKUP($D3966,Insumos!$B$1:$B$996,Insumos!$D$1:$D$996),"")</f>
        <v/>
      </c>
      <c r="H3966" s="1069" t="n">
        <v>66.75</v>
      </c>
      <c r="I3966" s="2161" t="e">
        <v>#REF!</v>
      </c>
      <c r="J3966" s="2161" t="e">
        <v>#REF!</v>
      </c>
      <c r="K3966" s="2161" t="n"/>
    </row>
    <row r="3967" outlineLevel="3" ht="15.75" customHeight="1">
      <c r="A3967" s="10" t="n">
        <v>3</v>
      </c>
      <c r="B3967" s="10" t="inlineStr">
        <is>
          <t>Insumo</t>
        </is>
      </c>
      <c r="C3967" s="10" t="inlineStr">
        <is>
          <t xml:space="preserve">Textura acrílica aplicação em paredes internas, 1 demão - Textura Terracal / Marca: Terracor </t>
        </is>
      </c>
      <c r="D3967" s="10" t="inlineStr">
        <is>
          <t xml:space="preserve">Textura Terracal / Marca: Terracor </t>
        </is>
      </c>
      <c r="E3967" s="11">
        <f t="array" ref="E3967">_xlfn.XLOOKUP(D3967,Insumos!B:B,Insumos!C:$C)</f>
        <v/>
      </c>
      <c r="F3967" s="14" t="n">
        <v>1.5</v>
      </c>
      <c r="G3967" s="92">
        <f t="array" ref="G3967">IF(B3967="insumo",_xlfn.XLOOKUP($D3967,Insumos!$B$1:$B$996,Insumos!$D$1:$D$996),"")</f>
        <v/>
      </c>
      <c r="H3967" s="92" t="n">
        <v>66.75</v>
      </c>
      <c r="I3967" s="2162" t="e">
        <v>#REF!</v>
      </c>
      <c r="J3967" s="2162" t="e">
        <v>#REF!</v>
      </c>
      <c r="K3967" s="2162" t="n"/>
    </row>
    <row r="3968" outlineLevel="2" ht="15.75" customHeight="1">
      <c r="A3968" s="1067" t="n">
        <v>1</v>
      </c>
      <c r="B3968" s="1067" t="inlineStr">
        <is>
          <t>Serviço</t>
        </is>
      </c>
      <c r="C3968" s="1067" t="inlineStr">
        <is>
          <t>Pintura Com Tinta Latex Acrilica em Paredes Internas, 3 Demaos (Somente tinta)</t>
        </is>
      </c>
      <c r="D3968" s="1067" t="inlineStr">
        <is>
          <t>Pintura Com Tinta Latex Acrilica em Paredes Internas, 3 Demaos (Somente tinta)</t>
        </is>
      </c>
      <c r="E3968" s="1068" t="inlineStr">
        <is>
          <t>M2</t>
        </is>
      </c>
      <c r="F3968" s="1067" t="n"/>
      <c r="G3968" s="1069">
        <f t="array" ref="G3968">IF(B3968="insumo",_xlfn.XLOOKUP($D3968,Insumos!$B$1:$B$996,Insumos!$D$1:$D$996),"")</f>
        <v/>
      </c>
      <c r="H3968" s="1069" t="n">
        <v>12.1275</v>
      </c>
      <c r="I3968" s="2161" t="e">
        <v>#REF!</v>
      </c>
      <c r="J3968" s="2161" t="e">
        <v>#REF!</v>
      </c>
      <c r="K3968" s="2161" t="n"/>
    </row>
    <row r="3969" outlineLevel="3" ht="15.75" customHeight="1">
      <c r="A3969" s="10" t="n">
        <v>16</v>
      </c>
      <c r="B3969" s="10" t="inlineStr">
        <is>
          <t>Insumo</t>
        </is>
      </c>
      <c r="C3969" s="10" t="inlineStr">
        <is>
          <t>Pintura Com Tinta Latex Acrilica em Paredes Internas, 3 Demaos (Somente tinta)</t>
        </is>
      </c>
      <c r="D3969" s="10" t="inlineStr">
        <is>
          <t xml:space="preserve">TINTA ACRILICA PREMIUM </t>
        </is>
      </c>
      <c r="E3969" s="11">
        <f t="array" ref="E3969">_xlfn.XLOOKUP(D3969,Insumos!B:B,Insumos!C:$C)</f>
        <v/>
      </c>
      <c r="F3969" s="14" t="n">
        <v>0.495</v>
      </c>
      <c r="G3969" s="92">
        <f t="array" ref="G3969">IF(B3969="insumo",_xlfn.XLOOKUP($D3969,Insumos!$B$1:$B$996,Insumos!$D$1:$D$996),"")</f>
        <v/>
      </c>
      <c r="H3969" s="92" t="n">
        <v>12.1275</v>
      </c>
      <c r="I3969" s="2162" t="e">
        <v>#REF!</v>
      </c>
      <c r="J3969" s="2162" t="e">
        <v>#REF!</v>
      </c>
      <c r="K3969" s="2162" t="n"/>
    </row>
    <row r="3970" outlineLevel="2" ht="15.75" customHeight="1">
      <c r="A3970" s="1067" t="n">
        <v>1</v>
      </c>
      <c r="B3970" s="1067" t="inlineStr">
        <is>
          <t>Serviço</t>
        </is>
      </c>
      <c r="C3970" s="1067" t="inlineStr">
        <is>
          <t>Pintura Com Tinta Latex Acrilica em Paredes Internas, 3 Demaos (Incluso fundo e massa)</t>
        </is>
      </c>
      <c r="D3970" s="1067" t="inlineStr">
        <is>
          <t>Pintura Com Tinta Latex Acrilica em Paredes Internas, 3 Demaos (Incluso fundo e massa)</t>
        </is>
      </c>
      <c r="E3970" s="1068" t="inlineStr">
        <is>
          <t>M2</t>
        </is>
      </c>
      <c r="F3970" s="1067" t="n"/>
      <c r="G3970" s="1069">
        <f t="array" ref="G3970">IF(B3970="insumo",_xlfn.XLOOKUP($D3970,Insumos!$B$1:$B$996,Insumos!$D$1:$D$996),"")</f>
        <v/>
      </c>
      <c r="H3970" s="1069" t="n">
        <v>17.554562</v>
      </c>
      <c r="I3970" s="2161" t="n">
        <v>0</v>
      </c>
      <c r="J3970" s="2161" t="n">
        <v>0</v>
      </c>
      <c r="K3970" s="2161" t="n"/>
    </row>
    <row r="3971" outlineLevel="3" ht="15.75" customHeight="1">
      <c r="A3971" s="10" t="n">
        <v>36</v>
      </c>
      <c r="B3971" s="10" t="inlineStr">
        <is>
          <t>Insumo</t>
        </is>
      </c>
      <c r="C3971" s="10" t="inlineStr">
        <is>
          <t>Pintura Com Tinta Latex Acrilica em Paredes Internas, 3 Demaos (Incluso fundo e massa)</t>
        </is>
      </c>
      <c r="D3971" s="10" t="inlineStr">
        <is>
          <t>LIXA DAGUA 225X275MM GR100</t>
        </is>
      </c>
      <c r="E3971" s="11">
        <f t="array" ref="E3971">_xlfn.XLOOKUP(D3971,Insumos!B:B,Insumos!C:$C)</f>
        <v/>
      </c>
      <c r="F3971" s="14" t="n">
        <v>0.1</v>
      </c>
      <c r="G3971" s="92">
        <f t="array" ref="G3971">IF(B3971="insumo",_xlfn.XLOOKUP($D3971,Insumos!$B$1:$B$996,Insumos!$D$1:$D$996),"")</f>
        <v/>
      </c>
      <c r="H3971" s="92" t="n">
        <v>0.189</v>
      </c>
      <c r="I3971" s="2162" t="n">
        <v>0</v>
      </c>
      <c r="J3971" s="2162" t="n">
        <v>0</v>
      </c>
      <c r="K3971" s="2162" t="n"/>
    </row>
    <row r="3972" outlineLevel="3" ht="15.75" customHeight="1">
      <c r="A3972" s="10" t="n">
        <v>21</v>
      </c>
      <c r="B3972" s="10" t="inlineStr">
        <is>
          <t>Insumo</t>
        </is>
      </c>
      <c r="C3972" s="10" t="inlineStr">
        <is>
          <t>Pintura Com Tinta Latex Acrilica em Paredes Internas, 3 Demaos (Incluso fundo e massa)</t>
        </is>
      </c>
      <c r="D3972" s="10" t="inlineStr">
        <is>
          <t>Massa corrida para superfícies de ambientes internos</t>
        </is>
      </c>
      <c r="E3972" s="11">
        <f t="array" ref="E3972">_xlfn.XLOOKUP(D3972,Insumos!B:B,Insumos!C:$C)</f>
        <v/>
      </c>
      <c r="F3972" s="14" t="n">
        <v>0.8667</v>
      </c>
      <c r="G3972" s="92">
        <f t="array" ref="G3972">IF(B3972="insumo",_xlfn.XLOOKUP($D3972,Insumos!$B$1:$B$996,Insumos!$D$1:$D$996),"")</f>
        <v/>
      </c>
      <c r="H3972" s="92" t="n">
        <v>4.16016</v>
      </c>
      <c r="I3972" s="2162" t="n">
        <v>0</v>
      </c>
      <c r="J3972" s="2162" t="n">
        <v>0</v>
      </c>
      <c r="K3972" s="2162" t="n"/>
    </row>
    <row r="3973" outlineLevel="3" ht="15.75" customHeight="1">
      <c r="A3973" s="10" t="n">
        <v>31</v>
      </c>
      <c r="B3973" s="10" t="inlineStr">
        <is>
          <t>Insumo</t>
        </is>
      </c>
      <c r="C3973" s="10" t="inlineStr">
        <is>
          <t>Pintura Com Tinta Latex Acrilica em Paredes Internas, 3 Demaos (Incluso fundo e massa)</t>
        </is>
      </c>
      <c r="D3973" s="10" t="inlineStr">
        <is>
          <t>Selador acrilico opaco premium interno/externo</t>
        </is>
      </c>
      <c r="E3973" s="11">
        <f t="array" ref="E3973">_xlfn.XLOOKUP(D3973,Insumos!B:B,Insumos!C:$C)</f>
        <v/>
      </c>
      <c r="F3973" s="14" t="n">
        <v>0.1666</v>
      </c>
      <c r="G3973" s="92">
        <f t="array" ref="G3973">IF(B3973="insumo",_xlfn.XLOOKUP($D3973,Insumos!$B$1:$B$996,Insumos!$D$1:$D$996),"")</f>
        <v/>
      </c>
      <c r="H3973" s="92" t="n">
        <v>1.077902</v>
      </c>
      <c r="I3973" s="2162" t="n">
        <v>0</v>
      </c>
      <c r="J3973" s="2162" t="n">
        <v>0</v>
      </c>
      <c r="K3973" s="2162" t="n"/>
    </row>
    <row r="3974" outlineLevel="3" ht="15.75" customHeight="1">
      <c r="A3974" s="10" t="n">
        <v>16</v>
      </c>
      <c r="B3974" s="10" t="inlineStr">
        <is>
          <t>Insumo</t>
        </is>
      </c>
      <c r="C3974" s="10" t="inlineStr">
        <is>
          <t>Pintura Com Tinta Latex Acrilica em Paredes Internas, 3 Demaos (Incluso fundo e massa)</t>
        </is>
      </c>
      <c r="D3974" s="10" t="inlineStr">
        <is>
          <t xml:space="preserve">TINTA ACRILICA PREMIUM </t>
        </is>
      </c>
      <c r="E3974" s="11">
        <f t="array" ref="E3974">_xlfn.XLOOKUP(D3974,Insumos!B:B,Insumos!C:$C)</f>
        <v/>
      </c>
      <c r="F3974" s="14" t="n">
        <v>0.495</v>
      </c>
      <c r="G3974" s="92">
        <f t="array" ref="G3974">IF(B3974="insumo",_xlfn.XLOOKUP($D3974,Insumos!$B$1:$B$996,Insumos!$D$1:$D$996),"")</f>
        <v/>
      </c>
      <c r="H3974" s="92" t="n">
        <v>12.1275</v>
      </c>
      <c r="I3974" s="2162" t="n">
        <v>0</v>
      </c>
      <c r="J3974" s="2162" t="n">
        <v>0</v>
      </c>
      <c r="K3974" s="2162" t="n"/>
    </row>
    <row r="3975" outlineLevel="2" ht="15.75" customHeight="1">
      <c r="A3975" s="1067" t="n">
        <v>1</v>
      </c>
      <c r="B3975" s="1067" t="inlineStr">
        <is>
          <t>Serviço</t>
        </is>
      </c>
      <c r="C3975" s="1067" t="inlineStr">
        <is>
          <t>Pintura Com Tinta Epoxi em Paredes Internas, Faixas Preto e Amarelo h=30cm</t>
        </is>
      </c>
      <c r="D3975" s="1067" t="inlineStr">
        <is>
          <t>Pintura Com Tinta Epoxi em Paredes Internas, Faixas Preto e Amarelo h=30cm</t>
        </is>
      </c>
      <c r="E3975" s="1068" t="inlineStr">
        <is>
          <t>M</t>
        </is>
      </c>
      <c r="F3975" s="1067" t="n"/>
      <c r="G3975" s="1069">
        <f t="array" ref="G3975">IF(B3975="insumo",_xlfn.XLOOKUP($D3975,Insumos!$B$1:$B$996,Insumos!$D$1:$D$996),"")</f>
        <v/>
      </c>
      <c r="H3975" s="1069" t="n">
        <v>21.1701092</v>
      </c>
      <c r="I3975" s="2161" t="n">
        <v>0</v>
      </c>
      <c r="J3975" s="2161" t="n">
        <v>0</v>
      </c>
      <c r="K3975" s="2161" t="n"/>
    </row>
    <row r="3976" outlineLevel="3" ht="15.75" customHeight="1">
      <c r="A3976" s="10" t="n">
        <v>9</v>
      </c>
      <c r="B3976" s="10" t="inlineStr">
        <is>
          <t>Insumo</t>
        </is>
      </c>
      <c r="C3976" s="10" t="inlineStr">
        <is>
          <t>Pintura Com Tinta Epoxi em Paredes Internas, Faixas Preto e Amarelo h=30cm</t>
        </is>
      </c>
      <c r="D3976" s="10" t="inlineStr">
        <is>
          <t>Diluente Epoxi</t>
        </is>
      </c>
      <c r="E3976" s="11">
        <f t="array" ref="E3976">_xlfn.XLOOKUP(D3976,Insumos!B:B,Insumos!C:$C)</f>
        <v/>
      </c>
      <c r="F3976" s="14">
        <f>0.064*0.3</f>
        <v/>
      </c>
      <c r="G3976" s="92">
        <f t="array" ref="G3976">IF(B3976="insumo",_xlfn.XLOOKUP($D3976,Insumos!$B$1:$B$996,Insumos!$D$1:$D$996),"")</f>
        <v/>
      </c>
      <c r="H3976" s="92" t="n">
        <v>0.962304</v>
      </c>
      <c r="I3976" s="2162" t="n">
        <v>0</v>
      </c>
      <c r="J3976" s="2162" t="n">
        <v>0</v>
      </c>
      <c r="K3976" s="2162" t="n"/>
    </row>
    <row r="3977" outlineLevel="3" ht="15.75" customHeight="1">
      <c r="A3977" s="10" t="n">
        <v>25</v>
      </c>
      <c r="B3977" s="10" t="inlineStr">
        <is>
          <t>Insumo</t>
        </is>
      </c>
      <c r="C3977" s="10" t="inlineStr">
        <is>
          <t>Pintura Com Tinta Epoxi em Paredes Internas, Faixas Preto e Amarelo h=30cm</t>
        </is>
      </c>
      <c r="D3977" s="10" t="inlineStr">
        <is>
          <t>Fita Crepe Rolo De 25 Mm X 50 M</t>
        </is>
      </c>
      <c r="E3977" s="11">
        <f t="array" ref="E3977">_xlfn.XLOOKUP(D3977,Insumos!B:B,Insumos!C:$C)</f>
        <v/>
      </c>
      <c r="F3977" s="14">
        <f>0.01*0.3</f>
        <v/>
      </c>
      <c r="G3977" s="92">
        <f t="array" ref="G3977">IF(B3977="insumo",_xlfn.XLOOKUP($D3977,Insumos!$B$1:$B$996,Insumos!$D$1:$D$996),"")</f>
        <v/>
      </c>
      <c r="H3977" s="92" t="n">
        <v>0.03378</v>
      </c>
      <c r="I3977" s="2162" t="n">
        <v>0</v>
      </c>
      <c r="J3977" s="2162" t="n">
        <v>0</v>
      </c>
      <c r="K3977" s="2162" t="n"/>
    </row>
    <row r="3978" outlineLevel="3" ht="15.75" customHeight="1">
      <c r="A3978" s="10" t="n">
        <v>8</v>
      </c>
      <c r="B3978" s="10" t="inlineStr">
        <is>
          <t>Insumo</t>
        </is>
      </c>
      <c r="C3978" s="10" t="inlineStr">
        <is>
          <t>Pintura Com Tinta Epoxi em Paredes Internas, Faixas Preto e Amarelo h=30cm</t>
        </is>
      </c>
      <c r="D3978" s="10" t="inlineStr">
        <is>
          <t>Primer Epoxi / Epoxidico</t>
        </is>
      </c>
      <c r="E3978" s="11">
        <f t="array" ref="E3978">_xlfn.XLOOKUP(D3978,Insumos!B:B,Insumos!C:$C)</f>
        <v/>
      </c>
      <c r="F3978" s="14">
        <f>0.2016*0.3</f>
        <v/>
      </c>
      <c r="G3978" s="92">
        <f t="array" ref="G3978">IF(B3978="insumo",_xlfn.XLOOKUP($D3978,Insumos!$B$1:$B$996,Insumos!$D$1:$D$996),"")</f>
        <v/>
      </c>
      <c r="H3978" s="92" t="n">
        <v>8.3002752</v>
      </c>
      <c r="I3978" s="2162" t="n">
        <v>0</v>
      </c>
      <c r="J3978" s="2162" t="n">
        <v>0</v>
      </c>
      <c r="K3978" s="2162" t="n"/>
    </row>
    <row r="3979" outlineLevel="3" ht="15.75" customHeight="1">
      <c r="A3979" s="10" t="n">
        <v>9</v>
      </c>
      <c r="B3979" s="10" t="inlineStr">
        <is>
          <t>Insumo</t>
        </is>
      </c>
      <c r="C3979" s="10" t="inlineStr">
        <is>
          <t>Pintura Com Tinta Epoxi em Paredes Internas, Faixas Preto e Amarelo h=30cm</t>
        </is>
      </c>
      <c r="D3979" s="10" t="inlineStr">
        <is>
          <t>Tinta Epoxi Base Agua Premium</t>
        </is>
      </c>
      <c r="E3979" s="11">
        <f t="array" ref="E3979">_xlfn.XLOOKUP(D3979,Insumos!B:B,Insumos!C:$C)</f>
        <v/>
      </c>
      <c r="F3979" s="14">
        <f>0.483*0.3</f>
        <v/>
      </c>
      <c r="G3979" s="92">
        <f t="array" ref="G3979">IF(B3979="insumo",_xlfn.XLOOKUP($D3979,Insumos!$B$1:$B$996,Insumos!$D$1:$D$996),"")</f>
        <v/>
      </c>
      <c r="H3979" s="92" t="n">
        <v>11.87375</v>
      </c>
      <c r="I3979" s="2162" t="n">
        <v>0</v>
      </c>
      <c r="J3979" s="2162" t="n">
        <v>0</v>
      </c>
      <c r="K3979" s="2162" t="n"/>
    </row>
    <row r="3980" outlineLevel="2" ht="12.75" customHeight="1">
      <c r="A3980" s="1071" t="n">
        <v>1</v>
      </c>
      <c r="B3980" s="1071" t="inlineStr">
        <is>
          <t>Serviço</t>
        </is>
      </c>
      <c r="C3980" s="1071" t="inlineStr">
        <is>
          <t>Textura acrílica aplicação em paredes internas, 1 demão (sem selador)</t>
        </is>
      </c>
      <c r="D3980" s="1071" t="inlineStr">
        <is>
          <t>Textura acrílica aplicação em paredes internas, 1 demão (sem selador)</t>
        </is>
      </c>
      <c r="E3980" s="1072" t="inlineStr">
        <is>
          <t>M2</t>
        </is>
      </c>
      <c r="F3980" s="1071" t="n"/>
      <c r="G3980" s="1073">
        <f t="array" ref="G3980">IF(B3980="insumo",_xlfn.XLOOKUP($D3980,Insumos!$B$1:$B$996,Insumos!$D$1:$D$996),"")</f>
        <v/>
      </c>
      <c r="H3980" s="1073" t="n">
        <v>13.6363636363636</v>
      </c>
      <c r="I3980" s="2163" t="n">
        <v>0</v>
      </c>
      <c r="J3980" s="2163" t="n">
        <v>0</v>
      </c>
      <c r="K3980" s="2163" t="n"/>
    </row>
    <row r="3981" outlineLevel="3" ht="12.75" customHeight="1">
      <c r="A3981" s="82" t="n">
        <v>5</v>
      </c>
      <c r="B3981" s="82" t="inlineStr">
        <is>
          <t>Insumo</t>
        </is>
      </c>
      <c r="C3981" s="82" t="inlineStr">
        <is>
          <t>Textura acrílica aplicação em paredes internas, 1 demão (sem selador)</t>
        </is>
      </c>
      <c r="D3981" s="82" t="inlineStr">
        <is>
          <t>MASSA PREMIUM PARA TEXTURA LISA DE BASE ACRILICA</t>
        </is>
      </c>
      <c r="E3981" s="11">
        <f t="array" ref="E3981">_xlfn.XLOOKUP(D3981,Insumos!B:B,Insumos!C:$C)</f>
        <v/>
      </c>
      <c r="F3981" s="2164" t="n">
        <v>1.5</v>
      </c>
      <c r="G3981" s="92">
        <f t="array" ref="G3981">IF(B3981="insumo",_xlfn.XLOOKUP($D3981,Insumos!$B$1:$B$996,Insumos!$D$1:$D$996),"")</f>
        <v/>
      </c>
      <c r="H3981" s="92" t="n">
        <v>13.6363636363636</v>
      </c>
      <c r="I3981" s="2165" t="n">
        <v>0</v>
      </c>
      <c r="J3981" s="2165" t="n">
        <v>0</v>
      </c>
      <c r="K3981" s="2165" t="n"/>
    </row>
    <row r="3982" outlineLevel="2" ht="12.75" customHeight="1">
      <c r="A3982" s="1071" t="n">
        <v>1</v>
      </c>
      <c r="B3982" s="1071" t="inlineStr">
        <is>
          <t>Serviço</t>
        </is>
      </c>
      <c r="C3982" s="1071" t="inlineStr">
        <is>
          <t>Pintura em Látex Acrilica para faixa de garagem, em parede, 2 demão</t>
        </is>
      </c>
      <c r="D3982" s="1071" t="inlineStr">
        <is>
          <t>Pintura em Látex Acrilica para faixa de garagem, em parede, 2 demão</t>
        </is>
      </c>
      <c r="E3982" s="1072" t="inlineStr">
        <is>
          <t>M2</t>
        </is>
      </c>
      <c r="F3982" s="1071" t="n"/>
      <c r="G3982" s="1073">
        <f t="array" ref="G3982">IF(B3982="insumo",_xlfn.XLOOKUP($D3982,Insumos!$B$1:$B$996,Insumos!$D$1:$D$996),"")</f>
        <v/>
      </c>
      <c r="H3982" s="1073" t="n">
        <v>16.1866266666667</v>
      </c>
      <c r="I3982" s="2163" t="n">
        <v>0</v>
      </c>
      <c r="J3982" s="2163" t="n">
        <v>0</v>
      </c>
      <c r="K3982" s="2163" t="n"/>
    </row>
    <row r="3983" outlineLevel="3" ht="12.75" customHeight="1">
      <c r="A3983" s="82" t="n">
        <v>25</v>
      </c>
      <c r="B3983" s="82" t="inlineStr">
        <is>
          <t>Insumo</t>
        </is>
      </c>
      <c r="C3983" s="82" t="inlineStr">
        <is>
          <t>Pintura em Látex Acrilica para faixa de garagem, em parede, 2 demão</t>
        </is>
      </c>
      <c r="D3983" s="82" t="inlineStr">
        <is>
          <t>Fita Crepe Rolo De 25 Mm X 50 M</t>
        </is>
      </c>
      <c r="E3983" s="11">
        <f t="array" ref="E3983">_xlfn.XLOOKUP(D3983,Insumos!B:B,Insumos!C:$C)</f>
        <v/>
      </c>
      <c r="F3983" s="2164" t="n">
        <v>0.01</v>
      </c>
      <c r="G3983" s="92">
        <f t="array" ref="G3983">IF(B3983="insumo",_xlfn.XLOOKUP($D3983,Insumos!$B$1:$B$996,Insumos!$D$1:$D$996),"")</f>
        <v/>
      </c>
      <c r="H3983" s="92" t="n">
        <v>0.1126</v>
      </c>
      <c r="I3983" s="2165" t="n">
        <v>0</v>
      </c>
      <c r="J3983" s="2165" t="n">
        <v>0</v>
      </c>
      <c r="K3983" s="2165" t="n"/>
    </row>
    <row r="3984" outlineLevel="3" ht="12.75" customHeight="1">
      <c r="A3984" s="82" t="n">
        <v>6</v>
      </c>
      <c r="B3984" s="82" t="inlineStr">
        <is>
          <t>Insumo</t>
        </is>
      </c>
      <c r="C3984" s="82" t="inlineStr">
        <is>
          <t>Pintura em Látex Acrilica para faixa de garagem, em parede, 2 demão</t>
        </is>
      </c>
      <c r="D3984" s="82" t="inlineStr">
        <is>
          <t>DILUENTE AGUARRAS</t>
        </is>
      </c>
      <c r="E3984" s="11">
        <f t="array" ref="E3984">_xlfn.XLOOKUP(D3984,Insumos!B:B,Insumos!C:$C)</f>
        <v/>
      </c>
      <c r="F3984" s="2164" t="n">
        <v>0.064</v>
      </c>
      <c r="G3984" s="92">
        <f t="array" ref="G3984">IF(B3984="insumo",_xlfn.XLOOKUP($D3984,Insumos!$B$1:$B$996,Insumos!$D$1:$D$996),"")</f>
        <v/>
      </c>
      <c r="H3984" s="92" t="n">
        <v>1.40736</v>
      </c>
      <c r="I3984" s="2165" t="n">
        <v>0</v>
      </c>
      <c r="J3984" s="2165" t="n">
        <v>0</v>
      </c>
      <c r="K3984" s="2165" t="n"/>
    </row>
    <row r="3985" outlineLevel="3" ht="12.75" customHeight="1">
      <c r="A3985" s="82" t="n">
        <v>4</v>
      </c>
      <c r="B3985" s="82" t="inlineStr">
        <is>
          <t>Insumo</t>
        </is>
      </c>
      <c r="C3985" s="82" t="inlineStr">
        <is>
          <t>Pintura em Látex Acrilica para faixa de garagem, em parede, 2 demão</t>
        </is>
      </c>
      <c r="D3985" s="82" t="inlineStr">
        <is>
          <t>TINTA ACRILICA PREMIUM COR PRETA</t>
        </is>
      </c>
      <c r="E3985" s="11">
        <f t="array" ref="E3985">_xlfn.XLOOKUP(D3985,Insumos!B:B,Insumos!C:$C)</f>
        <v/>
      </c>
      <c r="F3985" s="2164">
        <f>0.33/2</f>
        <v/>
      </c>
      <c r="G3985" s="92">
        <f t="array" ref="G3985">IF(B3985="insumo",_xlfn.XLOOKUP($D3985,Insumos!$B$1:$B$996,Insumos!$D$1:$D$996),"")</f>
        <v/>
      </c>
      <c r="H3985" s="92" t="n">
        <v>11.4583333333333</v>
      </c>
      <c r="I3985" s="2165" t="n">
        <v>0</v>
      </c>
      <c r="J3985" s="2165" t="n">
        <v>0</v>
      </c>
      <c r="K3985" s="2165" t="n"/>
    </row>
    <row r="3986" outlineLevel="3" ht="12.75" customHeight="1">
      <c r="A3986" s="82" t="n">
        <v>1</v>
      </c>
      <c r="B3986" s="82" t="inlineStr">
        <is>
          <t>Insumo</t>
        </is>
      </c>
      <c r="C3986" s="82" t="inlineStr">
        <is>
          <t>Pintura em Látex Acrilica para faixa de garagem, em parede, 2 demão</t>
        </is>
      </c>
      <c r="D3986" s="82" t="inlineStr">
        <is>
          <t>TINTA ACRILICA PREMIUM COR AMARELA</t>
        </is>
      </c>
      <c r="E3986" s="11">
        <f t="array" ref="E3986">_xlfn.XLOOKUP(D3986,Insumos!B:B,Insumos!C:$C)</f>
        <v/>
      </c>
      <c r="F3986" s="2164">
        <f>0.33/2</f>
        <v/>
      </c>
      <c r="G3986" s="92">
        <f t="array" ref="G3986">IF(B3986="insumo",_xlfn.XLOOKUP($D3986,Insumos!$B$1:$B$996,Insumos!$D$1:$D$996),"")</f>
        <v/>
      </c>
      <c r="H3986" s="92" t="n">
        <v>3.20833333333333</v>
      </c>
      <c r="I3986" s="2165" t="n">
        <v>0</v>
      </c>
      <c r="J3986" s="2165" t="n">
        <v>0</v>
      </c>
      <c r="K3986" s="2165" t="n"/>
    </row>
    <row r="3987" outlineLevel="2" ht="12.75" customHeight="1">
      <c r="A3987" s="1071" t="n">
        <v>1</v>
      </c>
      <c r="B3987" s="1071" t="inlineStr">
        <is>
          <t>Serviço</t>
        </is>
      </c>
      <c r="C3987" s="1071" t="inlineStr">
        <is>
          <t>Pintura em caiação, em parede, 1 demão</t>
        </is>
      </c>
      <c r="D3987" s="1071" t="inlineStr">
        <is>
          <t>Pintura em caiação, em parede, 1 demão</t>
        </is>
      </c>
      <c r="E3987" s="1072" t="inlineStr">
        <is>
          <t>M2</t>
        </is>
      </c>
      <c r="F3987" s="1071" t="n"/>
      <c r="G3987" s="1073">
        <f t="array" ref="G3987">IF(B3987="insumo",_xlfn.XLOOKUP($D3987,Insumos!$B$1:$B$996,Insumos!$D$1:$D$996),"")</f>
        <v/>
      </c>
      <c r="H3987" s="1073" t="n">
        <v>0.915</v>
      </c>
      <c r="I3987" s="2163" t="n">
        <v>0</v>
      </c>
      <c r="J3987" s="2163" t="n">
        <v>0</v>
      </c>
      <c r="K3987" s="2163" t="n"/>
    </row>
    <row r="3988" outlineLevel="3" ht="12.75" customHeight="1">
      <c r="A3988" s="82" t="n">
        <v>1</v>
      </c>
      <c r="B3988" s="82" t="inlineStr">
        <is>
          <t>Insumo</t>
        </is>
      </c>
      <c r="C3988" s="82" t="inlineStr">
        <is>
          <t>Pintura em caiação, em parede, 1 demão</t>
        </is>
      </c>
      <c r="D3988" s="82" t="inlineStr">
        <is>
          <t>Cal hidratada CH-III (saco 20 kg)</t>
        </is>
      </c>
      <c r="E3988" s="11">
        <f t="array" ref="E3988">_xlfn.XLOOKUP(D3988,Insumos!B:B,Insumos!C:$C)</f>
        <v/>
      </c>
      <c r="F3988" s="2164" t="n">
        <v>0.3</v>
      </c>
      <c r="G3988" s="92">
        <f t="array" ref="G3988">IF(B3988="insumo",_xlfn.XLOOKUP($D3988,Insumos!$B$1:$B$996,Insumos!$D$1:$D$996),"")</f>
        <v/>
      </c>
      <c r="H3988" s="92" t="n">
        <v>0.135</v>
      </c>
      <c r="I3988" s="2165" t="n">
        <v>0</v>
      </c>
      <c r="J3988" s="2165" t="n">
        <v>0</v>
      </c>
      <c r="K3988" s="2165" t="n"/>
    </row>
    <row r="3989" outlineLevel="3" ht="12.75" customHeight="1">
      <c r="A3989" s="82" t="n">
        <v>1</v>
      </c>
      <c r="B3989" s="82" t="inlineStr">
        <is>
          <t>Insumo</t>
        </is>
      </c>
      <c r="C3989" s="82" t="inlineStr">
        <is>
          <t>Pintura em caiação, em parede, 1 demão</t>
        </is>
      </c>
      <c r="D3989" s="82" t="inlineStr">
        <is>
          <t>Pigmento mineral (óxido de ferro / pó xadrez)</t>
        </is>
      </c>
      <c r="E3989" s="11">
        <f t="array" ref="E3989">_xlfn.XLOOKUP(D3989,Insumos!B:B,Insumos!C:$C)</f>
        <v/>
      </c>
      <c r="F3989" s="2164" t="n">
        <v>0.01</v>
      </c>
      <c r="G3989" s="92">
        <f t="array" ref="G3989">IF(B3989="insumo",_xlfn.XLOOKUP($D3989,Insumos!$B$1:$B$996,Insumos!$D$1:$D$996),"")</f>
        <v/>
      </c>
      <c r="H3989" s="92" t="n">
        <v>0.18</v>
      </c>
      <c r="I3989" s="2165" t="n">
        <v>0</v>
      </c>
      <c r="J3989" s="2165" t="n">
        <v>0</v>
      </c>
      <c r="K3989" s="2165" t="n"/>
    </row>
    <row r="3990" outlineLevel="3" ht="12.75" customHeight="1">
      <c r="A3990" s="82" t="n">
        <v>1</v>
      </c>
      <c r="B3990" s="82" t="inlineStr">
        <is>
          <t>Insumo</t>
        </is>
      </c>
      <c r="C3990" s="82" t="inlineStr">
        <is>
          <t>Pintura em caiação, em parede, 1 demão</t>
        </is>
      </c>
      <c r="D3990" s="82" t="inlineStr">
        <is>
          <t>Cola PVA (adesivo)</t>
        </is>
      </c>
      <c r="E3990" s="11">
        <f t="array" ref="E3990">_xlfn.XLOOKUP(D3990,Insumos!B:B,Insumos!C:$C)</f>
        <v/>
      </c>
      <c r="F3990" s="2164" t="n">
        <v>0.05</v>
      </c>
      <c r="G3990" s="92">
        <f t="array" ref="G3990">IF(B3990="insumo",_xlfn.XLOOKUP($D3990,Insumos!$B$1:$B$996,Insumos!$D$1:$D$996),"")</f>
        <v/>
      </c>
      <c r="H3990" s="92" t="n">
        <v>0.6</v>
      </c>
      <c r="I3990" s="2165" t="n">
        <v>0</v>
      </c>
      <c r="J3990" s="2165" t="n">
        <v>0</v>
      </c>
      <c r="K3990" s="2165" t="n"/>
    </row>
    <row r="3991" outlineLevel="2" ht="26.25" customHeight="1">
      <c r="A3991" s="1071" t="n">
        <v>1</v>
      </c>
      <c r="B3991" s="1071" t="inlineStr">
        <is>
          <t>Serviço</t>
        </is>
      </c>
      <c r="C3991" s="1071" t="inlineStr">
        <is>
          <t xml:space="preserve">Pintura com tinta látex acrílica com selador e massa em tetos, 3 demãos </t>
        </is>
      </c>
      <c r="D3991" s="1071" t="inlineStr">
        <is>
          <t xml:space="preserve">Pintura com tinta látex acrílica com selador e massa em tetos, 3 demãos </t>
        </is>
      </c>
      <c r="E3991" s="1072" t="inlineStr">
        <is>
          <t>M2</t>
        </is>
      </c>
      <c r="F3991" s="1071" t="n"/>
      <c r="G3991" s="1073">
        <f t="array" ref="G3991">IF(B3991="insumo",_xlfn.XLOOKUP($D3991,Insumos!$B$1:$B$996,Insumos!$D$1:$D$996),"")</f>
        <v/>
      </c>
      <c r="H3991" s="1073" t="n">
        <v>18.2352155555556</v>
      </c>
      <c r="I3991" s="2163" t="n">
        <v>0</v>
      </c>
      <c r="J3991" s="2163" t="n">
        <v>0</v>
      </c>
      <c r="K3991" s="2163" t="n"/>
    </row>
    <row r="3992" outlineLevel="3" ht="12.75" customHeight="1">
      <c r="A3992" s="82" t="n">
        <v>36</v>
      </c>
      <c r="B3992" s="82" t="inlineStr">
        <is>
          <t>Insumo</t>
        </is>
      </c>
      <c r="C3992" s="82" t="inlineStr">
        <is>
          <t xml:space="preserve">Pintura com tinta látex acrílica com selador e massa em tetos, 3 demãos </t>
        </is>
      </c>
      <c r="D3992" s="82" t="inlineStr">
        <is>
          <t>LIXA DAGUA 225X275MM GR100</t>
        </is>
      </c>
      <c r="E3992" s="11">
        <f t="array" ref="E3992">_xlfn.XLOOKUP(D3992,Insumos!B:B,Insumos!C:$C)</f>
        <v/>
      </c>
      <c r="F3992" s="2164" t="n">
        <v>0.1</v>
      </c>
      <c r="G3992" s="92">
        <f t="array" ref="G3992">IF(B3992="insumo",_xlfn.XLOOKUP($D3992,Insumos!$B$1:$B$996,Insumos!$D$1:$D$996),"")</f>
        <v/>
      </c>
      <c r="H3992" s="92" t="n">
        <v>0.189</v>
      </c>
      <c r="I3992" s="2165" t="n">
        <v>0</v>
      </c>
      <c r="J3992" s="2165" t="n">
        <v>0</v>
      </c>
      <c r="K3992" s="2165" t="n"/>
    </row>
    <row r="3993" outlineLevel="3" ht="12.75" customHeight="1">
      <c r="A3993" s="82" t="n">
        <v>21</v>
      </c>
      <c r="B3993" s="82" t="inlineStr">
        <is>
          <t>Insumo</t>
        </is>
      </c>
      <c r="C3993" s="82" t="inlineStr">
        <is>
          <t xml:space="preserve">Pintura com tinta látex acrílica com selador e massa em tetos, 3 demãos </t>
        </is>
      </c>
      <c r="D3993" s="82" t="inlineStr">
        <is>
          <t>Massa corrida para superfícies de ambientes internos</t>
        </is>
      </c>
      <c r="E3993" s="11">
        <f t="array" ref="E3993">_xlfn.XLOOKUP(D3993,Insumos!B:B,Insumos!C:$C)</f>
        <v/>
      </c>
      <c r="F3993" s="2164" t="n">
        <v>0.8667</v>
      </c>
      <c r="G3993" s="92">
        <f t="array" ref="G3993">IF(B3993="insumo",_xlfn.XLOOKUP($D3993,Insumos!$B$1:$B$996,Insumos!$D$1:$D$996),"")</f>
        <v/>
      </c>
      <c r="H3993" s="92" t="n">
        <v>4.16016</v>
      </c>
      <c r="I3993" s="2165" t="n">
        <v>0</v>
      </c>
      <c r="J3993" s="2165" t="n">
        <v>0</v>
      </c>
      <c r="K3993" s="2165" t="n"/>
    </row>
    <row r="3994" outlineLevel="3" ht="12.75" customHeight="1">
      <c r="A3994" s="82" t="n">
        <v>19</v>
      </c>
      <c r="B3994" s="82" t="inlineStr">
        <is>
          <t>Insumo</t>
        </is>
      </c>
      <c r="C3994" s="82" t="inlineStr">
        <is>
          <t xml:space="preserve">Pintura com tinta látex acrílica com selador e massa em tetos, 3 demãos </t>
        </is>
      </c>
      <c r="D3994" s="82" t="inlineStr">
        <is>
          <t>Selador Primer Ibratin - 4,2kg - 3,6L</t>
        </is>
      </c>
      <c r="E3994" s="11">
        <f t="array" ref="E3994">_xlfn.XLOOKUP(D3994,Insumos!B:B,Insumos!C:$C)</f>
        <v/>
      </c>
      <c r="F3994" s="2164" t="n">
        <v>0.1666</v>
      </c>
      <c r="G3994" s="92">
        <f t="array" ref="G3994">IF(B3994="insumo",_xlfn.XLOOKUP($D3994,Insumos!$B$1:$B$996,Insumos!$D$1:$D$996),"")</f>
        <v/>
      </c>
      <c r="H3994" s="92" t="n">
        <v>1.75855555555556</v>
      </c>
      <c r="I3994" s="2165" t="n">
        <v>0</v>
      </c>
      <c r="J3994" s="2165" t="n">
        <v>0</v>
      </c>
      <c r="K3994" s="2165" t="n"/>
    </row>
    <row r="3995" outlineLevel="3" ht="12.75" customHeight="1">
      <c r="A3995" s="82" t="n">
        <v>16</v>
      </c>
      <c r="B3995" s="82" t="inlineStr">
        <is>
          <t>Insumo</t>
        </is>
      </c>
      <c r="C3995" s="82" t="inlineStr">
        <is>
          <t xml:space="preserve">Pintura com tinta látex acrílica com selador e massa em tetos, 3 demãos </t>
        </is>
      </c>
      <c r="D3995" s="82" t="inlineStr">
        <is>
          <t xml:space="preserve">TINTA ACRILICA PREMIUM </t>
        </is>
      </c>
      <c r="E3995" s="11">
        <f t="array" ref="E3995">_xlfn.XLOOKUP(D3995,Insumos!B:B,Insumos!C:$C)</f>
        <v/>
      </c>
      <c r="F3995" s="2164" t="n">
        <v>0.495</v>
      </c>
      <c r="G3995" s="92">
        <f t="array" ref="G3995">IF(B3995="insumo",_xlfn.XLOOKUP($D3995,Insumos!$B$1:$B$996,Insumos!$D$1:$D$996),"")</f>
        <v/>
      </c>
      <c r="H3995" s="92" t="n">
        <v>12.1275</v>
      </c>
      <c r="I3995" s="2165" t="n">
        <v>0</v>
      </c>
      <c r="J3995" s="2165" t="n">
        <v>0</v>
      </c>
      <c r="K3995" s="2165" t="n"/>
    </row>
    <row r="3996" outlineLevel="2" ht="12.75" customHeight="1">
      <c r="A3996" s="1071" t="n">
        <v>1</v>
      </c>
      <c r="B3996" s="1071" t="inlineStr">
        <is>
          <t>Serviço</t>
        </is>
      </c>
      <c r="C3996" s="1071" t="inlineStr">
        <is>
          <t>Textura acrílica aplicação rolada em paredes internas, 1 demão</t>
        </is>
      </c>
      <c r="D3996" s="1071" t="inlineStr">
        <is>
          <t>Textura acrílica aplicação rolada em paredes internas, 1 demão</t>
        </is>
      </c>
      <c r="E3996" s="1072" t="inlineStr">
        <is>
          <t>M2</t>
        </is>
      </c>
      <c r="F3996" s="1071" t="n"/>
      <c r="G3996" s="1073">
        <f t="array" ref="G3996">IF(B3996="insumo",_xlfn.XLOOKUP($D3996,Insumos!$B$1:$B$996,Insumos!$D$1:$D$996),"")</f>
        <v/>
      </c>
      <c r="H3996" s="1073" t="n">
        <v>13.671902</v>
      </c>
      <c r="I3996" s="2163" t="n">
        <v>0</v>
      </c>
      <c r="J3996" s="2163" t="n">
        <v>0</v>
      </c>
      <c r="K3996" s="2163" t="n"/>
    </row>
    <row r="3997" outlineLevel="3" ht="12.75" customHeight="1">
      <c r="A3997" s="82" t="n">
        <v>31</v>
      </c>
      <c r="B3997" s="82" t="inlineStr">
        <is>
          <t>Insumo</t>
        </is>
      </c>
      <c r="C3997" s="82" t="inlineStr">
        <is>
          <t>Textura acrílica aplicação rolada em paredes internas, 1 demão</t>
        </is>
      </c>
      <c r="D3997" s="82" t="inlineStr">
        <is>
          <t>Selador acrilico opaco premium interno/externo</t>
        </is>
      </c>
      <c r="E3997" s="11">
        <f t="array" ref="E3997">_xlfn.XLOOKUP(D3997,Insumos!B:B,Insumos!C:$C)</f>
        <v/>
      </c>
      <c r="F3997" s="2171" t="n">
        <v>0.1666</v>
      </c>
      <c r="G3997" s="92">
        <f t="array" ref="G3997">IF(B3997="insumo",_xlfn.XLOOKUP($D3997,Insumos!$B$1:$B$996,Insumos!$D$1:$D$996),"")</f>
        <v/>
      </c>
      <c r="H3997" s="92" t="n">
        <v>1.077902</v>
      </c>
      <c r="I3997" s="2165" t="n">
        <v>0</v>
      </c>
      <c r="J3997" s="2165" t="n">
        <v>0</v>
      </c>
      <c r="K3997" s="2165" t="n"/>
    </row>
    <row r="3998" outlineLevel="3" ht="12.75" customHeight="1">
      <c r="A3998" s="82" t="n">
        <v>5</v>
      </c>
      <c r="B3998" s="82" t="inlineStr">
        <is>
          <t>Insumo</t>
        </is>
      </c>
      <c r="C3998" s="82" t="inlineStr">
        <is>
          <t>Textura acrílica aplicação rolada em paredes internas, 1 demão</t>
        </is>
      </c>
      <c r="D3998" s="82" t="inlineStr">
        <is>
          <t>Textura acrilica branca - Coral</t>
        </is>
      </c>
      <c r="E3998" s="11">
        <f t="array" ref="E3998">_xlfn.XLOOKUP(D3998,Insumos!B:B,Insumos!C:$C)</f>
        <v/>
      </c>
      <c r="F3998" s="2171" t="n">
        <v>1.5</v>
      </c>
      <c r="G3998" s="92">
        <f t="array" ref="G3998">IF(B3998="insumo",_xlfn.XLOOKUP($D3998,Insumos!$B$1:$B$996,Insumos!$D$1:$D$996),"")</f>
        <v/>
      </c>
      <c r="H3998" s="92" t="n">
        <v>12.594</v>
      </c>
      <c r="I3998" s="2165" t="n">
        <v>0</v>
      </c>
      <c r="J3998" s="2165" t="n">
        <v>0</v>
      </c>
      <c r="K3998" s="2165" t="n"/>
    </row>
    <row r="3999" outlineLevel="2" ht="12.75" customHeight="1">
      <c r="A3999" s="1071" t="n">
        <v>1</v>
      </c>
      <c r="B3999" s="1071" t="inlineStr">
        <is>
          <t>Serviço</t>
        </is>
      </c>
      <c r="C3999" s="1071" t="inlineStr">
        <is>
          <t>Textura acrílica pigmentada aplicação em paredes internas, 1 demão</t>
        </is>
      </c>
      <c r="D3999" s="1071" t="inlineStr">
        <is>
          <t>Textura acrílica pigmentada aplicação em paredes internas, 1 demão</t>
        </is>
      </c>
      <c r="E3999" s="1072" t="inlineStr">
        <is>
          <t>M2</t>
        </is>
      </c>
      <c r="F3999" s="1071" t="n"/>
      <c r="G3999" s="1073">
        <f t="array" ref="G3999">IF(B3999="insumo",_xlfn.XLOOKUP($D3999,Insumos!$B$1:$B$996,Insumos!$D$1:$D$996),"")</f>
        <v/>
      </c>
      <c r="H3999" s="1073" t="n">
        <v>24.477902</v>
      </c>
      <c r="I3999" s="2163" t="n">
        <v>0</v>
      </c>
      <c r="J3999" s="2163" t="n">
        <v>0</v>
      </c>
      <c r="K3999" s="2163" t="n"/>
    </row>
    <row r="4000" outlineLevel="3" ht="12.75" customHeight="1">
      <c r="A4000" s="82" t="n">
        <v>31</v>
      </c>
      <c r="B4000" s="82" t="inlineStr">
        <is>
          <t>Insumo</t>
        </is>
      </c>
      <c r="C4000" s="82" t="inlineStr">
        <is>
          <t>Textura acrílica pigmentada aplicação em paredes internas, 1 demão</t>
        </is>
      </c>
      <c r="D4000" s="82" t="inlineStr">
        <is>
          <t>Selador acrilico opaco premium interno/externo</t>
        </is>
      </c>
      <c r="E4000" s="11">
        <f t="array" ref="E4000">_xlfn.XLOOKUP(D4000,Insumos!B:B,Insumos!C:$C)</f>
        <v/>
      </c>
      <c r="F4000" s="2171" t="n">
        <v>0.1666</v>
      </c>
      <c r="G4000" s="92">
        <f t="array" ref="G4000">IF(B4000="insumo",_xlfn.XLOOKUP($D4000,Insumos!$B$1:$B$996,Insumos!$D$1:$D$996),"")</f>
        <v/>
      </c>
      <c r="H4000" s="92" t="n">
        <v>1.077902</v>
      </c>
      <c r="I4000" s="2165" t="n">
        <v>0</v>
      </c>
      <c r="J4000" s="2165" t="n">
        <v>0</v>
      </c>
      <c r="K4000" s="2165" t="n"/>
    </row>
    <row r="4001" outlineLevel="3" ht="12.75" customHeight="1">
      <c r="A4001" s="82" t="n">
        <v>1</v>
      </c>
      <c r="B4001" s="82" t="inlineStr">
        <is>
          <t>Insumo</t>
        </is>
      </c>
      <c r="C4001" s="82" t="inlineStr">
        <is>
          <t>Textura acrílica pigmentada aplicação em paredes internas, 1 demão</t>
        </is>
      </c>
      <c r="D4001" s="82" t="inlineStr">
        <is>
          <t>Textura acrílica pigmentada pronta</t>
        </is>
      </c>
      <c r="E4001" s="11">
        <f t="array" ref="E4001">_xlfn.XLOOKUP(D4001,Insumos!B:B,Insumos!C:$C)</f>
        <v/>
      </c>
      <c r="F4001" s="2171" t="n">
        <v>1.8</v>
      </c>
      <c r="G4001" s="92">
        <f t="array" ref="G4001">IF(B4001="insumo",_xlfn.XLOOKUP($D4001,Insumos!$B$1:$B$996,Insumos!$D$1:$D$996),"")</f>
        <v/>
      </c>
      <c r="H4001" s="92" t="n">
        <v>23.4</v>
      </c>
      <c r="I4001" s="2165" t="n">
        <v>0</v>
      </c>
      <c r="J4001" s="2165" t="n">
        <v>0</v>
      </c>
      <c r="K4001" s="2165" t="n"/>
    </row>
    <row r="4002" outlineLevel="2" ht="12.75" customHeight="1">
      <c r="A4002" s="1071" t="n">
        <v>1</v>
      </c>
      <c r="B4002" s="1071" t="inlineStr">
        <is>
          <t>Serviço</t>
        </is>
      </c>
      <c r="C4002" s="1071" t="inlineStr">
        <is>
          <t>Selador acrilico em Paredes Internas</t>
        </is>
      </c>
      <c r="D4002" s="1071" t="inlineStr">
        <is>
          <t>Selador acrilico em Paredes Internas</t>
        </is>
      </c>
      <c r="E4002" s="1072" t="inlineStr">
        <is>
          <t>M2</t>
        </is>
      </c>
      <c r="F4002" s="1071" t="n"/>
      <c r="G4002" s="1073">
        <f t="array" ref="G4002">IF(B4002="insumo",_xlfn.XLOOKUP($D4002,Insumos!$B$1:$B$996,Insumos!$D$1:$D$996),"")</f>
        <v/>
      </c>
      <c r="H4002" s="1073" t="n">
        <v>1.077902</v>
      </c>
      <c r="I4002" s="2163" t="n">
        <v>0</v>
      </c>
      <c r="J4002" s="2163" t="n">
        <v>0</v>
      </c>
      <c r="K4002" s="2163" t="n"/>
    </row>
    <row r="4003" outlineLevel="3" ht="12.75" customHeight="1">
      <c r="A4003" s="82" t="n">
        <v>31</v>
      </c>
      <c r="B4003" s="82" t="inlineStr">
        <is>
          <t>Insumo</t>
        </is>
      </c>
      <c r="C4003" s="82" t="inlineStr">
        <is>
          <t>Selador acrilico em Paredes Internas</t>
        </is>
      </c>
      <c r="D4003" s="82" t="inlineStr">
        <is>
          <t>Selador acrilico opaco premium interno/externo</t>
        </is>
      </c>
      <c r="E4003" s="11">
        <f t="array" ref="E4003">_xlfn.XLOOKUP(D4003,Insumos!B:B,Insumos!C:$C)</f>
        <v/>
      </c>
      <c r="F4003" s="2171" t="n">
        <v>0.1666</v>
      </c>
      <c r="G4003" s="92">
        <f t="array" ref="G4003">IF(B4003="insumo",_xlfn.XLOOKUP($D4003,Insumos!$B$1:$B$996,Insumos!$D$1:$D$996),"")</f>
        <v/>
      </c>
      <c r="H4003" s="92" t="n">
        <v>1.077902</v>
      </c>
      <c r="I4003" s="2165" t="n">
        <v>0</v>
      </c>
      <c r="J4003" s="2165" t="n">
        <v>0</v>
      </c>
      <c r="K4003" s="2165" t="n"/>
    </row>
    <row r="4004" outlineLevel="2" ht="12.75" customHeight="1">
      <c r="A4004" s="1071" t="n">
        <v>1</v>
      </c>
      <c r="B4004" s="1071" t="inlineStr">
        <is>
          <t>Serviço</t>
        </is>
      </c>
      <c r="C4004" s="1071" t="inlineStr">
        <is>
          <t>Pintura Com Tinta Latex Acrilica em Paredes Internas, 3 Demaos (Somente tinta e fundo) - verde claro</t>
        </is>
      </c>
      <c r="D4004" s="1071" t="inlineStr">
        <is>
          <t>Pintura Com Tinta Latex Acrilica em Paredes Internas, 3 Demaos (Somente tinta e fundo) - verde claro</t>
        </is>
      </c>
      <c r="E4004" s="1072" t="inlineStr">
        <is>
          <t>M2</t>
        </is>
      </c>
      <c r="F4004" s="1071" t="n"/>
      <c r="G4004" s="1073">
        <f t="array" ref="G4004">IF(B4004="insumo",_xlfn.XLOOKUP($D4004,Insumos!$B$1:$B$996,Insumos!$D$1:$D$996),"")</f>
        <v/>
      </c>
      <c r="H4004" s="1073" t="n">
        <v>36.759667625</v>
      </c>
      <c r="I4004" s="2163" t="n">
        <v>0</v>
      </c>
      <c r="J4004" s="2163" t="n">
        <v>0</v>
      </c>
      <c r="K4004" s="2163" t="n"/>
    </row>
    <row r="4005" outlineLevel="3" ht="12.75" customHeight="1">
      <c r="A4005" s="82" t="n">
        <v>1</v>
      </c>
      <c r="B4005" s="82" t="inlineStr">
        <is>
          <t>Insumo</t>
        </is>
      </c>
      <c r="C4005" s="82" t="inlineStr">
        <is>
          <t>Pintura Com Tinta Latex Acrilica em Paredes Internas, 3 Demaos (Somente tinta e fundo) - verde claro</t>
        </is>
      </c>
      <c r="D4005" s="82" t="inlineStr">
        <is>
          <t>TINTA ACRILICA PREMIUM COR BABOSA</t>
        </is>
      </c>
      <c r="E4005" s="11">
        <f t="array" ref="E4005">_xlfn.XLOOKUP(D4005,Insumos!B:B,Insumos!C:$C)</f>
        <v/>
      </c>
      <c r="F4005" s="2171" t="n">
        <v>0.495</v>
      </c>
      <c r="G4005" s="92">
        <f t="array" ref="G4005">IF(B4005="insumo",_xlfn.XLOOKUP($D4005,Insumos!$B$1:$B$996,Insumos!$D$1:$D$996),"")</f>
        <v/>
      </c>
      <c r="H4005" s="92" t="n">
        <v>35.681765625</v>
      </c>
      <c r="I4005" s="2165" t="n">
        <v>0</v>
      </c>
      <c r="J4005" s="2165" t="n">
        <v>0</v>
      </c>
      <c r="K4005" s="2165" t="n"/>
    </row>
    <row r="4006" outlineLevel="3" ht="12.75" customHeight="1">
      <c r="A4006" s="82" t="n">
        <v>31</v>
      </c>
      <c r="B4006" s="82" t="inlineStr">
        <is>
          <t>Insumo</t>
        </is>
      </c>
      <c r="C4006" s="82" t="inlineStr">
        <is>
          <t>Pintura Com Tinta Latex Acrilica em Paredes Internas, 3 Demaos (Somente tinta e fundo) - verde claro</t>
        </is>
      </c>
      <c r="D4006" s="82" t="inlineStr">
        <is>
          <t>Selador acrilico opaco premium interno/externo</t>
        </is>
      </c>
      <c r="E4006" s="11">
        <f t="array" ref="E4006">_xlfn.XLOOKUP(D4006,Insumos!B:B,Insumos!C:$C)</f>
        <v/>
      </c>
      <c r="F4006" s="2171" t="n">
        <v>0.1666</v>
      </c>
      <c r="G4006" s="92">
        <f t="array" ref="G4006">IF(B4006="insumo",_xlfn.XLOOKUP($D4006,Insumos!$B$1:$B$996,Insumos!$D$1:$D$996),"")</f>
        <v/>
      </c>
      <c r="H4006" s="92" t="n">
        <v>1.077902</v>
      </c>
      <c r="I4006" s="2165" t="n">
        <v>0</v>
      </c>
      <c r="J4006" s="2165" t="n">
        <v>0</v>
      </c>
      <c r="K4006" s="2165" t="n"/>
    </row>
    <row r="4007" outlineLevel="2" ht="12.75" customHeight="1">
      <c r="A4007" s="1071" t="n">
        <v>1</v>
      </c>
      <c r="B4007" s="1071" t="inlineStr">
        <is>
          <t>Serviço</t>
        </is>
      </c>
      <c r="C4007" s="1071" t="inlineStr">
        <is>
          <t>Pintura Com Tinta Latex Acrilica em Paredes Internas, 3 Demaos (Somente tinta e fundo) - areia</t>
        </is>
      </c>
      <c r="D4007" s="1071" t="inlineStr">
        <is>
          <t>Pintura Com Tinta Latex Acrilica em Paredes Internas, 3 Demaos (Somente tinta e fundo) - areia</t>
        </is>
      </c>
      <c r="E4007" s="1072" t="inlineStr">
        <is>
          <t>M2</t>
        </is>
      </c>
      <c r="F4007" s="1071" t="n"/>
      <c r="G4007" s="1073">
        <f t="array" ref="G4007">IF(B4007="insumo",_xlfn.XLOOKUP($D4007,Insumos!$B$1:$B$996,Insumos!$D$1:$D$996),"")</f>
        <v/>
      </c>
      <c r="H4007" s="1073" t="n">
        <v>13.865402</v>
      </c>
      <c r="I4007" s="2163" t="n">
        <v>0</v>
      </c>
      <c r="J4007" s="2163" t="n">
        <v>0</v>
      </c>
      <c r="K4007" s="2163" t="n"/>
    </row>
    <row r="4008" outlineLevel="3" ht="12.75" customHeight="1">
      <c r="A4008" s="82" t="n">
        <v>1</v>
      </c>
      <c r="B4008" s="82" t="inlineStr">
        <is>
          <t>Insumo</t>
        </is>
      </c>
      <c r="C4008" s="82" t="inlineStr">
        <is>
          <t>Pintura Com Tinta Latex Acrilica em Paredes Internas, 3 Demaos (Somente tinta e fundo) - areia</t>
        </is>
      </c>
      <c r="D4008" s="82" t="inlineStr">
        <is>
          <t>TINTA ACRILICA PREMIUM COR AREIA</t>
        </is>
      </c>
      <c r="E4008" s="11">
        <f t="array" ref="E4008">_xlfn.XLOOKUP(D4008,Insumos!B:B,Insumos!C:$C)</f>
        <v/>
      </c>
      <c r="F4008" s="2171" t="n">
        <v>0.495</v>
      </c>
      <c r="G4008" s="92">
        <f t="array" ref="G4008">IF(B4008="insumo",_xlfn.XLOOKUP($D4008,Insumos!$B$1:$B$996,Insumos!$D$1:$D$996),"")</f>
        <v/>
      </c>
      <c r="H4008" s="92" t="n">
        <v>12.7875</v>
      </c>
      <c r="I4008" s="2165" t="n">
        <v>0</v>
      </c>
      <c r="J4008" s="2165" t="n">
        <v>0</v>
      </c>
      <c r="K4008" s="2165" t="n"/>
    </row>
    <row r="4009" outlineLevel="3" ht="12.75" customHeight="1">
      <c r="A4009" s="82" t="n">
        <v>31</v>
      </c>
      <c r="B4009" s="82" t="inlineStr">
        <is>
          <t>Insumo</t>
        </is>
      </c>
      <c r="C4009" s="82" t="inlineStr">
        <is>
          <t>Pintura Com Tinta Latex Acrilica em Paredes Internas, 3 Demaos (Somente tinta e fundo) - areia</t>
        </is>
      </c>
      <c r="D4009" s="82" t="inlineStr">
        <is>
          <t>Selador acrilico opaco premium interno/externo</t>
        </is>
      </c>
      <c r="E4009" s="11">
        <f t="array" ref="E4009">_xlfn.XLOOKUP(D4009,Insumos!B:B,Insumos!C:$C)</f>
        <v/>
      </c>
      <c r="F4009" s="2171" t="n">
        <v>0.1666</v>
      </c>
      <c r="G4009" s="92">
        <f t="array" ref="G4009">IF(B4009="insumo",_xlfn.XLOOKUP($D4009,Insumos!$B$1:$B$996,Insumos!$D$1:$D$996),"")</f>
        <v/>
      </c>
      <c r="H4009" s="92" t="n">
        <v>1.077902</v>
      </c>
      <c r="I4009" s="2165" t="n">
        <v>0</v>
      </c>
      <c r="J4009" s="2165" t="n">
        <v>0</v>
      </c>
      <c r="K4009" s="2165" t="n"/>
    </row>
    <row r="4010" outlineLevel="2" ht="12.75" customHeight="1">
      <c r="A4010" s="1071" t="n">
        <v>1</v>
      </c>
      <c r="B4010" s="1071" t="inlineStr">
        <is>
          <t>Serviço</t>
        </is>
      </c>
      <c r="C4010" s="1071" t="inlineStr">
        <is>
          <t>Pintura Com Tinta Latex Acrilica em Paredes Internas, 3 Demaos (Somente tinta e fundo) - marrom</t>
        </is>
      </c>
      <c r="D4010" s="1071" t="inlineStr">
        <is>
          <t>Pintura Com Tinta Latex Acrilica em Paredes Internas, 3 Demaos (Somente tinta e fundo) - marrom</t>
        </is>
      </c>
      <c r="E4010" s="1072" t="inlineStr">
        <is>
          <t>M2</t>
        </is>
      </c>
      <c r="F4010" s="1071" t="n"/>
      <c r="G4010" s="1073">
        <f t="array" ref="G4010">IF(B4010="insumo",_xlfn.XLOOKUP($D4010,Insumos!$B$1:$B$996,Insumos!$D$1:$D$996),"")</f>
        <v/>
      </c>
      <c r="H4010" s="1073" t="n">
        <v>44.7678395</v>
      </c>
      <c r="I4010" s="2163" t="n">
        <v>0</v>
      </c>
      <c r="J4010" s="2163" t="n">
        <v>0</v>
      </c>
      <c r="K4010" s="2163" t="n"/>
    </row>
    <row r="4011" outlineLevel="3" ht="12.75" customHeight="1">
      <c r="A4011" s="82" t="n">
        <v>1</v>
      </c>
      <c r="B4011" s="82" t="inlineStr">
        <is>
          <t>Insumo</t>
        </is>
      </c>
      <c r="C4011" s="82" t="inlineStr">
        <is>
          <t>Pintura Com Tinta Latex Acrilica em Paredes Internas, 3 Demaos (Somente tinta e fundo) - marrom</t>
        </is>
      </c>
      <c r="D4011" s="82" t="inlineStr">
        <is>
          <t>TINTA ACRILICA PREMIUM COR CAFÉ EXPRESSO</t>
        </is>
      </c>
      <c r="E4011" s="11">
        <f t="array" ref="E4011">_xlfn.XLOOKUP(D4011,Insumos!B:B,Insumos!C:$C)</f>
        <v/>
      </c>
      <c r="F4011" s="2171" t="n">
        <v>0.495</v>
      </c>
      <c r="G4011" s="92">
        <f t="array" ref="G4011">IF(B4011="insumo",_xlfn.XLOOKUP($D4011,Insumos!$B$1:$B$996,Insumos!$D$1:$D$996),"")</f>
        <v/>
      </c>
      <c r="H4011" s="92" t="n">
        <v>43.6899375</v>
      </c>
      <c r="I4011" s="2165" t="n">
        <v>0</v>
      </c>
      <c r="J4011" s="2165" t="n">
        <v>0</v>
      </c>
      <c r="K4011" s="2165" t="n"/>
    </row>
    <row r="4012" outlineLevel="3" ht="12.75" customHeight="1">
      <c r="A4012" s="82" t="n">
        <v>31</v>
      </c>
      <c r="B4012" s="82" t="inlineStr">
        <is>
          <t>Insumo</t>
        </is>
      </c>
      <c r="C4012" s="82" t="inlineStr">
        <is>
          <t>Pintura Com Tinta Latex Acrilica em Paredes Internas, 3 Demaos (Somente tinta e fundo) - marrom</t>
        </is>
      </c>
      <c r="D4012" s="82" t="inlineStr">
        <is>
          <t>Selador acrilico opaco premium interno/externo</t>
        </is>
      </c>
      <c r="E4012" s="11">
        <f t="array" ref="E4012">_xlfn.XLOOKUP(D4012,Insumos!B:B,Insumos!C:$C)</f>
        <v/>
      </c>
      <c r="F4012" s="2171" t="n">
        <v>0.1666</v>
      </c>
      <c r="G4012" s="92">
        <f t="array" ref="G4012">IF(B4012="insumo",_xlfn.XLOOKUP($D4012,Insumos!$B$1:$B$996,Insumos!$D$1:$D$996),"")</f>
        <v/>
      </c>
      <c r="H4012" s="92" t="n">
        <v>1.077902</v>
      </c>
      <c r="I4012" s="2165" t="n">
        <v>0</v>
      </c>
      <c r="J4012" s="2165" t="n">
        <v>0</v>
      </c>
      <c r="K4012" s="2165" t="n"/>
    </row>
    <row r="4013" outlineLevel="2" ht="12.75" customHeight="1">
      <c r="A4013" s="1071" t="n">
        <v>1</v>
      </c>
      <c r="B4013" s="1071" t="inlineStr">
        <is>
          <t>Serviço</t>
        </is>
      </c>
      <c r="C4013" s="1071" t="inlineStr">
        <is>
          <t>Pintura Com Tinta Latex Acrilica em Paredes Internas, 3 Demaos (Somente tinta e fundo) - concreto queimado</t>
        </is>
      </c>
      <c r="D4013" s="1071" t="inlineStr">
        <is>
          <t>Pintura Com Tinta Latex Acrilica em Paredes Internas, 3 Demaos (Somente tinta e fundo) - concreto queimado</t>
        </is>
      </c>
      <c r="E4013" s="1072" t="inlineStr">
        <is>
          <t>M2</t>
        </is>
      </c>
      <c r="F4013" s="1071" t="n"/>
      <c r="G4013" s="1073">
        <f t="array" ref="G4013">IF(B4013="insumo",_xlfn.XLOOKUP($D4013,Insumos!$B$1:$B$996,Insumos!$D$1:$D$996),"")</f>
        <v/>
      </c>
      <c r="H4013" s="1073" t="n">
        <v>20.025402</v>
      </c>
      <c r="I4013" s="2163" t="n">
        <v>0</v>
      </c>
      <c r="J4013" s="2163" t="n">
        <v>0</v>
      </c>
      <c r="K4013" s="2163" t="n"/>
    </row>
    <row r="4014" outlineLevel="3" ht="12.75" customHeight="1">
      <c r="A4014" s="82" t="n">
        <v>2</v>
      </c>
      <c r="B4014" s="82" t="inlineStr">
        <is>
          <t>Insumo</t>
        </is>
      </c>
      <c r="C4014" s="82" t="inlineStr">
        <is>
          <t>Pintura Com Tinta Latex Acrilica em Paredes Internas, 3 Demaos (Somente tinta e fundo) - concreto queimado</t>
        </is>
      </c>
      <c r="D4014" s="82" t="inlineStr">
        <is>
          <t>TINTA ACRILICA PREMIUM COR CINZA ASFALTO</t>
        </is>
      </c>
      <c r="E4014" s="11">
        <f t="array" ref="E4014">_xlfn.XLOOKUP(D4014,Insumos!B:B,Insumos!C:$C)</f>
        <v/>
      </c>
      <c r="F4014" s="2171" t="n">
        <v>0.495</v>
      </c>
      <c r="G4014" s="92">
        <f t="array" ref="G4014">IF(B4014="insumo",_xlfn.XLOOKUP($D4014,Insumos!$B$1:$B$996,Insumos!$D$1:$D$996),"")</f>
        <v/>
      </c>
      <c r="H4014" s="92" t="n">
        <v>18.9475</v>
      </c>
      <c r="I4014" s="2165" t="n">
        <v>0</v>
      </c>
      <c r="J4014" s="2165" t="n">
        <v>0</v>
      </c>
      <c r="K4014" s="2165" t="n"/>
    </row>
    <row r="4015" outlineLevel="3" ht="12.75" customHeight="1">
      <c r="A4015" s="82" t="n">
        <v>31</v>
      </c>
      <c r="B4015" s="82" t="inlineStr">
        <is>
          <t>Insumo</t>
        </is>
      </c>
      <c r="C4015" s="82" t="inlineStr">
        <is>
          <t>Pintura Com Tinta Latex Acrilica em Paredes Internas, 3 Demaos (Somente tinta e fundo) - concreto queimado</t>
        </is>
      </c>
      <c r="D4015" s="82" t="inlineStr">
        <is>
          <t>Selador acrilico opaco premium interno/externo</t>
        </is>
      </c>
      <c r="E4015" s="11">
        <f t="array" ref="E4015">_xlfn.XLOOKUP(D4015,Insumos!B:B,Insumos!C:$C)</f>
        <v/>
      </c>
      <c r="F4015" s="2171" t="n">
        <v>0.1666</v>
      </c>
      <c r="G4015" s="92">
        <f t="array" ref="G4015">IF(B4015="insumo",_xlfn.XLOOKUP($D4015,Insumos!$B$1:$B$996,Insumos!$D$1:$D$996),"")</f>
        <v/>
      </c>
      <c r="H4015" s="92" t="n">
        <v>1.077902</v>
      </c>
      <c r="I4015" s="2165" t="n">
        <v>0</v>
      </c>
      <c r="J4015" s="2165" t="n">
        <v>0</v>
      </c>
      <c r="K4015" s="2165" t="n"/>
    </row>
    <row r="4016" outlineLevel="2" ht="12.75" customHeight="1">
      <c r="A4016" s="1071" t="n">
        <v>1</v>
      </c>
      <c r="B4016" s="1071" t="inlineStr">
        <is>
          <t>Serviço</t>
        </is>
      </c>
      <c r="C4016" s="1071" t="inlineStr">
        <is>
          <t>Pintura Com Tinta Latex Acrilica em Paredes Internas, 3 Demaos (Somente tinta e fundo) - Laranja</t>
        </is>
      </c>
      <c r="D4016" s="1071" t="inlineStr">
        <is>
          <t>Pintura Com Tinta Latex Acrilica em Paredes Internas, 3 Demaos (Somente tinta e fundo) - Laranja</t>
        </is>
      </c>
      <c r="E4016" s="1072" t="inlineStr">
        <is>
          <t>M2</t>
        </is>
      </c>
      <c r="F4016" s="1071" t="n"/>
      <c r="G4016" s="1073">
        <f t="array" ref="G4016">IF(B4016="insumo",_xlfn.XLOOKUP($D4016,Insumos!$B$1:$B$996,Insumos!$D$1:$D$996),"")</f>
        <v/>
      </c>
      <c r="H4016" s="1073" t="n">
        <v>30.23278325</v>
      </c>
      <c r="I4016" s="2163" t="n">
        <v>0</v>
      </c>
      <c r="J4016" s="2163" t="n">
        <v>0</v>
      </c>
      <c r="K4016" s="2163" t="n"/>
    </row>
    <row r="4017" outlineLevel="3" ht="12.75" customHeight="1">
      <c r="A4017" s="82" t="n">
        <v>1</v>
      </c>
      <c r="B4017" s="82" t="inlineStr">
        <is>
          <t>Insumo</t>
        </is>
      </c>
      <c r="C4017" s="82" t="inlineStr">
        <is>
          <t>Pintura Com Tinta Latex Acrilica em Paredes Internas, 3 Demaos (Somente tinta e fundo) - Laranja</t>
        </is>
      </c>
      <c r="D4017" s="82" t="inlineStr">
        <is>
          <t>TINTA ACRILICA PREMIUM COR SALMÃO</t>
        </is>
      </c>
      <c r="E4017" s="11">
        <f t="array" ref="E4017">_xlfn.XLOOKUP(D4017,Insumos!B:B,Insumos!C:$C)</f>
        <v/>
      </c>
      <c r="F4017" s="2171" t="n">
        <v>0.495</v>
      </c>
      <c r="G4017" s="92">
        <f t="array" ref="G4017">IF(B4017="insumo",_xlfn.XLOOKUP($D4017,Insumos!$B$1:$B$996,Insumos!$D$1:$D$996),"")</f>
        <v/>
      </c>
      <c r="H4017" s="92" t="n">
        <v>29.15488125</v>
      </c>
      <c r="I4017" s="2165" t="n">
        <v>0</v>
      </c>
      <c r="J4017" s="2165" t="n">
        <v>0</v>
      </c>
      <c r="K4017" s="2165" t="n"/>
    </row>
    <row r="4018" outlineLevel="3" ht="12.75" customHeight="1">
      <c r="A4018" s="82" t="n">
        <v>31</v>
      </c>
      <c r="B4018" s="82" t="inlineStr">
        <is>
          <t>Insumo</t>
        </is>
      </c>
      <c r="C4018" s="82" t="inlineStr">
        <is>
          <t>Pintura Com Tinta Latex Acrilica em Paredes Internas, 3 Demaos (Somente tinta e fundo) - Laranja</t>
        </is>
      </c>
      <c r="D4018" s="82" t="inlineStr">
        <is>
          <t>Selador acrilico opaco premium interno/externo</t>
        </is>
      </c>
      <c r="E4018" s="11">
        <f t="array" ref="E4018">_xlfn.XLOOKUP(D4018,Insumos!B:B,Insumos!C:$C)</f>
        <v/>
      </c>
      <c r="F4018" s="2171" t="n">
        <v>0.1666</v>
      </c>
      <c r="G4018" s="92">
        <f t="array" ref="G4018">IF(B4018="insumo",_xlfn.XLOOKUP($D4018,Insumos!$B$1:$B$996,Insumos!$D$1:$D$996),"")</f>
        <v/>
      </c>
      <c r="H4018" s="92" t="n">
        <v>1.077902</v>
      </c>
      <c r="I4018" s="2165" t="n">
        <v>0</v>
      </c>
      <c r="J4018" s="2165" t="n">
        <v>0</v>
      </c>
      <c r="K4018" s="2165" t="n"/>
    </row>
    <row r="4019" outlineLevel="2" ht="12.75" customHeight="1">
      <c r="A4019" s="1071" t="n">
        <v>1</v>
      </c>
      <c r="B4019" s="1071" t="inlineStr">
        <is>
          <t>Serviço</t>
        </is>
      </c>
      <c r="C4019" s="1071" t="inlineStr">
        <is>
          <t>Pintura Com Tinta Latex Acrilica em Paredes Internas, 3 Demaos (Somente tinta e fundo) - Azul</t>
        </is>
      </c>
      <c r="D4019" s="1071" t="inlineStr">
        <is>
          <t>Pintura Com Tinta Latex Acrilica em Paredes Internas, 3 Demaos (Somente tinta e fundo) - Azul</t>
        </is>
      </c>
      <c r="E4019" s="1072" t="inlineStr">
        <is>
          <t>M2</t>
        </is>
      </c>
      <c r="F4019" s="1071" t="n"/>
      <c r="G4019" s="1073">
        <f t="array" ref="G4019">IF(B4019="insumo",_xlfn.XLOOKUP($D4019,Insumos!$B$1:$B$996,Insumos!$D$1:$D$996),"")</f>
        <v/>
      </c>
      <c r="H4019" s="1073" t="n">
        <v>18.093527</v>
      </c>
      <c r="I4019" s="2163" t="n">
        <v>0</v>
      </c>
      <c r="J4019" s="2163" t="n">
        <v>0</v>
      </c>
      <c r="K4019" s="2163" t="n"/>
    </row>
    <row r="4020" outlineLevel="3" ht="12.75" customHeight="1">
      <c r="A4020" s="82" t="n">
        <v>1</v>
      </c>
      <c r="B4020" s="82" t="inlineStr">
        <is>
          <t>Insumo</t>
        </is>
      </c>
      <c r="C4020" s="82" t="inlineStr">
        <is>
          <t>Pintura Com Tinta Latex Acrilica em Paredes Internas, 3 Demaos (Somente tinta e fundo) - Azul</t>
        </is>
      </c>
      <c r="D4020" s="82" t="inlineStr">
        <is>
          <t>TINTA ACRILICA PREMIUM COR AZUL</t>
        </is>
      </c>
      <c r="E4020" s="11">
        <f t="array" ref="E4020">_xlfn.XLOOKUP(D4020,Insumos!B:B,Insumos!C:$C)</f>
        <v/>
      </c>
      <c r="F4020" s="2171" t="n">
        <v>0.495</v>
      </c>
      <c r="G4020" s="92">
        <f t="array" ref="G4020">IF(B4020="insumo",_xlfn.XLOOKUP($D4020,Insumos!$B$1:$B$996,Insumos!$D$1:$D$996),"")</f>
        <v/>
      </c>
      <c r="H4020" s="92" t="n">
        <v>17.015625</v>
      </c>
      <c r="I4020" s="2165" t="n">
        <v>0</v>
      </c>
      <c r="J4020" s="2165" t="n">
        <v>0</v>
      </c>
      <c r="K4020" s="2165" t="n"/>
    </row>
    <row r="4021" outlineLevel="3" ht="12.75" customHeight="1">
      <c r="A4021" s="82" t="n">
        <v>31</v>
      </c>
      <c r="B4021" s="82" t="inlineStr">
        <is>
          <t>Insumo</t>
        </is>
      </c>
      <c r="C4021" s="82" t="inlineStr">
        <is>
          <t>Pintura Com Tinta Latex Acrilica em Paredes Internas, 3 Demaos (Somente tinta e fundo) - Azul</t>
        </is>
      </c>
      <c r="D4021" s="82" t="inlineStr">
        <is>
          <t>Selador acrilico opaco premium interno/externo</t>
        </is>
      </c>
      <c r="E4021" s="11">
        <f t="array" ref="E4021">_xlfn.XLOOKUP(D4021,Insumos!B:B,Insumos!C:$C)</f>
        <v/>
      </c>
      <c r="F4021" s="2171" t="n">
        <v>0.1666</v>
      </c>
      <c r="G4021" s="92">
        <f t="array" ref="G4021">IF(B4021="insumo",_xlfn.XLOOKUP($D4021,Insumos!$B$1:$B$996,Insumos!$D$1:$D$996),"")</f>
        <v/>
      </c>
      <c r="H4021" s="92" t="n">
        <v>1.077902</v>
      </c>
      <c r="I4021" s="2165" t="n">
        <v>0</v>
      </c>
      <c r="J4021" s="2165" t="n">
        <v>0</v>
      </c>
      <c r="K4021" s="2165" t="n"/>
    </row>
    <row r="4022" outlineLevel="1" ht="15.75" customHeight="1">
      <c r="A4022" s="1090" t="n">
        <v>1</v>
      </c>
      <c r="B4022" s="1090" t="inlineStr">
        <is>
          <t>Subetapa</t>
        </is>
      </c>
      <c r="C4022" s="1090" t="inlineStr">
        <is>
          <t>Pintura Com Tinta Latex Acrilica em Paredes Internas, 3 Demaos (Somente tinta e fundo) - Azul</t>
        </is>
      </c>
      <c r="D4022" s="1090" t="inlineStr">
        <is>
          <t>TETO</t>
        </is>
      </c>
      <c r="E4022" s="1091" t="n"/>
      <c r="F4022" s="2160" t="n"/>
      <c r="G4022" s="1091" t="n"/>
      <c r="H4022" s="1091" t="n">
        <v>0</v>
      </c>
      <c r="I4022" s="2160" t="n">
        <v>0</v>
      </c>
      <c r="J4022" s="2160" t="n">
        <v>0</v>
      </c>
      <c r="K4022" s="2160" t="n"/>
    </row>
    <row r="4023" outlineLevel="2" ht="15.75" customHeight="1">
      <c r="A4023" s="1067" t="n">
        <v>1</v>
      </c>
      <c r="B4023" s="1067" t="inlineStr">
        <is>
          <t>Serviço</t>
        </is>
      </c>
      <c r="C4023" s="1067" t="inlineStr">
        <is>
          <t>Textura Acrílica aplicação em tetos, 1 demão</t>
        </is>
      </c>
      <c r="D4023" s="1067" t="inlineStr">
        <is>
          <t>Textura Acrílica aplicação em tetos, 1 demão</t>
        </is>
      </c>
      <c r="E4023" s="1068" t="inlineStr">
        <is>
          <t>M2</t>
        </is>
      </c>
      <c r="F4023" s="1067" t="n"/>
      <c r="G4023" s="1069">
        <f t="array" ref="G4023">IF(B4023="insumo",_xlfn.XLOOKUP($D4023,Insumos!$B$1:$B$996,Insumos!$D$1:$D$996),"")</f>
        <v/>
      </c>
      <c r="H4023" s="1069" t="n">
        <v>13.6363636363636</v>
      </c>
      <c r="I4023" s="2161" t="e">
        <v>#REF!</v>
      </c>
      <c r="J4023" s="2161" t="e">
        <v>#REF!</v>
      </c>
      <c r="K4023" s="2161" t="n"/>
    </row>
    <row r="4024" outlineLevel="3" ht="15.75" customHeight="1">
      <c r="A4024" s="10" t="n">
        <v>5</v>
      </c>
      <c r="B4024" s="10" t="inlineStr">
        <is>
          <t>Insumo</t>
        </is>
      </c>
      <c r="C4024" s="10" t="inlineStr">
        <is>
          <t>Textura Acrílica aplicação em tetos, 1 demão</t>
        </is>
      </c>
      <c r="D4024" s="10" t="inlineStr">
        <is>
          <t>MASSA PREMIUM PARA TEXTURA LISA DE BASE ACRILICA</t>
        </is>
      </c>
      <c r="E4024" s="11">
        <f t="array" ref="E4024">_xlfn.XLOOKUP(D4024,Insumos!B:B,Insumos!C:$C)</f>
        <v/>
      </c>
      <c r="F4024" s="14" t="n">
        <v>1.5</v>
      </c>
      <c r="G4024" s="92">
        <f t="array" ref="G4024">IF(B4024="insumo",_xlfn.XLOOKUP($D4024,Insumos!$B$1:$B$996,Insumos!$D$1:$D$996),"")</f>
        <v/>
      </c>
      <c r="H4024" s="92" t="n">
        <v>13.6363636363636</v>
      </c>
      <c r="I4024" s="2162" t="e">
        <v>#REF!</v>
      </c>
      <c r="J4024" s="2162" t="e">
        <v>#REF!</v>
      </c>
      <c r="K4024" s="2162" t="n"/>
    </row>
    <row r="4025" outlineLevel="2" ht="15.75" customHeight="1">
      <c r="A4025" s="1067" t="n">
        <v>1</v>
      </c>
      <c r="B4025" s="1067" t="inlineStr">
        <is>
          <t>Serviço</t>
        </is>
      </c>
      <c r="C4025" s="1067" t="inlineStr">
        <is>
          <t xml:space="preserve">Pintura com tinta látex acrílica com selador em tetos, 3 demãos </t>
        </is>
      </c>
      <c r="D4025" s="1067" t="inlineStr">
        <is>
          <t xml:space="preserve">Pintura com tinta látex acrílica com selador em tetos, 3 demãos </t>
        </is>
      </c>
      <c r="E4025" s="1068" t="inlineStr">
        <is>
          <t>M2</t>
        </is>
      </c>
      <c r="F4025" s="1067" t="n"/>
      <c r="G4025" s="1069">
        <f t="array" ref="G4025">IF(B4025="insumo",_xlfn.XLOOKUP($D4025,Insumos!$B$1:$B$996,Insumos!$D$1:$D$996),"")</f>
        <v/>
      </c>
      <c r="H4025" s="1069" t="n">
        <v>14.0750555555556</v>
      </c>
      <c r="I4025" s="2161" t="n">
        <v>0</v>
      </c>
      <c r="J4025" s="2161" t="n">
        <v>0</v>
      </c>
      <c r="K4025" s="2161" t="n"/>
    </row>
    <row r="4026" outlineLevel="3" ht="15.75" customHeight="1">
      <c r="A4026" s="10" t="n">
        <v>36</v>
      </c>
      <c r="B4026" s="10" t="inlineStr">
        <is>
          <t>Insumo</t>
        </is>
      </c>
      <c r="C4026" s="10" t="inlineStr">
        <is>
          <t xml:space="preserve">Pintura com tinta látex acrílica com selador em tetos, 3 demãos </t>
        </is>
      </c>
      <c r="D4026" s="10" t="inlineStr">
        <is>
          <t>LIXA DAGUA 225X275MM GR100</t>
        </is>
      </c>
      <c r="E4026" s="11">
        <f t="array" ref="E4026">_xlfn.XLOOKUP(D4026,Insumos!B:B,Insumos!C:$C)</f>
        <v/>
      </c>
      <c r="F4026" s="14" t="n">
        <v>0.1</v>
      </c>
      <c r="G4026" s="92">
        <f t="array" ref="G4026">IF(B4026="insumo",_xlfn.XLOOKUP($D4026,Insumos!$B$1:$B$996,Insumos!$D$1:$D$996),"")</f>
        <v/>
      </c>
      <c r="H4026" s="92" t="n">
        <v>0.189</v>
      </c>
      <c r="I4026" s="2162" t="n">
        <v>0</v>
      </c>
      <c r="J4026" s="2162" t="n">
        <v>0</v>
      </c>
      <c r="K4026" s="2162" t="n"/>
    </row>
    <row r="4027" outlineLevel="3" ht="15.75" customHeight="1">
      <c r="A4027" s="10" t="n">
        <v>19</v>
      </c>
      <c r="B4027" s="10" t="inlineStr">
        <is>
          <t>Insumo</t>
        </is>
      </c>
      <c r="C4027" s="10" t="inlineStr">
        <is>
          <t xml:space="preserve">Pintura com tinta látex acrílica com selador em tetos, 3 demãos </t>
        </is>
      </c>
      <c r="D4027" s="10" t="inlineStr">
        <is>
          <t>Selador Primer Ibratin - 4,2kg - 3,6L</t>
        </is>
      </c>
      <c r="E4027" s="11">
        <f t="array" ref="E4027">_xlfn.XLOOKUP(D4027,Insumos!B:B,Insumos!C:$C)</f>
        <v/>
      </c>
      <c r="F4027" s="14" t="n">
        <v>0.1666</v>
      </c>
      <c r="G4027" s="92">
        <f t="array" ref="G4027">IF(B4027="insumo",_xlfn.XLOOKUP($D4027,Insumos!$B$1:$B$996,Insumos!$D$1:$D$996),"")</f>
        <v/>
      </c>
      <c r="H4027" s="92" t="n">
        <v>1.75855555555556</v>
      </c>
      <c r="I4027" s="2162" t="n">
        <v>0</v>
      </c>
      <c r="J4027" s="2162" t="n">
        <v>0</v>
      </c>
      <c r="K4027" s="2162" t="n"/>
    </row>
    <row r="4028" outlineLevel="3" ht="15.75" customHeight="1">
      <c r="A4028" s="10" t="n">
        <v>16</v>
      </c>
      <c r="B4028" s="10" t="inlineStr">
        <is>
          <t>Insumo</t>
        </is>
      </c>
      <c r="C4028" s="10" t="inlineStr">
        <is>
          <t xml:space="preserve">Pintura com tinta látex acrílica com selador em tetos, 3 demãos </t>
        </is>
      </c>
      <c r="D4028" s="10" t="inlineStr">
        <is>
          <t xml:space="preserve">TINTA ACRILICA PREMIUM </t>
        </is>
      </c>
      <c r="E4028" s="11">
        <f t="array" ref="E4028">_xlfn.XLOOKUP(D4028,Insumos!B:B,Insumos!C:$C)</f>
        <v/>
      </c>
      <c r="F4028" s="14" t="n">
        <v>0.495</v>
      </c>
      <c r="G4028" s="92">
        <f t="array" ref="G4028">IF(B4028="insumo",_xlfn.XLOOKUP($D4028,Insumos!$B$1:$B$996,Insumos!$D$1:$D$996),"")</f>
        <v/>
      </c>
      <c r="H4028" s="92" t="n">
        <v>12.1275</v>
      </c>
      <c r="I4028" s="2162" t="n">
        <v>0</v>
      </c>
      <c r="J4028" s="2162" t="n">
        <v>0</v>
      </c>
      <c r="K4028" s="2162" t="n"/>
    </row>
    <row r="4029" outlineLevel="2" ht="15.75" customHeight="1">
      <c r="A4029" s="1067" t="n">
        <v>1</v>
      </c>
      <c r="B4029" s="1067" t="inlineStr">
        <is>
          <t>Serviço</t>
        </is>
      </c>
      <c r="C4029" s="1067" t="inlineStr">
        <is>
          <t>Textura acrílica aplicação em tetos, 1 demão - Diore Ornamentali Bege Bahia</t>
        </is>
      </c>
      <c r="D4029" s="1067" t="inlineStr">
        <is>
          <t>Textura acrílica aplicação em tetos, 1 demão - Diore Ornamentali Bege Bahia</t>
        </is>
      </c>
      <c r="E4029" s="1068" t="inlineStr">
        <is>
          <t>M2</t>
        </is>
      </c>
      <c r="F4029" s="1067" t="n"/>
      <c r="G4029" s="1069">
        <f t="array" ref="G4029">IF(B4029="insumo",_xlfn.XLOOKUP($D4029,Insumos!$B$1:$B$996,Insumos!$D$1:$D$996),"")</f>
        <v/>
      </c>
      <c r="H4029" s="1069" t="n">
        <v>39.6</v>
      </c>
      <c r="I4029" s="2161" t="e">
        <v>#REF!</v>
      </c>
      <c r="J4029" s="2161" t="e">
        <v>#REF!</v>
      </c>
      <c r="K4029" s="2161" t="n"/>
    </row>
    <row r="4030" outlineLevel="3" ht="15.75" customHeight="1">
      <c r="A4030" s="10" t="n">
        <v>2</v>
      </c>
      <c r="B4030" s="10" t="inlineStr">
        <is>
          <t>Insumo</t>
        </is>
      </c>
      <c r="C4030" s="10" t="inlineStr">
        <is>
          <t>Textura acrílica aplicação em tetos, 1 demão - Diore Ornamentali Bege Bahia</t>
        </is>
      </c>
      <c r="D4030" s="10" t="inlineStr">
        <is>
          <t xml:space="preserve">revestimento Diore Ornamentali na cor Bege Bahia </t>
        </is>
      </c>
      <c r="E4030" s="11">
        <f t="array" ref="E4030">_xlfn.XLOOKUP(D4030,Insumos!B:B,Insumos!C:$C)</f>
        <v/>
      </c>
      <c r="F4030" s="14" t="n">
        <v>1.5</v>
      </c>
      <c r="G4030" s="92">
        <f t="array" ref="G4030">IF(B4030="insumo",_xlfn.XLOOKUP($D4030,Insumos!$B$1:$B$996,Insumos!$D$1:$D$996),"")</f>
        <v/>
      </c>
      <c r="H4030" s="92" t="n">
        <v>39.6</v>
      </c>
      <c r="I4030" s="2162" t="e">
        <v>#REF!</v>
      </c>
      <c r="J4030" s="2162" t="e">
        <v>#REF!</v>
      </c>
      <c r="K4030" s="2162" t="n"/>
    </row>
    <row r="4031" outlineLevel="2" ht="15.75" customHeight="1">
      <c r="A4031" s="1067" t="n">
        <v>1</v>
      </c>
      <c r="B4031" s="1067" t="inlineStr">
        <is>
          <t>Serviço</t>
        </is>
      </c>
      <c r="C4031" s="1067" t="inlineStr">
        <is>
          <t>Pintura Com Tinta Latex Acrilica em tetos, 3 Demaos (Somente tinta) - Suvinil Azul Etéreo</t>
        </is>
      </c>
      <c r="D4031" s="1067" t="inlineStr">
        <is>
          <t>Pintura Com Tinta Latex Acrilica em tetos, 3 Demaos (Somente tinta) - Suvinil Azul Etéreo</t>
        </is>
      </c>
      <c r="E4031" s="1068" t="inlineStr">
        <is>
          <t>M2</t>
        </is>
      </c>
      <c r="F4031" s="1067" t="n"/>
      <c r="G4031" s="1069">
        <f t="array" ref="G4031">IF(B4031="insumo",_xlfn.XLOOKUP($D4031,Insumos!$B$1:$B$996,Insumos!$D$1:$D$996),"")</f>
        <v/>
      </c>
      <c r="H4031" s="1069" t="n">
        <v>22.507959375</v>
      </c>
      <c r="I4031" s="2161" t="e">
        <v>#REF!</v>
      </c>
      <c r="J4031" s="2161" t="e">
        <v>#REF!</v>
      </c>
      <c r="K4031" s="2161" t="n"/>
    </row>
    <row r="4032" outlineLevel="3" ht="15.75" customHeight="1">
      <c r="A4032" s="10" t="n">
        <v>2</v>
      </c>
      <c r="B4032" s="10" t="inlineStr">
        <is>
          <t>Insumo</t>
        </is>
      </c>
      <c r="C4032" s="10" t="inlineStr">
        <is>
          <t>Pintura Com Tinta Latex Acrilica em tetos, 3 Demaos (Somente tinta) - Suvinil Azul Etéreo</t>
        </is>
      </c>
      <c r="D4032" s="10" t="inlineStr">
        <is>
          <t>TINTA ACRILICA PREMIUM AZUL ETÉREO</t>
        </is>
      </c>
      <c r="E4032" s="11">
        <f t="array" ref="E4032">_xlfn.XLOOKUP(D4032,Insumos!B:B,Insumos!C:$C)</f>
        <v/>
      </c>
      <c r="F4032" s="14" t="n">
        <v>0.495</v>
      </c>
      <c r="G4032" s="92">
        <f t="array" ref="G4032">IF(B4032="insumo",_xlfn.XLOOKUP($D4032,Insumos!$B$1:$B$996,Insumos!$D$1:$D$996),"")</f>
        <v/>
      </c>
      <c r="H4032" s="92" t="n">
        <v>22.507959375</v>
      </c>
      <c r="I4032" s="2162" t="e">
        <v>#REF!</v>
      </c>
      <c r="J4032" s="2162" t="e">
        <v>#REF!</v>
      </c>
      <c r="K4032" s="2162" t="n"/>
    </row>
    <row r="4033" outlineLevel="2" ht="15.75" customHeight="1">
      <c r="A4033" s="1067" t="n">
        <v>1</v>
      </c>
      <c r="B4033" s="1067" t="inlineStr">
        <is>
          <t>Serviço</t>
        </is>
      </c>
      <c r="C4033" s="1067" t="inlineStr">
        <is>
          <t>Pintura Com Tinta Latex Acrilica em tetos, 3 Demaos (Somente tinta) - Suvinil Papel Picado</t>
        </is>
      </c>
      <c r="D4033" s="1067" t="inlineStr">
        <is>
          <t>Pintura Com Tinta Latex Acrilica em tetos, 3 Demaos (Somente tinta) - Suvinil Papel Picado</t>
        </is>
      </c>
      <c r="E4033" s="1068" t="inlineStr">
        <is>
          <t>M2</t>
        </is>
      </c>
      <c r="F4033" s="1067" t="n"/>
      <c r="G4033" s="1069">
        <f t="array" ref="G4033">IF(B4033="insumo",_xlfn.XLOOKUP($D4033,Insumos!$B$1:$B$996,Insumos!$D$1:$D$996),"")</f>
        <v/>
      </c>
      <c r="H4033" s="1069" t="n">
        <v>20.46886875</v>
      </c>
      <c r="I4033" s="2161" t="e">
        <v>#REF!</v>
      </c>
      <c r="J4033" s="2161" t="e">
        <v>#REF!</v>
      </c>
      <c r="K4033" s="2161" t="n"/>
    </row>
    <row r="4034" outlineLevel="3" ht="15.75" customHeight="1">
      <c r="A4034" s="10" t="n">
        <v>2</v>
      </c>
      <c r="B4034" s="10" t="inlineStr">
        <is>
          <t>Insumo</t>
        </is>
      </c>
      <c r="C4034" s="10" t="inlineStr">
        <is>
          <t>Pintura Com Tinta Latex Acrilica em tetos, 3 Demaos (Somente tinta) - Suvinil Papel Picado</t>
        </is>
      </c>
      <c r="D4034" s="10" t="inlineStr">
        <is>
          <t>TINTA ACRILICA PREMIUM  PAPEL PICADO</t>
        </is>
      </c>
      <c r="E4034" s="11">
        <f t="array" ref="E4034">_xlfn.XLOOKUP(D4034,Insumos!B:B,Insumos!C:$C)</f>
        <v/>
      </c>
      <c r="F4034" s="14" t="n">
        <v>0.495</v>
      </c>
      <c r="G4034" s="92">
        <f t="array" ref="G4034">IF(B4034="insumo",_xlfn.XLOOKUP($D4034,Insumos!$B$1:$B$996,Insumos!$D$1:$D$996),"")</f>
        <v/>
      </c>
      <c r="H4034" s="92" t="n">
        <v>20.46886875</v>
      </c>
      <c r="I4034" s="2162" t="e">
        <v>#REF!</v>
      </c>
      <c r="J4034" s="2162" t="e">
        <v>#REF!</v>
      </c>
      <c r="K4034" s="2162" t="n"/>
    </row>
    <row r="4035" outlineLevel="2" ht="15.75" customHeight="1">
      <c r="A4035" s="1067" t="n">
        <v>1</v>
      </c>
      <c r="B4035" s="1067" t="inlineStr">
        <is>
          <t>Serviço</t>
        </is>
      </c>
      <c r="C4035" s="1067" t="inlineStr">
        <is>
          <t xml:space="preserve">Textura acrílica aplicação em tetos, 1 demão - Textura Terracal / Marca: Terracor </t>
        </is>
      </c>
      <c r="D4035" s="1067" t="inlineStr">
        <is>
          <t xml:space="preserve">Textura acrílica aplicação em tetos, 1 demão - Textura Terracal / Marca: Terracor </t>
        </is>
      </c>
      <c r="E4035" s="1068" t="inlineStr">
        <is>
          <t>M2</t>
        </is>
      </c>
      <c r="F4035" s="1067" t="n"/>
      <c r="G4035" s="1069">
        <f t="array" ref="G4035">IF(B4035="insumo",_xlfn.XLOOKUP($D4035,Insumos!$B$1:$B$996,Insumos!$D$1:$D$996),"")</f>
        <v/>
      </c>
      <c r="H4035" s="1069" t="n">
        <v>66.75</v>
      </c>
      <c r="I4035" s="2161" t="n">
        <v>0</v>
      </c>
      <c r="J4035" s="2161" t="n">
        <v>0</v>
      </c>
      <c r="K4035" s="2161" t="n"/>
    </row>
    <row r="4036" outlineLevel="3" ht="15.75" customHeight="1">
      <c r="A4036" s="10" t="n">
        <v>3</v>
      </c>
      <c r="B4036" s="10" t="inlineStr">
        <is>
          <t>Insumo</t>
        </is>
      </c>
      <c r="C4036" s="10" t="inlineStr">
        <is>
          <t xml:space="preserve">Textura acrílica aplicação em tetos, 1 demão - Textura Terracal / Marca: Terracor </t>
        </is>
      </c>
      <c r="D4036" s="10" t="inlineStr">
        <is>
          <t xml:space="preserve">Textura Terracal / Marca: Terracor </t>
        </is>
      </c>
      <c r="E4036" s="11">
        <f t="array" ref="E4036">_xlfn.XLOOKUP(D4036,Insumos!B:B,Insumos!C:$C)</f>
        <v/>
      </c>
      <c r="F4036" s="14" t="n">
        <v>1.5</v>
      </c>
      <c r="G4036" s="92">
        <f t="array" ref="G4036">IF(B4036="insumo",_xlfn.XLOOKUP($D4036,Insumos!$B$1:$B$996,Insumos!$D$1:$D$996),"")</f>
        <v/>
      </c>
      <c r="H4036" s="92" t="n">
        <v>66.75</v>
      </c>
      <c r="I4036" s="2162" t="n">
        <v>0</v>
      </c>
      <c r="J4036" s="2162" t="n">
        <v>0</v>
      </c>
      <c r="K4036" s="2162" t="n"/>
    </row>
    <row r="4037" outlineLevel="2" ht="15.75" customHeight="1">
      <c r="A4037" s="1067" t="n">
        <v>1</v>
      </c>
      <c r="B4037" s="1067" t="inlineStr">
        <is>
          <t>Serviço</t>
        </is>
      </c>
      <c r="C4037" s="1067" t="inlineStr">
        <is>
          <t>Pintura Com Tinta Latex Acrilica em tetos, 3 Demaos (Somente tinta)</t>
        </is>
      </c>
      <c r="D4037" s="1067" t="inlineStr">
        <is>
          <t>Pintura Com Tinta Latex Acrilica em tetos, 3 Demaos (Somente tinta)</t>
        </is>
      </c>
      <c r="E4037" s="1068" t="inlineStr">
        <is>
          <t>M2</t>
        </is>
      </c>
      <c r="F4037" s="1067" t="n"/>
      <c r="G4037" s="1069">
        <f t="array" ref="G4037">IF(B4037="insumo",_xlfn.XLOOKUP($D4037,Insumos!$B$1:$B$996,Insumos!$D$1:$D$996),"")</f>
        <v/>
      </c>
      <c r="H4037" s="1069" t="n">
        <v>12.1275</v>
      </c>
      <c r="I4037" s="2161" t="e">
        <v>#REF!</v>
      </c>
      <c r="J4037" s="2161" t="e">
        <v>#REF!</v>
      </c>
      <c r="K4037" s="2161" t="n"/>
    </row>
    <row r="4038" outlineLevel="3" ht="15.75" customHeight="1">
      <c r="A4038" s="10" t="n">
        <v>16</v>
      </c>
      <c r="B4038" s="10" t="inlineStr">
        <is>
          <t>Insumo</t>
        </is>
      </c>
      <c r="C4038" s="10" t="inlineStr">
        <is>
          <t>Pintura Com Tinta Latex Acrilica em tetos, 3 Demaos (Somente tinta)</t>
        </is>
      </c>
      <c r="D4038" s="10" t="inlineStr">
        <is>
          <t xml:space="preserve">TINTA ACRILICA PREMIUM </t>
        </is>
      </c>
      <c r="E4038" s="11">
        <f t="array" ref="E4038">_xlfn.XLOOKUP(D4038,Insumos!B:B,Insumos!C:$C)</f>
        <v/>
      </c>
      <c r="F4038" s="14" t="n">
        <v>0.495</v>
      </c>
      <c r="G4038" s="92">
        <f t="array" ref="G4038">IF(B4038="insumo",_xlfn.XLOOKUP($D4038,Insumos!$B$1:$B$996,Insumos!$D$1:$D$996),"")</f>
        <v/>
      </c>
      <c r="H4038" s="92" t="n">
        <v>12.1275</v>
      </c>
      <c r="I4038" s="2162" t="e">
        <v>#REF!</v>
      </c>
      <c r="J4038" s="2162" t="e">
        <v>#REF!</v>
      </c>
      <c r="K4038" s="2162" t="n"/>
    </row>
    <row r="4039" outlineLevel="2" ht="15.75" customHeight="1">
      <c r="A4039" s="1067" t="n">
        <v>1</v>
      </c>
      <c r="B4039" s="1067" t="inlineStr">
        <is>
          <t>Serviço</t>
        </is>
      </c>
      <c r="C4039" s="1067" t="inlineStr">
        <is>
          <t>Pintura Artistica em tetos</t>
        </is>
      </c>
      <c r="D4039" s="1067" t="inlineStr">
        <is>
          <t>Pintura Artistica em tetos</t>
        </is>
      </c>
      <c r="E4039" s="1068" t="inlineStr">
        <is>
          <t>M2</t>
        </is>
      </c>
      <c r="F4039" s="1067" t="n"/>
      <c r="G4039" s="1069">
        <f t="array" ref="G4039">IF(B4039="insumo",_xlfn.XLOOKUP($D4039,Insumos!$B$1:$B$996,Insumos!$D$1:$D$996),"")</f>
        <v/>
      </c>
      <c r="H4039" s="1069" t="n">
        <v>80</v>
      </c>
      <c r="I4039" s="2161" t="e">
        <v>#REF!</v>
      </c>
      <c r="J4039" s="2161" t="e">
        <v>#REF!</v>
      </c>
      <c r="K4039" s="2161" t="n"/>
    </row>
    <row r="4040" outlineLevel="3" ht="15.75" customHeight="1">
      <c r="A4040" s="10" t="n">
        <v>1</v>
      </c>
      <c r="B4040" s="10" t="inlineStr">
        <is>
          <t>Insumo</t>
        </is>
      </c>
      <c r="C4040" s="10" t="inlineStr">
        <is>
          <t>Pintura Artistica em tetos</t>
        </is>
      </c>
      <c r="D4040" s="10" t="inlineStr">
        <is>
          <t>Pintura Artistica em tetos</t>
        </is>
      </c>
      <c r="E4040" s="11">
        <f t="array" ref="E4040">_xlfn.XLOOKUP(D4040,Insumos!B:B,Insumos!C:$C)</f>
        <v/>
      </c>
      <c r="F4040" s="14" t="n">
        <v>1</v>
      </c>
      <c r="G4040" s="92">
        <f t="array" ref="G4040">IF(B4040="insumo",_xlfn.XLOOKUP($D4040,Insumos!$B$1:$B$996,Insumos!$D$1:$D$996),"")</f>
        <v/>
      </c>
      <c r="H4040" s="92" t="n">
        <v>80</v>
      </c>
      <c r="I4040" s="2162" t="e">
        <v>#REF!</v>
      </c>
      <c r="J4040" s="2162" t="e">
        <v>#REF!</v>
      </c>
      <c r="K4040" s="2162" t="n"/>
    </row>
    <row r="4041" outlineLevel="2" ht="12.75" customHeight="1">
      <c r="A4041" s="1071" t="n">
        <v>1</v>
      </c>
      <c r="B4041" s="1071" t="inlineStr">
        <is>
          <t>Serviço</t>
        </is>
      </c>
      <c r="C4041" s="1071" t="inlineStr">
        <is>
          <t>Pintura Com Tinta Latex Acrilica em tetos, 3 Demaos (Somente tinta e fundo)</t>
        </is>
      </c>
      <c r="D4041" s="1071" t="inlineStr">
        <is>
          <t>Pintura Com Tinta Latex Acrilica em tetos, 3 Demaos (Somente tinta e fundo)</t>
        </is>
      </c>
      <c r="E4041" s="1072" t="inlineStr">
        <is>
          <t>M2</t>
        </is>
      </c>
      <c r="F4041" s="1071" t="n"/>
      <c r="G4041" s="1073">
        <f t="array" ref="G4041">IF(B4041="insumo",_xlfn.XLOOKUP($D4041,Insumos!$B$1:$B$996,Insumos!$D$1:$D$996),"")</f>
        <v/>
      </c>
      <c r="H4041" s="1073" t="n">
        <v>13.205402</v>
      </c>
      <c r="I4041" s="2163" t="n">
        <v>0</v>
      </c>
      <c r="J4041" s="2163" t="n">
        <v>0</v>
      </c>
      <c r="K4041" s="2163" t="n"/>
    </row>
    <row r="4042" outlineLevel="3" ht="12.75" customHeight="1">
      <c r="A4042" s="82" t="n">
        <v>16</v>
      </c>
      <c r="B4042" s="82" t="inlineStr">
        <is>
          <t>Insumo</t>
        </is>
      </c>
      <c r="C4042" s="82" t="inlineStr">
        <is>
          <t>Pintura Com Tinta Latex Acrilica em tetos, 3 Demaos (Somente tinta e fundo)</t>
        </is>
      </c>
      <c r="D4042" s="82" t="inlineStr">
        <is>
          <t xml:space="preserve">TINTA ACRILICA PREMIUM </t>
        </is>
      </c>
      <c r="E4042" s="11">
        <f t="array" ref="E4042">_xlfn.XLOOKUP(D4042,Insumos!B:B,Insumos!C:$C)</f>
        <v/>
      </c>
      <c r="F4042" s="2171" t="n">
        <v>0.495</v>
      </c>
      <c r="G4042" s="92">
        <f t="array" ref="G4042">IF(B4042="insumo",_xlfn.XLOOKUP($D4042,Insumos!$B$1:$B$996,Insumos!$D$1:$D$996),"")</f>
        <v/>
      </c>
      <c r="H4042" s="92" t="n">
        <v>12.1275</v>
      </c>
      <c r="I4042" s="2165" t="n">
        <v>0</v>
      </c>
      <c r="J4042" s="2165" t="n">
        <v>0</v>
      </c>
      <c r="K4042" s="2165" t="n"/>
    </row>
    <row r="4043" outlineLevel="3" ht="12.75" customHeight="1">
      <c r="A4043" s="82" t="n">
        <v>31</v>
      </c>
      <c r="B4043" s="82" t="inlineStr">
        <is>
          <t>Insumo</t>
        </is>
      </c>
      <c r="C4043" s="82" t="inlineStr">
        <is>
          <t>Pintura Com Tinta Latex Acrilica em tetos, 3 Demaos (Somente tinta e fundo)</t>
        </is>
      </c>
      <c r="D4043" s="82" t="inlineStr">
        <is>
          <t>Selador acrilico opaco premium interno/externo</t>
        </is>
      </c>
      <c r="E4043" s="11">
        <f t="array" ref="E4043">_xlfn.XLOOKUP(D4043,Insumos!B:B,Insumos!C:$C)</f>
        <v/>
      </c>
      <c r="F4043" s="2171" t="n">
        <v>0.1666</v>
      </c>
      <c r="G4043" s="92">
        <f t="array" ref="G4043">IF(B4043="insumo",_xlfn.XLOOKUP($D4043,Insumos!$B$1:$B$996,Insumos!$D$1:$D$996),"")</f>
        <v/>
      </c>
      <c r="H4043" s="92" t="n">
        <v>1.077902</v>
      </c>
      <c r="I4043" s="2165" t="n">
        <v>0</v>
      </c>
      <c r="J4043" s="2165" t="n">
        <v>0</v>
      </c>
      <c r="K4043" s="2165" t="n"/>
    </row>
    <row r="4044" outlineLevel="2" ht="15.75" customHeight="1">
      <c r="A4044" s="1067" t="n">
        <v>1</v>
      </c>
      <c r="B4044" s="1067" t="inlineStr">
        <is>
          <t>Serviço</t>
        </is>
      </c>
      <c r="C4044" s="1067" t="inlineStr">
        <is>
          <t>Pintura em Epóxi em tetos, Aplicação Manual, 2 Demãos</t>
        </is>
      </c>
      <c r="D4044" s="1067" t="inlineStr">
        <is>
          <t>Pintura em Epóxi em tetos, Aplicação Manual, 2 Demãos</t>
        </is>
      </c>
      <c r="E4044" s="1068" t="inlineStr">
        <is>
          <t>M2</t>
        </is>
      </c>
      <c r="F4044" s="1067" t="n"/>
      <c r="G4044" s="1069">
        <f t="array" ref="G4044">IF(B4044="insumo",_xlfn.XLOOKUP($D4044,Insumos!$B$1:$B$996,Insumos!$D$1:$D$996),"")</f>
        <v/>
      </c>
      <c r="H4044" s="1069" t="n">
        <v>70.5670306666667</v>
      </c>
      <c r="I4044" s="2161" t="e">
        <v>#REF!</v>
      </c>
      <c r="J4044" s="2161" t="e">
        <v>#REF!</v>
      </c>
      <c r="K4044" s="2161" t="n"/>
    </row>
    <row r="4045" outlineLevel="3" ht="15.75" customHeight="1">
      <c r="A4045" s="10" t="n">
        <v>9</v>
      </c>
      <c r="B4045" s="10" t="inlineStr">
        <is>
          <t>Insumo</t>
        </is>
      </c>
      <c r="C4045" s="10" t="inlineStr">
        <is>
          <t>Pintura em Epóxi em tetos, Aplicação Manual, 2 Demãos</t>
        </is>
      </c>
      <c r="D4045" s="10" t="inlineStr">
        <is>
          <t>Diluente Epoxi</t>
        </is>
      </c>
      <c r="E4045" s="11">
        <f t="array" ref="E4045">_xlfn.XLOOKUP(D4045,Insumos!B:B,Insumos!C:$C)</f>
        <v/>
      </c>
      <c r="F4045" s="14" t="n">
        <v>0.064</v>
      </c>
      <c r="G4045" s="92">
        <f t="array" ref="G4045">IF(B4045="insumo",_xlfn.XLOOKUP($D4045,Insumos!$B$1:$B$996,Insumos!$D$1:$D$996),"")</f>
        <v/>
      </c>
      <c r="H4045" s="92" t="n">
        <v>3.20768</v>
      </c>
      <c r="I4045" s="2162" t="e">
        <v>#REF!</v>
      </c>
      <c r="J4045" s="2162" t="e">
        <v>#REF!</v>
      </c>
      <c r="K4045" s="2162" t="n"/>
    </row>
    <row r="4046" outlineLevel="3" ht="15.75" customHeight="1">
      <c r="A4046" s="10" t="n">
        <v>25</v>
      </c>
      <c r="B4046" s="10" t="inlineStr">
        <is>
          <t>Insumo</t>
        </is>
      </c>
      <c r="C4046" s="10" t="inlineStr">
        <is>
          <t>Pintura em Epóxi em tetos, Aplicação Manual, 2 Demãos</t>
        </is>
      </c>
      <c r="D4046" s="10" t="inlineStr">
        <is>
          <t>Fita Crepe Rolo De 25 Mm X 50 M</t>
        </is>
      </c>
      <c r="E4046" s="11">
        <f t="array" ref="E4046">_xlfn.XLOOKUP(D4046,Insumos!B:B,Insumos!C:$C)</f>
        <v/>
      </c>
      <c r="F4046" s="14" t="n">
        <v>0.01</v>
      </c>
      <c r="G4046" s="92">
        <f t="array" ref="G4046">IF(B4046="insumo",_xlfn.XLOOKUP($D4046,Insumos!$B$1:$B$996,Insumos!$D$1:$D$996),"")</f>
        <v/>
      </c>
      <c r="H4046" s="92" t="n">
        <v>0.1126</v>
      </c>
      <c r="I4046" s="2162" t="e">
        <v>#REF!</v>
      </c>
      <c r="J4046" s="2162" t="e">
        <v>#REF!</v>
      </c>
      <c r="K4046" s="2162" t="n"/>
    </row>
    <row r="4047" outlineLevel="3" ht="15.75" customHeight="1">
      <c r="A4047" s="10" t="n">
        <v>8</v>
      </c>
      <c r="B4047" s="10" t="inlineStr">
        <is>
          <t>Insumo</t>
        </is>
      </c>
      <c r="C4047" s="10" t="inlineStr">
        <is>
          <t>Pintura em Epóxi em tetos, Aplicação Manual, 2 Demãos</t>
        </is>
      </c>
      <c r="D4047" s="10" t="inlineStr">
        <is>
          <t>Primer Epoxi / Epoxidico</t>
        </is>
      </c>
      <c r="E4047" s="11">
        <f t="array" ref="E4047">_xlfn.XLOOKUP(D4047,Insumos!B:B,Insumos!C:$C)</f>
        <v/>
      </c>
      <c r="F4047" s="14" t="n">
        <v>0.2016</v>
      </c>
      <c r="G4047" s="92">
        <f t="array" ref="G4047">IF(B4047="insumo",_xlfn.XLOOKUP($D4047,Insumos!$B$1:$B$996,Insumos!$D$1:$D$996),"")</f>
        <v/>
      </c>
      <c r="H4047" s="92" t="n">
        <v>27.667584</v>
      </c>
      <c r="I4047" s="2162" t="e">
        <v>#REF!</v>
      </c>
      <c r="J4047" s="2162" t="e">
        <v>#REF!</v>
      </c>
      <c r="K4047" s="2162" t="n"/>
    </row>
    <row r="4048" outlineLevel="3" ht="15.75" customHeight="1">
      <c r="A4048" s="10" t="n">
        <v>9</v>
      </c>
      <c r="B4048" s="10" t="inlineStr">
        <is>
          <t>Insumo</t>
        </is>
      </c>
      <c r="C4048" s="10" t="inlineStr">
        <is>
          <t>Pintura em Epóxi em tetos, Aplicação Manual, 2 Demãos</t>
        </is>
      </c>
      <c r="D4048" s="10" t="inlineStr">
        <is>
          <t>Tinta Epoxi Base Agua Premium</t>
        </is>
      </c>
      <c r="E4048" s="11">
        <f t="array" ref="E4048">_xlfn.XLOOKUP(D4048,Insumos!B:B,Insumos!C:$C)</f>
        <v/>
      </c>
      <c r="F4048" s="14" t="n">
        <v>0.483</v>
      </c>
      <c r="G4048" s="92">
        <f t="array" ref="G4048">IF(B4048="insumo",_xlfn.XLOOKUP($D4048,Insumos!$B$1:$B$996,Insumos!$D$1:$D$996),"")</f>
        <v/>
      </c>
      <c r="H4048" s="92" t="n">
        <v>39.5791666666667</v>
      </c>
      <c r="I4048" s="2162" t="e">
        <v>#REF!</v>
      </c>
      <c r="J4048" s="2162" t="e">
        <v>#REF!</v>
      </c>
      <c r="K4048" s="2162" t="n"/>
    </row>
    <row r="4049" outlineLevel="2" ht="15.75" customHeight="1">
      <c r="A4049" s="1067" t="n">
        <v>1</v>
      </c>
      <c r="B4049" s="1067" t="inlineStr">
        <is>
          <t>Serviço</t>
        </is>
      </c>
      <c r="C4049" s="1067" t="inlineStr">
        <is>
          <t>selador em tetos</t>
        </is>
      </c>
      <c r="D4049" s="1067" t="inlineStr">
        <is>
          <t>selador em tetos</t>
        </is>
      </c>
      <c r="E4049" s="1068" t="inlineStr">
        <is>
          <t>M2</t>
        </is>
      </c>
      <c r="F4049" s="1067" t="n"/>
      <c r="G4049" s="1069">
        <f t="array" ref="G4049">IF(B4049="insumo",_xlfn.XLOOKUP($D4049,Insumos!$B$1:$B$996,Insumos!$D$1:$D$996),"")</f>
        <v/>
      </c>
      <c r="H4049" s="1069" t="n">
        <v>1.75855555555556</v>
      </c>
      <c r="I4049" s="2161" t="e">
        <v>#REF!</v>
      </c>
      <c r="J4049" s="2161" t="e">
        <v>#REF!</v>
      </c>
      <c r="K4049" s="2161" t="n"/>
    </row>
    <row r="4050" outlineLevel="3" ht="15.75" customHeight="1">
      <c r="A4050" s="10" t="n">
        <v>19</v>
      </c>
      <c r="B4050" s="10" t="inlineStr">
        <is>
          <t>Insumo</t>
        </is>
      </c>
      <c r="C4050" s="10" t="inlineStr">
        <is>
          <t>selador em tetos</t>
        </is>
      </c>
      <c r="D4050" s="10" t="inlineStr">
        <is>
          <t>Selador Primer Ibratin - 4,2kg - 3,6L</t>
        </is>
      </c>
      <c r="E4050" s="11">
        <f t="array" ref="E4050">_xlfn.XLOOKUP(D4050,Insumos!B:B,Insumos!C:$C)</f>
        <v/>
      </c>
      <c r="F4050" s="14" t="n">
        <v>0.1666</v>
      </c>
      <c r="G4050" s="92">
        <f t="array" ref="G4050">IF(B4050="insumo",_xlfn.XLOOKUP($D4050,Insumos!$B$1:$B$996,Insumos!$D$1:$D$996),"")</f>
        <v/>
      </c>
      <c r="H4050" s="92" t="n">
        <v>1.75855555555556</v>
      </c>
      <c r="I4050" s="2162" t="e">
        <v>#REF!</v>
      </c>
      <c r="J4050" s="2162" t="e">
        <v>#REF!</v>
      </c>
      <c r="K4050" s="2162" t="n"/>
    </row>
    <row r="4051" outlineLevel="2" ht="12.75" customHeight="1">
      <c r="A4051" s="1071" t="n">
        <v>1</v>
      </c>
      <c r="B4051" s="1071" t="inlineStr">
        <is>
          <t>Serviço</t>
        </is>
      </c>
      <c r="C4051" s="1071" t="inlineStr">
        <is>
          <t>Massa corrida em tetos</t>
        </is>
      </c>
      <c r="D4051" s="1071" t="inlineStr">
        <is>
          <t>Massa corrida em tetos</t>
        </is>
      </c>
      <c r="E4051" s="1072" t="inlineStr">
        <is>
          <t>M2</t>
        </is>
      </c>
      <c r="F4051" s="1071" t="n"/>
      <c r="G4051" s="1073">
        <f t="array" ref="G4051">IF(B4051="insumo",_xlfn.XLOOKUP($D4051,Insumos!$B$1:$B$996,Insumos!$D$1:$D$996),"")</f>
        <v/>
      </c>
      <c r="H4051" s="1073" t="n">
        <v>4.34916</v>
      </c>
      <c r="I4051" s="2163" t="e">
        <v>#REF!</v>
      </c>
      <c r="J4051" s="2163" t="e">
        <v>#REF!</v>
      </c>
      <c r="K4051" s="2163" t="n"/>
    </row>
    <row r="4052" outlineLevel="3" ht="12.75" customHeight="1">
      <c r="A4052" s="82" t="n">
        <v>36</v>
      </c>
      <c r="B4052" s="82" t="inlineStr">
        <is>
          <t>Insumo</t>
        </is>
      </c>
      <c r="C4052" s="82" t="inlineStr">
        <is>
          <t>Massa corrida em tetos</t>
        </is>
      </c>
      <c r="D4052" s="82" t="inlineStr">
        <is>
          <t>LIXA DAGUA 225X275MM GR100</t>
        </is>
      </c>
      <c r="E4052" s="11">
        <f t="array" ref="E4052">_xlfn.XLOOKUP(D4052,Insumos!B:B,Insumos!C:$C)</f>
        <v/>
      </c>
      <c r="F4052" s="2164" t="n">
        <v>0.1</v>
      </c>
      <c r="G4052" s="92">
        <f t="array" ref="G4052">IF(B4052="insumo",_xlfn.XLOOKUP($D4052,Insumos!$B$1:$B$996,Insumos!$D$1:$D$996),"")</f>
        <v/>
      </c>
      <c r="H4052" s="92" t="n">
        <v>0.189</v>
      </c>
      <c r="I4052" s="2165" t="e">
        <v>#REF!</v>
      </c>
      <c r="J4052" s="2165" t="e">
        <v>#REF!</v>
      </c>
      <c r="K4052" s="2165" t="n"/>
    </row>
    <row r="4053" outlineLevel="3" ht="12.75" customHeight="1">
      <c r="A4053" s="82" t="n">
        <v>21</v>
      </c>
      <c r="B4053" s="82" t="inlineStr">
        <is>
          <t>Insumo</t>
        </is>
      </c>
      <c r="C4053" s="82" t="inlineStr">
        <is>
          <t>Massa corrida em tetos</t>
        </is>
      </c>
      <c r="D4053" s="82" t="inlineStr">
        <is>
          <t>Massa corrida para superfícies de ambientes internos</t>
        </is>
      </c>
      <c r="E4053" s="11">
        <f t="array" ref="E4053">_xlfn.XLOOKUP(D4053,Insumos!B:B,Insumos!C:$C)</f>
        <v/>
      </c>
      <c r="F4053" s="2164" t="n">
        <v>0.8667</v>
      </c>
      <c r="G4053" s="92">
        <f t="array" ref="G4053">IF(B4053="insumo",_xlfn.XLOOKUP($D4053,Insumos!$B$1:$B$996,Insumos!$D$1:$D$996),"")</f>
        <v/>
      </c>
      <c r="H4053" s="92" t="n">
        <v>4.16016</v>
      </c>
      <c r="I4053" s="2165" t="e">
        <v>#REF!</v>
      </c>
      <c r="J4053" s="2165" t="e">
        <v>#REF!</v>
      </c>
      <c r="K4053" s="2165" t="n"/>
    </row>
    <row r="4054" outlineLevel="2" ht="12.75" customHeight="1">
      <c r="A4054" s="1071" t="n">
        <v>1</v>
      </c>
      <c r="B4054" s="1071" t="inlineStr">
        <is>
          <t>Serviço</t>
        </is>
      </c>
      <c r="C4054" s="1071" t="inlineStr">
        <is>
          <t>Textura acrílica aplicação rolada em tetos, 1 demão</t>
        </is>
      </c>
      <c r="D4054" s="1071" t="inlineStr">
        <is>
          <t>Textura acrílica aplicação rolada em tetos, 1 demão</t>
        </is>
      </c>
      <c r="E4054" s="1072" t="inlineStr">
        <is>
          <t>M2</t>
        </is>
      </c>
      <c r="F4054" s="1071" t="n"/>
      <c r="G4054" s="1073">
        <f t="array" ref="G4054">IF(B4054="insumo",_xlfn.XLOOKUP($D4054,Insumos!$B$1:$B$996,Insumos!$D$1:$D$996),"")</f>
        <v/>
      </c>
      <c r="H4054" s="1073" t="n">
        <v>13.671902</v>
      </c>
      <c r="I4054" s="2163" t="n">
        <v>0</v>
      </c>
      <c r="J4054" s="2163" t="n">
        <v>0</v>
      </c>
      <c r="K4054" s="2163" t="n"/>
    </row>
    <row r="4055" outlineLevel="3" ht="12.75" customHeight="1">
      <c r="A4055" s="82" t="n">
        <v>31</v>
      </c>
      <c r="B4055" s="82" t="inlineStr">
        <is>
          <t>Insumo</t>
        </is>
      </c>
      <c r="C4055" s="82" t="inlineStr">
        <is>
          <t>Textura acrílica aplicação rolada em tetos, 1 demão</t>
        </is>
      </c>
      <c r="D4055" s="82" t="inlineStr">
        <is>
          <t>Selador acrilico opaco premium interno/externo</t>
        </is>
      </c>
      <c r="E4055" s="11">
        <f t="array" ref="E4055">_xlfn.XLOOKUP(D4055,Insumos!B:B,Insumos!C:$C)</f>
        <v/>
      </c>
      <c r="F4055" s="2171" t="n">
        <v>0.1666</v>
      </c>
      <c r="G4055" s="92">
        <f t="array" ref="G4055">IF(B4055="insumo",_xlfn.XLOOKUP($D4055,Insumos!$B$1:$B$996,Insumos!$D$1:$D$996),"")</f>
        <v/>
      </c>
      <c r="H4055" s="92" t="n">
        <v>1.077902</v>
      </c>
      <c r="I4055" s="2165" t="n">
        <v>0</v>
      </c>
      <c r="J4055" s="2165" t="n">
        <v>0</v>
      </c>
      <c r="K4055" s="2165" t="n"/>
    </row>
    <row r="4056" outlineLevel="3" ht="12.75" customHeight="1">
      <c r="A4056" s="82" t="n">
        <v>5</v>
      </c>
      <c r="B4056" s="82" t="inlineStr">
        <is>
          <t>Insumo</t>
        </is>
      </c>
      <c r="C4056" s="82" t="inlineStr">
        <is>
          <t>Textura acrílica aplicação rolada em tetos, 1 demão</t>
        </is>
      </c>
      <c r="D4056" s="82" t="inlineStr">
        <is>
          <t>Textura acrilica branca - Coral</t>
        </is>
      </c>
      <c r="E4056" s="11">
        <f t="array" ref="E4056">_xlfn.XLOOKUP(D4056,Insumos!B:B,Insumos!C:$C)</f>
        <v/>
      </c>
      <c r="F4056" s="2171" t="n">
        <v>1.5</v>
      </c>
      <c r="G4056" s="92">
        <f t="array" ref="G4056">IF(B4056="insumo",_xlfn.XLOOKUP($D4056,Insumos!$B$1:$B$996,Insumos!$D$1:$D$996),"")</f>
        <v/>
      </c>
      <c r="H4056" s="92" t="n">
        <v>12.594</v>
      </c>
      <c r="I4056" s="2165" t="n">
        <v>0</v>
      </c>
      <c r="J4056" s="2165" t="n">
        <v>0</v>
      </c>
      <c r="K4056" s="2165" t="n"/>
    </row>
    <row r="4057" outlineLevel="1" ht="15.75" customHeight="1">
      <c r="A4057" s="1090" t="n">
        <v>1</v>
      </c>
      <c r="B4057" s="1090" t="inlineStr">
        <is>
          <t>Subetapa</t>
        </is>
      </c>
      <c r="C4057" s="1090" t="inlineStr">
        <is>
          <t>Textura acrílica aplicação rolada em tetos, 1 demão</t>
        </is>
      </c>
      <c r="D4057" s="1090" t="inlineStr">
        <is>
          <t>MÃO DE OBRA PISOS</t>
        </is>
      </c>
      <c r="E4057" s="1091" t="n"/>
      <c r="F4057" s="2160" t="n"/>
      <c r="G4057" s="1091" t="n"/>
      <c r="H4057" s="1091" t="n">
        <v>0</v>
      </c>
      <c r="I4057" s="2160" t="n">
        <v>0</v>
      </c>
      <c r="J4057" s="2160" t="n">
        <v>0</v>
      </c>
      <c r="K4057" s="2160" t="n"/>
    </row>
    <row r="4058" outlineLevel="2" ht="15.75" customHeight="1">
      <c r="A4058" s="1067" t="n">
        <v>1</v>
      </c>
      <c r="B4058" s="1067" t="inlineStr">
        <is>
          <t>Serviço</t>
        </is>
      </c>
      <c r="C4058" s="1067" t="inlineStr">
        <is>
          <t>Mão de obra para pintura em pisos , 2 demãos</t>
        </is>
      </c>
      <c r="D4058" s="1067" t="inlineStr">
        <is>
          <t>Mão de obra para pintura em pisos , 2 demãos</t>
        </is>
      </c>
      <c r="E4058" s="1068" t="inlineStr">
        <is>
          <t>M2</t>
        </is>
      </c>
      <c r="F4058" s="1075" t="n"/>
      <c r="G4058" s="1069">
        <f t="array" ref="G4058">IF(B4058="insumo",_xlfn.XLOOKUP($D4058,Insumos!$B$1:$B$996,Insumos!$D$1:$D$996),"")</f>
        <v/>
      </c>
      <c r="H4058" s="1069" t="n">
        <v>41</v>
      </c>
      <c r="I4058" s="2161" t="n">
        <v>0</v>
      </c>
      <c r="J4058" s="2161" t="n">
        <v>0</v>
      </c>
      <c r="K4058" s="2161" t="n"/>
    </row>
    <row r="4059" outlineLevel="3" ht="15.75" customHeight="1">
      <c r="A4059" s="10" t="n">
        <v>1</v>
      </c>
      <c r="B4059" s="10" t="inlineStr">
        <is>
          <t>Insumo</t>
        </is>
      </c>
      <c r="C4059" s="10" t="inlineStr">
        <is>
          <t>Mão de obra para pintura em pisos , 2 demãos</t>
        </is>
      </c>
      <c r="D4059" s="10" t="inlineStr">
        <is>
          <t>Mão de obra para pintura em pisos , 2 demãos</t>
        </is>
      </c>
      <c r="E4059" s="11">
        <f t="array" ref="E4059">_xlfn.XLOOKUP(D4059,Insumos!B:B,Insumos!C:$C)</f>
        <v/>
      </c>
      <c r="F4059" s="14" t="n">
        <v>1</v>
      </c>
      <c r="G4059" s="92">
        <f t="array" ref="G4059">IF(B4059="insumo",_xlfn.XLOOKUP($D4059,Insumos!$B$1:$B$996,Insumos!$D$1:$D$996),"")</f>
        <v/>
      </c>
      <c r="H4059" s="92" t="n">
        <v>41</v>
      </c>
      <c r="I4059" s="2162" t="n">
        <v>0</v>
      </c>
      <c r="J4059" s="2162" t="n">
        <v>0</v>
      </c>
      <c r="K4059" s="2162" t="n"/>
    </row>
    <row r="4060" outlineLevel="2" ht="15.75" customHeight="1">
      <c r="A4060" s="1067" t="n">
        <v>1</v>
      </c>
      <c r="B4060" s="1067" t="inlineStr">
        <is>
          <t>Serviço</t>
        </is>
      </c>
      <c r="C4060" s="1067" t="inlineStr">
        <is>
          <t>Mão de obra para pintura em rodapés, 3 demãos</t>
        </is>
      </c>
      <c r="D4060" s="1067" t="inlineStr">
        <is>
          <t>Mão de obra para pintura em rodapés, 3 demãos</t>
        </is>
      </c>
      <c r="E4060" s="1068" t="inlineStr">
        <is>
          <t>M2</t>
        </is>
      </c>
      <c r="F4060" s="1075" t="n"/>
      <c r="G4060" s="1069">
        <f t="array" ref="G4060">IF(B4060="insumo",_xlfn.XLOOKUP($D4060,Insumos!$B$1:$B$996,Insumos!$D$1:$D$996),"")</f>
        <v/>
      </c>
      <c r="H4060" s="1069" t="n">
        <v>55</v>
      </c>
      <c r="I4060" s="2161" t="n">
        <v>0</v>
      </c>
      <c r="J4060" s="2161" t="n">
        <v>0</v>
      </c>
      <c r="K4060" s="2161" t="n"/>
    </row>
    <row r="4061" outlineLevel="3" ht="15.75" customHeight="1">
      <c r="A4061" s="10" t="n">
        <v>1</v>
      </c>
      <c r="B4061" s="10" t="inlineStr">
        <is>
          <t>Insumo</t>
        </is>
      </c>
      <c r="C4061" s="10" t="inlineStr">
        <is>
          <t>Mão de obra para pintura em rodapés, 3 demãos</t>
        </is>
      </c>
      <c r="D4061" s="10" t="inlineStr">
        <is>
          <t>Mão de obra para pintura em rodapés, 3 demãos</t>
        </is>
      </c>
      <c r="E4061" s="11">
        <f t="array" ref="E4061">_xlfn.XLOOKUP(D4061,Insumos!B:B,Insumos!C:$C)</f>
        <v/>
      </c>
      <c r="F4061" s="14" t="n">
        <v>1</v>
      </c>
      <c r="G4061" s="92">
        <f t="array" ref="G4061">IF(B4061="insumo",_xlfn.XLOOKUP($D4061,Insumos!$B$1:$B$996,Insumos!$D$1:$D$996),"")</f>
        <v/>
      </c>
      <c r="H4061" s="92" t="n">
        <v>55</v>
      </c>
      <c r="I4061" s="2162" t="n">
        <v>0</v>
      </c>
      <c r="J4061" s="2162" t="n">
        <v>0</v>
      </c>
      <c r="K4061" s="2162" t="n"/>
    </row>
    <row r="4062" outlineLevel="2" ht="15.75" customHeight="1">
      <c r="A4062" s="1067" t="n">
        <v>1</v>
      </c>
      <c r="B4062" s="1067" t="inlineStr">
        <is>
          <t>Serviço</t>
        </is>
      </c>
      <c r="C4062" s="1067" t="inlineStr">
        <is>
          <t>Mão de obra para demarcação de vagas epoxi</t>
        </is>
      </c>
      <c r="D4062" s="1067" t="inlineStr">
        <is>
          <t>Mão de obra para demarcação de vagas epoxi</t>
        </is>
      </c>
      <c r="E4062" s="1068" t="inlineStr">
        <is>
          <t>M2</t>
        </is>
      </c>
      <c r="F4062" s="1075" t="n"/>
      <c r="G4062" s="1069">
        <f t="array" ref="G4062">IF(B4062="insumo",_xlfn.XLOOKUP($D4062,Insumos!$B$1:$B$996,Insumos!$D$1:$D$996),"")</f>
        <v/>
      </c>
      <c r="H4062" s="1069" t="n">
        <v>40</v>
      </c>
      <c r="I4062" s="2161" t="e">
        <v>#REF!</v>
      </c>
      <c r="J4062" s="2161" t="e">
        <v>#REF!</v>
      </c>
      <c r="K4062" s="2161" t="n"/>
    </row>
    <row r="4063" outlineLevel="3" ht="15.75" customHeight="1">
      <c r="A4063" s="10" t="n">
        <v>2</v>
      </c>
      <c r="B4063" s="10" t="inlineStr">
        <is>
          <t>Insumo</t>
        </is>
      </c>
      <c r="C4063" s="10" t="inlineStr">
        <is>
          <t>Mão de obra para demarcação de vagas epoxi</t>
        </is>
      </c>
      <c r="D4063" s="10" t="inlineStr">
        <is>
          <t>Mão de obra para demarcação de vagas epoxi</t>
        </is>
      </c>
      <c r="E4063" s="11">
        <f t="array" ref="E4063">_xlfn.XLOOKUP(D4063,Insumos!B:B,Insumos!C:$C)</f>
        <v/>
      </c>
      <c r="F4063" s="14" t="n">
        <v>1</v>
      </c>
      <c r="G4063" s="92">
        <f t="array" ref="G4063">IF(B4063="insumo",_xlfn.XLOOKUP($D4063,Insumos!$B$1:$B$996,Insumos!$D$1:$D$996),"")</f>
        <v/>
      </c>
      <c r="H4063" s="92" t="n">
        <v>40</v>
      </c>
      <c r="I4063" s="2162" t="e">
        <v>#REF!</v>
      </c>
      <c r="J4063" s="2162" t="e">
        <v>#REF!</v>
      </c>
      <c r="K4063" s="2162" t="n"/>
    </row>
    <row r="4064" outlineLevel="2" ht="15.75" customHeight="1">
      <c r="A4064" s="1067" t="n">
        <v>1</v>
      </c>
      <c r="B4064" s="1067" t="inlineStr">
        <is>
          <t>Serviço</t>
        </is>
      </c>
      <c r="C4064" s="1067" t="inlineStr">
        <is>
          <t>Mão de obra para demarcação de vagas, 2 demãos</t>
        </is>
      </c>
      <c r="D4064" s="1067" t="inlineStr">
        <is>
          <t>Mão de obra para demarcação de vagas, 2 demãos</t>
        </is>
      </c>
      <c r="E4064" s="1068" t="inlineStr">
        <is>
          <t>M2</t>
        </is>
      </c>
      <c r="F4064" s="1075" t="n"/>
      <c r="G4064" s="1069">
        <f t="array" ref="G4064">IF(B4064="insumo",_xlfn.XLOOKUP($D4064,Insumos!$B$1:$B$996,Insumos!$D$1:$D$996),"")</f>
        <v/>
      </c>
      <c r="H4064" s="1069" t="n">
        <v>20</v>
      </c>
      <c r="I4064" s="2161" t="n">
        <v>0</v>
      </c>
      <c r="J4064" s="2161" t="n">
        <v>0</v>
      </c>
      <c r="K4064" s="2161" t="n"/>
    </row>
    <row r="4065" outlineLevel="3" ht="15.75" customHeight="1">
      <c r="A4065" s="10" t="n">
        <v>2</v>
      </c>
      <c r="B4065" s="10" t="inlineStr">
        <is>
          <t>Insumo</t>
        </is>
      </c>
      <c r="C4065" s="10" t="inlineStr">
        <is>
          <t>Mão de obra para demarcação de vagas, 2 demãos</t>
        </is>
      </c>
      <c r="D4065" s="10" t="inlineStr">
        <is>
          <t>Mão de obra para demarcação de vagas, 3 demãos</t>
        </is>
      </c>
      <c r="E4065" s="11">
        <f t="array" ref="E4065">_xlfn.XLOOKUP(D4065,Insumos!B:B,Insumos!C:$C)</f>
        <v/>
      </c>
      <c r="F4065" s="14" t="n">
        <v>1</v>
      </c>
      <c r="G4065" s="92">
        <f t="array" ref="G4065">IF(B4065="insumo",_xlfn.XLOOKUP($D4065,Insumos!$B$1:$B$996,Insumos!$D$1:$D$996),"")</f>
        <v/>
      </c>
      <c r="H4065" s="92" t="n">
        <v>20</v>
      </c>
      <c r="I4065" s="2162" t="n">
        <v>0</v>
      </c>
      <c r="J4065" s="2162" t="n">
        <v>0</v>
      </c>
      <c r="K4065" s="2162" t="n"/>
    </row>
    <row r="4066" outlineLevel="2" ht="15.75" customHeight="1">
      <c r="A4066" s="1067" t="n">
        <v>1</v>
      </c>
      <c r="B4066" s="1067" t="inlineStr">
        <is>
          <t>Serviço</t>
        </is>
      </c>
      <c r="C4066" s="1067" t="inlineStr">
        <is>
          <t>Mão de obra para demarcação de vagas, 3 demãos</t>
        </is>
      </c>
      <c r="D4066" s="1067" t="inlineStr">
        <is>
          <t>Mão de obra para demarcação de vagas, 3 demãos</t>
        </is>
      </c>
      <c r="E4066" s="1068" t="inlineStr">
        <is>
          <t>M2</t>
        </is>
      </c>
      <c r="F4066" s="1075" t="n"/>
      <c r="G4066" s="1069">
        <f t="array" ref="G4066">IF(B4066="insumo",_xlfn.XLOOKUP($D4066,Insumos!$B$1:$B$996,Insumos!$D$1:$D$996),"")</f>
        <v/>
      </c>
      <c r="H4066" s="1069" t="n">
        <v>20</v>
      </c>
      <c r="I4066" s="2161" t="n">
        <v>0</v>
      </c>
      <c r="J4066" s="2161" t="n">
        <v>0</v>
      </c>
      <c r="K4066" s="2161" t="n"/>
    </row>
    <row r="4067" outlineLevel="3" ht="15.75" customHeight="1">
      <c r="A4067" s="10" t="n">
        <v>2</v>
      </c>
      <c r="B4067" s="10" t="inlineStr">
        <is>
          <t>Insumo</t>
        </is>
      </c>
      <c r="C4067" s="10" t="inlineStr">
        <is>
          <t>Mão de obra para demarcação de vagas, 3 demãos</t>
        </is>
      </c>
      <c r="D4067" s="10" t="inlineStr">
        <is>
          <t>Mão de obra para demarcação de vagas, 3 demãos</t>
        </is>
      </c>
      <c r="E4067" s="11">
        <f t="array" ref="E4067">_xlfn.XLOOKUP(D4067,Insumos!B:B,Insumos!C:$C)</f>
        <v/>
      </c>
      <c r="F4067" s="14" t="n">
        <v>1</v>
      </c>
      <c r="G4067" s="92">
        <f t="array" ref="G4067">IF(B4067="insumo",_xlfn.XLOOKUP($D4067,Insumos!$B$1:$B$996,Insumos!$D$1:$D$996),"")</f>
        <v/>
      </c>
      <c r="H4067" s="92" t="n">
        <v>20</v>
      </c>
      <c r="I4067" s="2162" t="n">
        <v>0</v>
      </c>
      <c r="J4067" s="2162" t="n">
        <v>0</v>
      </c>
      <c r="K4067" s="2162" t="n"/>
    </row>
    <row r="4068" outlineLevel="1" ht="15.75" customHeight="1">
      <c r="A4068" s="1090" t="n">
        <v>1</v>
      </c>
      <c r="B4068" s="1090" t="inlineStr">
        <is>
          <t>Subetapa</t>
        </is>
      </c>
      <c r="C4068" s="1090" t="inlineStr">
        <is>
          <t>Mão de obra para demarcação de vagas, 3 demãos</t>
        </is>
      </c>
      <c r="D4068" s="1090" t="inlineStr">
        <is>
          <t>MÃO DE OBRA PAREDES</t>
        </is>
      </c>
      <c r="E4068" s="1091" t="n"/>
      <c r="F4068" s="2160" t="n"/>
      <c r="G4068" s="1091" t="n"/>
      <c r="H4068" s="1091" t="n">
        <v>0</v>
      </c>
      <c r="I4068" s="2160" t="n">
        <v>0</v>
      </c>
      <c r="J4068" s="2160" t="n">
        <v>0</v>
      </c>
      <c r="K4068" s="2160" t="n"/>
    </row>
    <row r="4069" outlineLevel="2" ht="15.75" customHeight="1">
      <c r="A4069" s="1067" t="n">
        <v>1</v>
      </c>
      <c r="B4069" s="1067" t="inlineStr">
        <is>
          <t>Serviço</t>
        </is>
      </c>
      <c r="C4069" s="1067" t="inlineStr">
        <is>
          <t>Mão de obra para Textura em paredes internas, 1 demãos</t>
        </is>
      </c>
      <c r="D4069" s="1067" t="inlineStr">
        <is>
          <t>Mão de obra para Textura em paredes internas, 1 demãos</t>
        </is>
      </c>
      <c r="E4069" s="1068" t="inlineStr">
        <is>
          <t>M2</t>
        </is>
      </c>
      <c r="F4069" s="1075" t="n"/>
      <c r="G4069" s="1069">
        <f t="array" ref="G4069">IF(B4069="insumo",_xlfn.XLOOKUP($D4069,Insumos!$B$1:$B$996,Insumos!$D$1:$D$996),"")</f>
        <v/>
      </c>
      <c r="H4069" s="1069" t="n">
        <v>40</v>
      </c>
      <c r="I4069" s="2161" t="e">
        <v>#REF!</v>
      </c>
      <c r="J4069" s="2161" t="e">
        <v>#REF!</v>
      </c>
      <c r="K4069" s="2161" t="n"/>
    </row>
    <row r="4070" outlineLevel="3" ht="15.75" customHeight="1">
      <c r="A4070" s="10" t="n">
        <v>1</v>
      </c>
      <c r="B4070" s="10" t="inlineStr">
        <is>
          <t>Insumo</t>
        </is>
      </c>
      <c r="C4070" s="10" t="inlineStr">
        <is>
          <t>Mão de obra para Textura em paredes internas, 1 demãos</t>
        </is>
      </c>
      <c r="D4070" s="10" t="inlineStr">
        <is>
          <t>Mão de obra para Textura em paredes internas, 1 demãos</t>
        </is>
      </c>
      <c r="E4070" s="11">
        <f t="array" ref="E4070">_xlfn.XLOOKUP(D4070,Insumos!B:B,Insumos!C:$C)</f>
        <v/>
      </c>
      <c r="F4070" s="14" t="n">
        <v>1</v>
      </c>
      <c r="G4070" s="92">
        <f t="array" ref="G4070">IF(B4070="insumo",_xlfn.XLOOKUP($D4070,Insumos!$B$1:$B$996,Insumos!$D$1:$D$996),"")</f>
        <v/>
      </c>
      <c r="H4070" s="92" t="n">
        <v>40</v>
      </c>
      <c r="I4070" s="2162" t="e">
        <v>#REF!</v>
      </c>
      <c r="J4070" s="2162" t="e">
        <v>#REF!</v>
      </c>
      <c r="K4070" s="2162" t="n"/>
    </row>
    <row r="4071" outlineLevel="2" ht="15.75" customHeight="1">
      <c r="A4071" s="1067" t="n">
        <v>1</v>
      </c>
      <c r="B4071" s="1067" t="inlineStr">
        <is>
          <t>Serviço</t>
        </is>
      </c>
      <c r="C4071" s="1067" t="inlineStr">
        <is>
          <t>Mão de obra para pintura epóxi em paredes internas, 2 demãos</t>
        </is>
      </c>
      <c r="D4071" s="1067" t="inlineStr">
        <is>
          <t>Mão de obra para pintura epóxi em paredes internas, 2 demãos</t>
        </is>
      </c>
      <c r="E4071" s="1068" t="inlineStr">
        <is>
          <t>M2</t>
        </is>
      </c>
      <c r="F4071" s="1075" t="n"/>
      <c r="G4071" s="1069">
        <f t="array" ref="G4071">IF(B4071="insumo",_xlfn.XLOOKUP($D4071,Insumos!$B$1:$B$996,Insumos!$D$1:$D$996),"")</f>
        <v/>
      </c>
      <c r="H4071" s="1069" t="n">
        <v>42</v>
      </c>
      <c r="I4071" s="2161" t="e">
        <v>#REF!</v>
      </c>
      <c r="J4071" s="2161" t="e">
        <v>#REF!</v>
      </c>
      <c r="K4071" s="2161" t="n"/>
    </row>
    <row r="4072" outlineLevel="3" ht="15.75" customHeight="1">
      <c r="A4072" s="10" t="n">
        <v>1</v>
      </c>
      <c r="B4072" s="10" t="inlineStr">
        <is>
          <t>Insumo</t>
        </is>
      </c>
      <c r="C4072" s="10" t="inlineStr">
        <is>
          <t>Mão de obra para pintura epóxi em paredes internas, 2 demãos</t>
        </is>
      </c>
      <c r="D4072" s="10" t="inlineStr">
        <is>
          <t>Mão de obra para pintura epóxi em paredes internas, 2 demãos</t>
        </is>
      </c>
      <c r="E4072" s="11">
        <f t="array" ref="E4072">_xlfn.XLOOKUP(D4072,Insumos!B:B,Insumos!C:$C)</f>
        <v/>
      </c>
      <c r="F4072" s="14" t="n">
        <v>1</v>
      </c>
      <c r="G4072" s="92">
        <f t="array" ref="G4072">IF(B4072="insumo",_xlfn.XLOOKUP($D4072,Insumos!$B$1:$B$996,Insumos!$D$1:$D$996),"")</f>
        <v/>
      </c>
      <c r="H4072" s="92" t="n">
        <v>42</v>
      </c>
      <c r="I4072" s="2162" t="e">
        <v>#REF!</v>
      </c>
      <c r="J4072" s="2162" t="e">
        <v>#REF!</v>
      </c>
      <c r="K4072" s="2162" t="n"/>
    </row>
    <row r="4073" outlineLevel="2" ht="15.75" customHeight="1">
      <c r="A4073" s="1067" t="n">
        <v>1</v>
      </c>
      <c r="B4073" s="1067" t="inlineStr">
        <is>
          <t>Serviço</t>
        </is>
      </c>
      <c r="C4073" s="1067" t="inlineStr">
        <is>
          <t>Mão de obra para pintura em paredes internas, 3 demãos</t>
        </is>
      </c>
      <c r="D4073" s="1067" t="inlineStr">
        <is>
          <t>Mão de obra para pintura em paredes internas, 3 demãos</t>
        </is>
      </c>
      <c r="E4073" s="1068" t="inlineStr">
        <is>
          <t>M2</t>
        </is>
      </c>
      <c r="F4073" s="1075" t="n"/>
      <c r="G4073" s="1069">
        <f t="array" ref="G4073">IF(B4073="insumo",_xlfn.XLOOKUP($D4073,Insumos!$B$1:$B$996,Insumos!$D$1:$D$996),"")</f>
        <v/>
      </c>
      <c r="H4073" s="1069" t="n">
        <v>40</v>
      </c>
      <c r="I4073" s="2161" t="e">
        <v>#REF!</v>
      </c>
      <c r="J4073" s="2161" t="e">
        <v>#REF!</v>
      </c>
      <c r="K4073" s="2161" t="n"/>
    </row>
    <row r="4074" outlineLevel="3" ht="15.75" customHeight="1">
      <c r="A4074" s="10" t="n">
        <v>1</v>
      </c>
      <c r="B4074" s="10" t="inlineStr">
        <is>
          <t>Insumo</t>
        </is>
      </c>
      <c r="C4074" s="10" t="inlineStr">
        <is>
          <t>Mão de obra para pintura em paredes internas, 3 demãos</t>
        </is>
      </c>
      <c r="D4074" s="10" t="inlineStr">
        <is>
          <t>Mão de obra para pintura em paredes internas, 3 demãos</t>
        </is>
      </c>
      <c r="E4074" s="11">
        <f t="array" ref="E4074">_xlfn.XLOOKUP(D4074,Insumos!B:B,Insumos!C:$C)</f>
        <v/>
      </c>
      <c r="F4074" s="14" t="n">
        <v>1</v>
      </c>
      <c r="G4074" s="92">
        <f t="array" ref="G4074">IF(B4074="insumo",_xlfn.XLOOKUP($D4074,Insumos!$B$1:$B$996,Insumos!$D$1:$D$996),"")</f>
        <v/>
      </c>
      <c r="H4074" s="92" t="n">
        <v>40</v>
      </c>
      <c r="I4074" s="2162" t="e">
        <v>#REF!</v>
      </c>
      <c r="J4074" s="2162" t="e">
        <v>#REF!</v>
      </c>
      <c r="K4074" s="2162" t="n"/>
    </row>
    <row r="4075" outlineLevel="2" ht="15.75" customHeight="1">
      <c r="A4075" s="1067" t="n">
        <v>1</v>
      </c>
      <c r="B4075" s="1067" t="inlineStr">
        <is>
          <t>Serviço</t>
        </is>
      </c>
      <c r="C4075" s="1067" t="inlineStr">
        <is>
          <t>Mão de obra para faixa de garagem em paredes internas, 1 demãos</t>
        </is>
      </c>
      <c r="D4075" s="1067" t="inlineStr">
        <is>
          <t>Mão de obra para faixa de garagem em paredes internas, 1 demãos</t>
        </is>
      </c>
      <c r="E4075" s="1068" t="inlineStr">
        <is>
          <t>M2</t>
        </is>
      </c>
      <c r="F4075" s="1075" t="n"/>
      <c r="G4075" s="1069">
        <f t="array" ref="G4075">IF(B4075="insumo",_xlfn.XLOOKUP($D4075,Insumos!$B$1:$B$996,Insumos!$D$1:$D$996),"")</f>
        <v/>
      </c>
      <c r="H4075" s="1069" t="n">
        <v>20</v>
      </c>
      <c r="I4075" s="2161" t="e">
        <v>#REF!</v>
      </c>
      <c r="J4075" s="2161" t="e">
        <v>#REF!</v>
      </c>
      <c r="K4075" s="2161" t="n"/>
    </row>
    <row r="4076" outlineLevel="3" ht="15.75" customHeight="1">
      <c r="A4076" s="10" t="n">
        <v>1</v>
      </c>
      <c r="B4076" s="10" t="inlineStr">
        <is>
          <t>Insumo</t>
        </is>
      </c>
      <c r="C4076" s="10" t="inlineStr">
        <is>
          <t>Mão de obra para faixa de garagem em paredes internas, 1 demãos</t>
        </is>
      </c>
      <c r="D4076" s="10" t="inlineStr">
        <is>
          <t>Mão de obra para faixa de garagem em paredes internas, 1 demãos</t>
        </is>
      </c>
      <c r="E4076" s="11">
        <f t="array" ref="E4076">_xlfn.XLOOKUP(D4076,Insumos!B:B,Insumos!C:$C)</f>
        <v/>
      </c>
      <c r="F4076" s="14" t="n">
        <v>1</v>
      </c>
      <c r="G4076" s="92">
        <f t="array" ref="G4076">IF(B4076="insumo",_xlfn.XLOOKUP($D4076,Insumos!$B$1:$B$996,Insumos!$D$1:$D$996),"")</f>
        <v/>
      </c>
      <c r="H4076" s="92" t="n">
        <v>20</v>
      </c>
      <c r="I4076" s="2162" t="e">
        <v>#REF!</v>
      </c>
      <c r="J4076" s="2162" t="e">
        <v>#REF!</v>
      </c>
      <c r="K4076" s="2162" t="n"/>
    </row>
    <row r="4077" outlineLevel="1" ht="15.75" customHeight="1">
      <c r="A4077" s="1090" t="n">
        <v>1</v>
      </c>
      <c r="B4077" s="1090" t="inlineStr">
        <is>
          <t>Subetapa</t>
        </is>
      </c>
      <c r="C4077" s="1090" t="inlineStr">
        <is>
          <t>Mão de obra para faixa de garagem em paredes internas, 1 demãos</t>
        </is>
      </c>
      <c r="D4077" s="1090" t="inlineStr">
        <is>
          <t>MÃO DE OBRA TETO</t>
        </is>
      </c>
      <c r="E4077" s="1091" t="n"/>
      <c r="F4077" s="2160" t="n"/>
      <c r="G4077" s="1091" t="n"/>
      <c r="H4077" s="1091" t="n">
        <v>0</v>
      </c>
      <c r="I4077" s="2160" t="n">
        <v>0</v>
      </c>
      <c r="J4077" s="2160" t="n">
        <v>0</v>
      </c>
      <c r="K4077" s="2160" t="n"/>
    </row>
    <row r="4078" outlineLevel="2" ht="15.75" customHeight="1">
      <c r="A4078" s="1067" t="n">
        <v>1</v>
      </c>
      <c r="B4078" s="1067" t="inlineStr">
        <is>
          <t>Serviço</t>
        </is>
      </c>
      <c r="C4078" s="1067" t="inlineStr">
        <is>
          <t>Mão de obra para pintura em teto, 3 demãos</t>
        </is>
      </c>
      <c r="D4078" s="1067" t="inlineStr">
        <is>
          <t>Mão de obra para pintura em teto, 3 demãos</t>
        </is>
      </c>
      <c r="E4078" s="1068" t="inlineStr">
        <is>
          <t>M2</t>
        </is>
      </c>
      <c r="F4078" s="1075" t="n"/>
      <c r="G4078" s="1069">
        <f t="array" ref="G4078">IF(B4078="insumo",_xlfn.XLOOKUP($D4078,Insumos!$B$1:$B$996,Insumos!$D$1:$D$996),"")</f>
        <v/>
      </c>
      <c r="H4078" s="1069" t="n">
        <v>40</v>
      </c>
      <c r="I4078" s="2161" t="e">
        <v>#REF!</v>
      </c>
      <c r="J4078" s="2161" t="e">
        <v>#REF!</v>
      </c>
      <c r="K4078" s="2161" t="n"/>
    </row>
    <row r="4079" outlineLevel="3" ht="15.75" customHeight="1">
      <c r="A4079" s="10" t="n">
        <v>1</v>
      </c>
      <c r="B4079" s="10" t="inlineStr">
        <is>
          <t>Insumo</t>
        </is>
      </c>
      <c r="C4079" s="10" t="inlineStr">
        <is>
          <t>Mão de obra para pintura em teto, 3 demãos</t>
        </is>
      </c>
      <c r="D4079" s="10" t="inlineStr">
        <is>
          <t>Mão de obra para pintura em teto, 3 demãos</t>
        </is>
      </c>
      <c r="E4079" s="11">
        <f t="array" ref="E4079">_xlfn.XLOOKUP(D4079,Insumos!B:B,Insumos!C:$C)</f>
        <v/>
      </c>
      <c r="F4079" s="14" t="n">
        <v>1</v>
      </c>
      <c r="G4079" s="92">
        <f t="array" ref="G4079">IF(B4079="insumo",_xlfn.XLOOKUP($D4079,Insumos!$B$1:$B$996,Insumos!$D$1:$D$996),"")</f>
        <v/>
      </c>
      <c r="H4079" s="92" t="n">
        <v>40</v>
      </c>
      <c r="I4079" s="2162" t="e">
        <v>#REF!</v>
      </c>
      <c r="J4079" s="2162" t="e">
        <v>#REF!</v>
      </c>
      <c r="K4079" s="2162" t="n"/>
    </row>
    <row r="4080" outlineLevel="2" ht="15.75" customHeight="1">
      <c r="A4080" s="1067" t="n">
        <v>1</v>
      </c>
      <c r="B4080" s="1067" t="inlineStr">
        <is>
          <t>Serviço</t>
        </is>
      </c>
      <c r="C4080" s="1067" t="inlineStr">
        <is>
          <t>Mão de obra para pintura artistica em teto</t>
        </is>
      </c>
      <c r="D4080" s="1067" t="inlineStr">
        <is>
          <t>Mão de obra para pintura artistica em teto</t>
        </is>
      </c>
      <c r="E4080" s="1068" t="inlineStr">
        <is>
          <t>M2</t>
        </is>
      </c>
      <c r="F4080" s="1075" t="n"/>
      <c r="G4080" s="1069">
        <f t="array" ref="G4080">IF(B4080="insumo",_xlfn.XLOOKUP($D4080,Insumos!$B$1:$B$996,Insumos!$D$1:$D$996),"")</f>
        <v/>
      </c>
      <c r="H4080" s="1069" t="n">
        <v>400</v>
      </c>
      <c r="I4080" s="2161" t="e">
        <v>#REF!</v>
      </c>
      <c r="J4080" s="2161" t="e">
        <v>#REF!</v>
      </c>
      <c r="K4080" s="2161" t="n"/>
    </row>
    <row r="4081" outlineLevel="3" ht="15.75" customHeight="1">
      <c r="A4081" s="10" t="n">
        <v>1</v>
      </c>
      <c r="B4081" s="10" t="inlineStr">
        <is>
          <t>Insumo</t>
        </is>
      </c>
      <c r="C4081" s="10" t="inlineStr">
        <is>
          <t>Mão de obra para pintura artistica em teto</t>
        </is>
      </c>
      <c r="D4081" s="10" t="inlineStr">
        <is>
          <t>Mão de obra para pintura artistica em teto</t>
        </is>
      </c>
      <c r="E4081" s="11">
        <f t="array" ref="E4081">_xlfn.XLOOKUP(D4081,Insumos!B:B,Insumos!C:$C)</f>
        <v/>
      </c>
      <c r="F4081" s="14" t="n">
        <v>1</v>
      </c>
      <c r="G4081" s="92">
        <f t="array" ref="G4081">IF(B4081="insumo",_xlfn.XLOOKUP($D4081,Insumos!$B$1:$B$996,Insumos!$D$1:$D$996),"")</f>
        <v/>
      </c>
      <c r="H4081" s="92" t="n">
        <v>400</v>
      </c>
      <c r="I4081" s="2162" t="e">
        <v>#REF!</v>
      </c>
      <c r="J4081" s="2162" t="e">
        <v>#REF!</v>
      </c>
      <c r="K4081" s="2162" t="n"/>
    </row>
    <row r="4082" outlineLevel="2" ht="15.75" customHeight="1">
      <c r="A4082" s="1067" t="n">
        <v>1</v>
      </c>
      <c r="B4082" s="1067" t="inlineStr">
        <is>
          <t>Serviço</t>
        </is>
      </c>
      <c r="C4082" s="1067" t="inlineStr">
        <is>
          <t>Mão de obra para pintura epoxi em teto</t>
        </is>
      </c>
      <c r="D4082" s="1067" t="inlineStr">
        <is>
          <t>Mão de obra para pintura epoxi em teto</t>
        </is>
      </c>
      <c r="E4082" s="1068" t="inlineStr">
        <is>
          <t>M2</t>
        </is>
      </c>
      <c r="F4082" s="1075" t="n"/>
      <c r="G4082" s="1069">
        <f t="array" ref="G4082">IF(B4082="insumo",_xlfn.XLOOKUP($D4082,Insumos!$B$1:$B$996,Insumos!$D$1:$D$996),"")</f>
        <v/>
      </c>
      <c r="H4082" s="1069" t="n">
        <v>40</v>
      </c>
      <c r="I4082" s="2161" t="e">
        <v>#REF!</v>
      </c>
      <c r="J4082" s="2161" t="e">
        <v>#REF!</v>
      </c>
      <c r="K4082" s="2161" t="n"/>
    </row>
    <row r="4083" outlineLevel="3" ht="15.75" customHeight="1">
      <c r="A4083" s="10" t="n">
        <v>2</v>
      </c>
      <c r="B4083" s="10" t="inlineStr">
        <is>
          <t>Insumo</t>
        </is>
      </c>
      <c r="C4083" s="10" t="inlineStr">
        <is>
          <t>Mão de obra para pintura epoxi em teto</t>
        </is>
      </c>
      <c r="D4083" s="10" t="inlineStr">
        <is>
          <t>Mão de obra para demarcação de vagas epoxi</t>
        </is>
      </c>
      <c r="E4083" s="11">
        <f t="array" ref="E4083">_xlfn.XLOOKUP(D4083,Insumos!B:B,Insumos!C:$C)</f>
        <v/>
      </c>
      <c r="F4083" s="14" t="n">
        <v>1</v>
      </c>
      <c r="G4083" s="92">
        <f t="array" ref="G4083">IF(B4083="insumo",_xlfn.XLOOKUP($D4083,Insumos!$B$1:$B$996,Insumos!$D$1:$D$996),"")</f>
        <v/>
      </c>
      <c r="H4083" s="92" t="n">
        <v>40</v>
      </c>
      <c r="I4083" s="2162" t="e">
        <v>#REF!</v>
      </c>
      <c r="J4083" s="2162" t="e">
        <v>#REF!</v>
      </c>
      <c r="K4083" s="2162" t="n"/>
    </row>
    <row r="4084" outlineLevel="2" ht="15.75" customHeight="1">
      <c r="A4084" s="1067" t="n">
        <v>1</v>
      </c>
      <c r="B4084" s="1067" t="inlineStr">
        <is>
          <t>Serviço</t>
        </is>
      </c>
      <c r="C4084" s="1067" t="inlineStr">
        <is>
          <t>Mão de obra para textura em teto, 1 demão</t>
        </is>
      </c>
      <c r="D4084" s="1067" t="inlineStr">
        <is>
          <t>Mão de obra para textura em teto, 1 demão</t>
        </is>
      </c>
      <c r="E4084" s="1068" t="inlineStr">
        <is>
          <t>M2</t>
        </is>
      </c>
      <c r="F4084" s="1075" t="n"/>
      <c r="G4084" s="1069">
        <f t="array" ref="G4084">IF(B4084="insumo",_xlfn.XLOOKUP($D4084,Insumos!$B$1:$B$996,Insumos!$D$1:$D$996),"")</f>
        <v/>
      </c>
      <c r="H4084" s="1069" t="n">
        <v>40</v>
      </c>
      <c r="I4084" s="2161" t="e">
        <v>#REF!</v>
      </c>
      <c r="J4084" s="2161" t="e">
        <v>#REF!</v>
      </c>
      <c r="K4084" s="2161" t="n"/>
    </row>
    <row r="4085" outlineLevel="3" ht="15.75" customHeight="1">
      <c r="A4085" s="10" t="n">
        <v>1</v>
      </c>
      <c r="B4085" s="10" t="inlineStr">
        <is>
          <t>Insumo</t>
        </is>
      </c>
      <c r="C4085" s="10" t="inlineStr">
        <is>
          <t>Mão de obra para textura em teto, 1 demão</t>
        </is>
      </c>
      <c r="D4085" s="10" t="inlineStr">
        <is>
          <t>Mão de obra para textura em teto, 1 demão</t>
        </is>
      </c>
      <c r="E4085" s="11">
        <f t="array" ref="E4085">_xlfn.XLOOKUP(D4085,Insumos!B:B,Insumos!C:$C)</f>
        <v/>
      </c>
      <c r="F4085" s="14" t="n">
        <v>1</v>
      </c>
      <c r="G4085" s="92">
        <f t="array" ref="G4085">IF(B4085="insumo",_xlfn.XLOOKUP($D4085,Insumos!$B$1:$B$996,Insumos!$D$1:$D$996),"")</f>
        <v/>
      </c>
      <c r="H4085" s="92" t="n">
        <v>40</v>
      </c>
      <c r="I4085" s="2162" t="e">
        <v>#REF!</v>
      </c>
      <c r="J4085" s="2162" t="e">
        <v>#REF!</v>
      </c>
      <c r="K4085" s="2162" t="n"/>
    </row>
    <row r="4086" ht="15.75" customHeight="1">
      <c r="A4086" s="7" t="n">
        <v>1</v>
      </c>
      <c r="B4086" s="7" t="inlineStr">
        <is>
          <t>Etapa</t>
        </is>
      </c>
      <c r="C4086" s="7" t="inlineStr">
        <is>
          <t>Mão de obra para textura em teto, 1 demão</t>
        </is>
      </c>
      <c r="D4086" s="7" t="inlineStr">
        <is>
          <t>ESQUADRIAS</t>
        </is>
      </c>
      <c r="E4086" s="8" t="n"/>
      <c r="F4086" s="2159" t="n"/>
      <c r="G4086" s="91">
        <f t="array" ref="G4086">IF(B4086="insumo",_xlfn.XLOOKUP($D4086,Insumos!$B$1:$B$996,Insumos!$D$1:$D$996),"")</f>
        <v/>
      </c>
      <c r="H4086" s="91" t="n">
        <v>0</v>
      </c>
      <c r="I4086" s="2159" t="n">
        <v>0</v>
      </c>
      <c r="J4086" s="2159" t="n">
        <v>0</v>
      </c>
      <c r="K4086" s="2159" t="n"/>
    </row>
    <row r="4087" outlineLevel="1" ht="15.75" customHeight="1">
      <c r="A4087" s="1090" t="n">
        <v>1</v>
      </c>
      <c r="B4087" s="1090" t="inlineStr">
        <is>
          <t>Subetapa</t>
        </is>
      </c>
      <c r="C4087" s="1090" t="inlineStr">
        <is>
          <t>Mão de obra para textura em teto, 1 demão</t>
        </is>
      </c>
      <c r="D4087" s="1090" t="inlineStr">
        <is>
          <t>ESQUADRIAS ALUMÍNIO</t>
        </is>
      </c>
      <c r="E4087" s="1091" t="n"/>
      <c r="F4087" s="2160" t="n"/>
      <c r="G4087" s="1091" t="n"/>
      <c r="H4087" s="1091" t="n">
        <v>0</v>
      </c>
      <c r="I4087" s="2160" t="n">
        <v>0</v>
      </c>
      <c r="J4087" s="2160" t="n">
        <v>0</v>
      </c>
      <c r="K4087" s="2160" t="n"/>
    </row>
    <row r="4088" outlineLevel="2" ht="15.75" customHeight="1">
      <c r="A4088" s="1067" t="n">
        <v>1</v>
      </c>
      <c r="B4088" s="1067" t="inlineStr">
        <is>
          <t>Serviço</t>
        </is>
      </c>
      <c r="C4088" s="1067" t="inlineStr">
        <is>
          <t>Esquadrias de Alumínio - fornecimento e instalação</t>
        </is>
      </c>
      <c r="D4088" s="1067" t="inlineStr">
        <is>
          <t>Esquadrias de Alumínio - fornecimento e instalação</t>
        </is>
      </c>
      <c r="E4088" s="1068" t="inlineStr">
        <is>
          <t>M2</t>
        </is>
      </c>
      <c r="F4088" s="1067" t="n"/>
      <c r="G4088" s="1069">
        <f t="array" ref="G4088">IF(B4088="insumo",_xlfn.XLOOKUP($D4088,Insumos!$B$1:$B$996,Insumos!$D$1:$D$996),"")</f>
        <v/>
      </c>
      <c r="H4088" s="1069" t="n">
        <v>2140</v>
      </c>
      <c r="I4088" s="2161" t="n">
        <v>0</v>
      </c>
      <c r="J4088" s="2161" t="n">
        <v>0</v>
      </c>
      <c r="K4088" s="2161" t="n"/>
    </row>
    <row r="4089" outlineLevel="3" ht="15.75" customHeight="1">
      <c r="A4089" s="10" t="n">
        <v>1</v>
      </c>
      <c r="B4089" s="10" t="inlineStr">
        <is>
          <t>Insumo</t>
        </is>
      </c>
      <c r="C4089" s="10" t="inlineStr">
        <is>
          <t>Esquadrias de Alumínio - fornecimento e instalação</t>
        </is>
      </c>
      <c r="D4089" s="10" t="inlineStr">
        <is>
          <t>Esquadrias de Alumínio - fornecimento e instalação</t>
        </is>
      </c>
      <c r="E4089" s="11">
        <f t="array" ref="E4089">_xlfn.XLOOKUP(D4089,Insumos!B:B,Insumos!C:$C)</f>
        <v/>
      </c>
      <c r="F4089" s="14" t="n">
        <v>1</v>
      </c>
      <c r="G4089" s="92">
        <f t="array" ref="G4089">IF(B4089="insumo",_xlfn.XLOOKUP($D4089,Insumos!$B$1:$B$996,Insumos!$D$1:$D$996),"")</f>
        <v/>
      </c>
      <c r="H4089" s="92" t="n">
        <v>2140</v>
      </c>
      <c r="I4089" s="2162" t="n">
        <v>0</v>
      </c>
      <c r="J4089" s="2162" t="n">
        <v>0</v>
      </c>
      <c r="K4089" s="2162" t="n"/>
    </row>
    <row r="4090" outlineLevel="2" ht="15.75" customHeight="1">
      <c r="A4090" s="1067" t="n">
        <v>1</v>
      </c>
      <c r="B4090" s="1067" t="inlineStr">
        <is>
          <t>Serviço</t>
        </is>
      </c>
      <c r="C4090" s="1067" t="inlineStr">
        <is>
          <t>Contramarco de aço galvanizado - Fixado com Argamassa</t>
        </is>
      </c>
      <c r="D4090" s="1067" t="inlineStr">
        <is>
          <t>Contramarco de aço galvanizado - Fixado com Argamassa</t>
        </is>
      </c>
      <c r="E4090" s="1068" t="inlineStr">
        <is>
          <t>m</t>
        </is>
      </c>
      <c r="F4090" s="1067" t="n"/>
      <c r="G4090" s="1069">
        <f t="array" ref="G4090">IF(B4090="insumo",_xlfn.XLOOKUP($D4090,Insumos!$B$1:$B$996,Insumos!$D$1:$D$996),"")</f>
        <v/>
      </c>
      <c r="H4090" s="1069" t="n">
        <v>66.84999999999999</v>
      </c>
      <c r="I4090" s="2161" t="n">
        <v>462.5</v>
      </c>
      <c r="J4090" s="2161" t="n">
        <v>30918.125</v>
      </c>
      <c r="K4090" s="2161" t="n"/>
    </row>
    <row r="4091" outlineLevel="3" ht="15.75" customHeight="1">
      <c r="A4091" s="10" t="n">
        <v>1</v>
      </c>
      <c r="B4091" s="10" t="inlineStr">
        <is>
          <t>Insumo</t>
        </is>
      </c>
      <c r="C4091" s="10" t="inlineStr">
        <is>
          <t>Contramarco de aço galvanizado - Fixado com Argamassa</t>
        </is>
      </c>
      <c r="D4091" s="10" t="inlineStr">
        <is>
          <t>Serviço de fixação de contramarco de aço</t>
        </is>
      </c>
      <c r="E4091" s="11">
        <f t="array" ref="E4091">_xlfn.XLOOKUP(D4091,Insumos!B:B,Insumos!C:$C)</f>
        <v/>
      </c>
      <c r="F4091" s="14" t="n">
        <v>1</v>
      </c>
      <c r="G4091" s="92">
        <f t="array" ref="G4091">IF(B4091="insumo",_xlfn.XLOOKUP($D4091,Insumos!$B$1:$B$996,Insumos!$D$1:$D$996),"")</f>
        <v/>
      </c>
      <c r="H4091" s="92" t="n">
        <v>30</v>
      </c>
      <c r="I4091" s="2162" t="n">
        <v>462.5</v>
      </c>
      <c r="J4091" s="2162" t="n">
        <v>13875</v>
      </c>
      <c r="K4091" s="2162" t="n"/>
    </row>
    <row r="4092" outlineLevel="3" ht="15.75" customHeight="1">
      <c r="A4092" s="10" t="n">
        <v>1</v>
      </c>
      <c r="B4092" s="10" t="inlineStr">
        <is>
          <t>Insumo</t>
        </is>
      </c>
      <c r="C4092" s="10" t="inlineStr">
        <is>
          <t>Contramarco de aço galvanizado - Fixado com Argamassa</t>
        </is>
      </c>
      <c r="D4092" s="10" t="inlineStr">
        <is>
          <t>CONTRAMARCO DE AÇO</t>
        </is>
      </c>
      <c r="E4092" s="11">
        <f t="array" ref="E4092">_xlfn.XLOOKUP(D4092,Insumos!B:B,Insumos!C:$C)</f>
        <v/>
      </c>
      <c r="F4092" s="14" t="n">
        <v>1</v>
      </c>
      <c r="G4092" s="92">
        <f t="array" ref="G4092">IF(B4092="insumo",_xlfn.XLOOKUP($D4092,Insumos!$B$1:$B$996,Insumos!$D$1:$D$996),"")</f>
        <v/>
      </c>
      <c r="H4092" s="92" t="n">
        <v>36</v>
      </c>
      <c r="I4092" s="2162" t="n">
        <v>462.5</v>
      </c>
      <c r="J4092" s="2162" t="n">
        <v>16650</v>
      </c>
      <c r="K4092" s="2162" t="n"/>
    </row>
    <row r="4093" outlineLevel="3" ht="15.75" customHeight="1">
      <c r="A4093" s="10" t="n">
        <v>17</v>
      </c>
      <c r="B4093" s="10" t="inlineStr">
        <is>
          <t>Insumo</t>
        </is>
      </c>
      <c r="C4093" s="10" t="inlineStr">
        <is>
          <t>Contramarco de aço galvanizado - Fixado com Argamassa</t>
        </is>
      </c>
      <c r="D4093" s="10" t="inlineStr">
        <is>
          <t>ARGAMASSA ESTABILIZADA PARA ASSENTAMENTO</t>
        </is>
      </c>
      <c r="E4093" s="11">
        <f t="array" ref="E4093">_xlfn.XLOOKUP(D4093,Insumos!B:B,Insumos!C:$C)</f>
        <v/>
      </c>
      <c r="F4093" s="14" t="n">
        <v>0.002</v>
      </c>
      <c r="G4093" s="92">
        <f t="array" ref="G4093">IF(B4093="insumo",_xlfn.XLOOKUP($D4093,Insumos!$B$1:$B$996,Insumos!$D$1:$D$996),"")</f>
        <v/>
      </c>
      <c r="H4093" s="92" t="n">
        <v>0.85</v>
      </c>
      <c r="I4093" s="2162" t="n">
        <v>462.5</v>
      </c>
      <c r="J4093" s="2162" t="n">
        <v>393.125</v>
      </c>
      <c r="K4093" s="2162" t="n"/>
    </row>
    <row r="4094" outlineLevel="2" ht="15.75" customHeight="1">
      <c r="A4094" s="1067" t="n">
        <v>1</v>
      </c>
      <c r="B4094" s="1067" t="inlineStr">
        <is>
          <t>Serviço</t>
        </is>
      </c>
      <c r="C4094" s="1067" t="inlineStr">
        <is>
          <t>Contramarco de Alumínio, Fixação com Argamassa</t>
        </is>
      </c>
      <c r="D4094" s="1067" t="inlineStr">
        <is>
          <t>Contramarco de Alumínio, Fixação com Argamassa</t>
        </is>
      </c>
      <c r="E4094" s="1068" t="inlineStr">
        <is>
          <t>m</t>
        </is>
      </c>
      <c r="F4094" s="1067" t="n"/>
      <c r="G4094" s="1069">
        <f t="array" ref="G4094">IF(B4094="insumo",_xlfn.XLOOKUP($D4094,Insumos!$B$1:$B$996,Insumos!$D$1:$D$996),"")</f>
        <v/>
      </c>
      <c r="H4094" s="1069" t="n">
        <v>23.24</v>
      </c>
      <c r="I4094" s="2161" t="n">
        <v>5018.1</v>
      </c>
      <c r="J4094" s="2161" t="n">
        <v>116620.644</v>
      </c>
      <c r="K4094" s="2161" t="n"/>
    </row>
    <row r="4095" outlineLevel="3" ht="15.75" customHeight="1">
      <c r="A4095" s="10" t="n">
        <v>1</v>
      </c>
      <c r="B4095" s="10" t="inlineStr">
        <is>
          <t>Insumo</t>
        </is>
      </c>
      <c r="C4095" s="10" t="inlineStr">
        <is>
          <t>Contramarco de Alumínio, Fixação com Argamassa</t>
        </is>
      </c>
      <c r="D4095" s="10" t="inlineStr">
        <is>
          <t>Serviço de fixação de contramarco de aluminio</t>
        </is>
      </c>
      <c r="E4095" s="11">
        <f t="array" ref="E4095">_xlfn.XLOOKUP(D4095,Insumos!B:B,Insumos!C:$C)</f>
        <v/>
      </c>
      <c r="F4095" s="14" t="n">
        <v>1</v>
      </c>
      <c r="G4095" s="92">
        <f t="array" ref="G4095">IF(B4095="insumo",_xlfn.XLOOKUP($D4095,Insumos!$B$1:$B$996,Insumos!$D$1:$D$996),"")</f>
        <v/>
      </c>
      <c r="H4095" s="92" t="n">
        <v>15</v>
      </c>
      <c r="I4095" s="2162" t="n">
        <v>5018.1</v>
      </c>
      <c r="J4095" s="2162" t="n">
        <v>75271.5</v>
      </c>
      <c r="K4095" s="2162" t="n"/>
    </row>
    <row r="4096" outlineLevel="3" ht="15.75" customHeight="1">
      <c r="A4096" s="10" t="n">
        <v>1</v>
      </c>
      <c r="B4096" s="10" t="inlineStr">
        <is>
          <t>Insumo</t>
        </is>
      </c>
      <c r="C4096" s="10" t="inlineStr">
        <is>
          <t>Contramarco de Alumínio, Fixação com Argamassa</t>
        </is>
      </c>
      <c r="D4096" s="10" t="inlineStr">
        <is>
          <t xml:space="preserve">CONTRAMARCO DE ALUMINIO </t>
        </is>
      </c>
      <c r="E4096" s="11">
        <f t="array" ref="E4096">_xlfn.XLOOKUP(D4096,Insumos!B:B,Insumos!C:$C)</f>
        <v/>
      </c>
      <c r="F4096" s="14" t="n">
        <v>1</v>
      </c>
      <c r="G4096" s="92">
        <f t="array" ref="G4096">IF(B4096="insumo",_xlfn.XLOOKUP($D4096,Insumos!$B$1:$B$996,Insumos!$D$1:$D$996),"")</f>
        <v/>
      </c>
      <c r="H4096" s="92" t="n">
        <v>7.39</v>
      </c>
      <c r="I4096" s="2162" t="n">
        <v>5018.1</v>
      </c>
      <c r="J4096" s="2162" t="n">
        <v>37083.759</v>
      </c>
      <c r="K4096" s="2162" t="n"/>
    </row>
    <row r="4097" outlineLevel="3" ht="15.75" customHeight="1">
      <c r="A4097" s="10" t="n">
        <v>17</v>
      </c>
      <c r="B4097" s="10" t="inlineStr">
        <is>
          <t>Insumo</t>
        </is>
      </c>
      <c r="C4097" s="10" t="inlineStr">
        <is>
          <t>Contramarco de Alumínio, Fixação com Argamassa</t>
        </is>
      </c>
      <c r="D4097" s="10" t="inlineStr">
        <is>
          <t>ARGAMASSA ESTABILIZADA PARA ASSENTAMENTO</t>
        </is>
      </c>
      <c r="E4097" s="11">
        <f t="array" ref="E4097">_xlfn.XLOOKUP(D4097,Insumos!B:B,Insumos!C:$C)</f>
        <v/>
      </c>
      <c r="F4097" s="14" t="n">
        <v>0.002</v>
      </c>
      <c r="G4097" s="92">
        <f t="array" ref="G4097">IF(B4097="insumo",_xlfn.XLOOKUP($D4097,Insumos!$B$1:$B$996,Insumos!$D$1:$D$996),"")</f>
        <v/>
      </c>
      <c r="H4097" s="92" t="n">
        <v>0.85</v>
      </c>
      <c r="I4097" s="2162" t="n">
        <v>5018.1</v>
      </c>
      <c r="J4097" s="2162" t="n">
        <v>4265.385</v>
      </c>
      <c r="K4097" s="2162" t="n"/>
    </row>
    <row r="4098" outlineLevel="2" ht="12.75" customHeight="1">
      <c r="A4098" s="1067" t="n">
        <v>1</v>
      </c>
      <c r="B4098" s="1071" t="inlineStr">
        <is>
          <t>Serviço</t>
        </is>
      </c>
      <c r="C4098" s="1071" t="inlineStr">
        <is>
          <t>Esquadrias de Alumínio do duplex - fornecimento e instalação</t>
        </is>
      </c>
      <c r="D4098" s="1071" t="inlineStr">
        <is>
          <t>Esquadrias de Alumínio do duplex - fornecimento e instalação</t>
        </is>
      </c>
      <c r="E4098" s="1072" t="inlineStr">
        <is>
          <t>M2</t>
        </is>
      </c>
      <c r="F4098" s="1071" t="n"/>
      <c r="G4098" s="1073">
        <f t="array" ref="G4098">IF(B4098="insumo",_xlfn.XLOOKUP($D4098,Insumos!$B$1:$B$996,Insumos!$D$1:$D$996),"")</f>
        <v/>
      </c>
      <c r="H4098" s="1073" t="n">
        <v>1350</v>
      </c>
      <c r="I4098" s="2163" t="n">
        <v>0</v>
      </c>
      <c r="J4098" s="2163" t="n">
        <v>0</v>
      </c>
      <c r="K4098" s="2163" t="n"/>
    </row>
    <row r="4099" outlineLevel="3" ht="12.75" customHeight="1">
      <c r="A4099" s="82" t="n">
        <v>1</v>
      </c>
      <c r="B4099" s="82" t="inlineStr">
        <is>
          <t>Insumo</t>
        </is>
      </c>
      <c r="C4099" s="82" t="inlineStr">
        <is>
          <t>Esquadrias de Alumínio do duplex - fornecimento e instalação</t>
        </is>
      </c>
      <c r="D4099" s="82" t="inlineStr">
        <is>
          <t>Esquadrias de Alumínio do duplex - fornecimento e instalação</t>
        </is>
      </c>
      <c r="E4099" s="11">
        <f t="array" ref="E4099">_xlfn.XLOOKUP(D4099,Insumos!B:B,Insumos!C:$C)</f>
        <v/>
      </c>
      <c r="F4099" s="2164" t="n">
        <v>1</v>
      </c>
      <c r="G4099" s="92">
        <f t="array" ref="G4099">IF(B4099="insumo",_xlfn.XLOOKUP($D4099,Insumos!$B$1:$B$996,Insumos!$D$1:$D$996),"")</f>
        <v/>
      </c>
      <c r="H4099" s="92" t="n">
        <v>1350</v>
      </c>
      <c r="I4099" s="2165" t="n">
        <v>0</v>
      </c>
      <c r="J4099" s="2165" t="n">
        <v>0</v>
      </c>
      <c r="K4099" s="2165" t="n"/>
    </row>
    <row r="4100" outlineLevel="2" ht="12.75" customHeight="1">
      <c r="A4100" s="1071" t="n">
        <v>1</v>
      </c>
      <c r="B4100" s="1071" t="inlineStr">
        <is>
          <t>Serviço</t>
        </is>
      </c>
      <c r="C4100" s="1071" t="inlineStr">
        <is>
          <t>Esquadrias de Alumínio, linha 25 supreme - fornecimento e instalação</t>
        </is>
      </c>
      <c r="D4100" s="1071" t="inlineStr">
        <is>
          <t>Esquadrias de Alumínio, linha 25 supreme - fornecimento e instalação</t>
        </is>
      </c>
      <c r="E4100" s="1072" t="inlineStr">
        <is>
          <t>M2</t>
        </is>
      </c>
      <c r="F4100" s="1071" t="n"/>
      <c r="G4100" s="1073">
        <f t="array" ref="G4100">IF(B4100="insumo",_xlfn.XLOOKUP($D4100,Insumos!$B$1:$B$996,Insumos!$D$1:$D$996),"")</f>
        <v/>
      </c>
      <c r="H4100" s="1073" t="n">
        <v>980</v>
      </c>
      <c r="I4100" s="2163" t="n">
        <v>0</v>
      </c>
      <c r="J4100" s="2163" t="n">
        <v>0</v>
      </c>
      <c r="K4100" s="2163" t="n"/>
    </row>
    <row r="4101" outlineLevel="3" ht="12.75" customHeight="1">
      <c r="A4101" s="82" t="n">
        <v>1</v>
      </c>
      <c r="B4101" s="82" t="inlineStr">
        <is>
          <t>Insumo</t>
        </is>
      </c>
      <c r="C4101" s="82" t="inlineStr">
        <is>
          <t>Esquadrias de Alumínio, linha 25 supreme - fornecimento e instalação</t>
        </is>
      </c>
      <c r="D4101" s="82" t="inlineStr">
        <is>
          <t>Esquadrias de Alumínio, linha 25 supreme - fornecimento e instalação</t>
        </is>
      </c>
      <c r="E4101" s="11">
        <f t="array" ref="E4101">_xlfn.XLOOKUP(D4101,Insumos!B:B,Insumos!C:$C)</f>
        <v/>
      </c>
      <c r="F4101" s="2164" t="n">
        <v>1</v>
      </c>
      <c r="G4101" s="92">
        <f t="array" ref="G4101">IF(B4101="insumo",_xlfn.XLOOKUP($D4101,Insumos!$B$1:$B$996,Insumos!$D$1:$D$996),"")</f>
        <v/>
      </c>
      <c r="H4101" s="92" t="n">
        <v>980</v>
      </c>
      <c r="I4101" s="2165" t="n">
        <v>0</v>
      </c>
      <c r="J4101" s="2165" t="n">
        <v>0</v>
      </c>
      <c r="K4101" s="2165" t="n"/>
    </row>
    <row r="4102" outlineLevel="2" ht="12.75" customHeight="1">
      <c r="A4102" s="1071" t="n">
        <v>1</v>
      </c>
      <c r="B4102" s="1071" t="inlineStr">
        <is>
          <t>Serviço</t>
        </is>
      </c>
      <c r="C4102" s="1071" t="inlineStr">
        <is>
          <t>Esquadrias de Alumínio, linha 32 gold - fornecimento e instalação</t>
        </is>
      </c>
      <c r="D4102" s="1071" t="inlineStr">
        <is>
          <t>Esquadrias de Alumínio, linha 32 gold - fornecimento e instalação</t>
        </is>
      </c>
      <c r="E4102" s="1072" t="inlineStr">
        <is>
          <t>M2</t>
        </is>
      </c>
      <c r="F4102" s="1071" t="n"/>
      <c r="G4102" s="1073">
        <f t="array" ref="G4102">IF(B4102="insumo",_xlfn.XLOOKUP($D4102,Insumos!$B$1:$B$996,Insumos!$D$1:$D$996),"")</f>
        <v/>
      </c>
      <c r="H4102" s="1073" t="n">
        <v>1350</v>
      </c>
      <c r="I4102" s="2163" t="n">
        <v>0</v>
      </c>
      <c r="J4102" s="2163" t="n">
        <v>0</v>
      </c>
      <c r="K4102" s="2163" t="n"/>
    </row>
    <row r="4103" outlineLevel="3" ht="12.75" customHeight="1">
      <c r="A4103" s="82" t="n">
        <v>1</v>
      </c>
      <c r="B4103" s="82" t="inlineStr">
        <is>
          <t>Insumo</t>
        </is>
      </c>
      <c r="C4103" s="82" t="inlineStr">
        <is>
          <t>Esquadrias de Alumínio, linha 32 gold - fornecimento e instalação</t>
        </is>
      </c>
      <c r="D4103" s="82" t="inlineStr">
        <is>
          <t>Esquadrias de Alumínio, linha 32 gold - fornecimento e instalação</t>
        </is>
      </c>
      <c r="E4103" s="11">
        <f t="array" ref="E4103">_xlfn.XLOOKUP(D4103,Insumos!B:B,Insumos!C:$C)</f>
        <v/>
      </c>
      <c r="F4103" s="2164" t="n">
        <v>1</v>
      </c>
      <c r="G4103" s="92">
        <f t="array" ref="G4103">IF(B4103="insumo",_xlfn.XLOOKUP($D4103,Insumos!$B$1:$B$996,Insumos!$D$1:$D$996),"")</f>
        <v/>
      </c>
      <c r="H4103" s="92" t="n">
        <v>1350</v>
      </c>
      <c r="I4103" s="2165" t="n">
        <v>0</v>
      </c>
      <c r="J4103" s="2165" t="n">
        <v>0</v>
      </c>
      <c r="K4103" s="2165" t="n"/>
    </row>
    <row r="4104" outlineLevel="2" ht="12.75" customHeight="1">
      <c r="A4104" s="1071" t="n">
        <v>1</v>
      </c>
      <c r="B4104" s="1071" t="inlineStr">
        <is>
          <t>Serviço</t>
        </is>
      </c>
      <c r="C4104" s="1071" t="inlineStr">
        <is>
          <t>Contramarco pequeno de Alumínio, Fixação com Argamassa</t>
        </is>
      </c>
      <c r="D4104" s="1071" t="inlineStr">
        <is>
          <t>Contramarco pequeno de Alumínio, Fixação com Argamassa</t>
        </is>
      </c>
      <c r="E4104" s="1072" t="inlineStr">
        <is>
          <t>UN</t>
        </is>
      </c>
      <c r="F4104" s="1071" t="n"/>
      <c r="G4104" s="1073">
        <f t="array" ref="G4104">IF(B4104="insumo",_xlfn.XLOOKUP($D4104,Insumos!$B$1:$B$996,Insumos!$D$1:$D$996),"")</f>
        <v/>
      </c>
      <c r="H4104" s="1073" t="n">
        <v>67.04000000000001</v>
      </c>
      <c r="I4104" s="2163" t="n">
        <v>0</v>
      </c>
      <c r="J4104" s="2163" t="n">
        <v>0</v>
      </c>
      <c r="K4104" s="2163" t="n"/>
    </row>
    <row r="4105" outlineLevel="3" ht="12.75" customHeight="1">
      <c r="A4105" s="82" t="n">
        <v>1</v>
      </c>
      <c r="B4105" s="82" t="inlineStr">
        <is>
          <t>Insumo</t>
        </is>
      </c>
      <c r="C4105" s="82" t="inlineStr">
        <is>
          <t>Contramarco pequeno de Alumínio, Fixação com Argamassa</t>
        </is>
      </c>
      <c r="D4105" s="82" t="inlineStr">
        <is>
          <t>CONTRAMARCO DE ALUMINIO Pequeno</t>
        </is>
      </c>
      <c r="E4105" s="11">
        <f t="array" ref="E4105">_xlfn.XLOOKUP(D4105,Insumos!B:B,Insumos!C:$C)</f>
        <v/>
      </c>
      <c r="F4105" s="2164" t="n">
        <v>1</v>
      </c>
      <c r="G4105" s="92">
        <f t="array" ref="G4105">IF(B4105="insumo",_xlfn.XLOOKUP($D4105,Insumos!$B$1:$B$996,Insumos!$D$1:$D$996),"")</f>
        <v/>
      </c>
      <c r="H4105" s="92" t="n">
        <v>65</v>
      </c>
      <c r="I4105" s="2165" t="n">
        <v>0</v>
      </c>
      <c r="J4105" s="2165" t="n">
        <v>0</v>
      </c>
      <c r="K4105" s="2165" t="n"/>
    </row>
    <row r="4106" outlineLevel="3" ht="12.75" customHeight="1">
      <c r="A4106" s="82" t="n">
        <v>17</v>
      </c>
      <c r="B4106" s="82" t="inlineStr">
        <is>
          <t>Insumo</t>
        </is>
      </c>
      <c r="C4106" s="82" t="inlineStr">
        <is>
          <t>Contramarco pequeno de Alumínio, Fixação com Argamassa</t>
        </is>
      </c>
      <c r="D4106" s="82" t="inlineStr">
        <is>
          <t>ARGAMASSA ESTABILIZADA PARA ASSENTAMENTO</t>
        </is>
      </c>
      <c r="E4106" s="11">
        <f t="array" ref="E4106">_xlfn.XLOOKUP(D4106,Insumos!B:B,Insumos!C:$C)</f>
        <v/>
      </c>
      <c r="F4106" s="2164">
        <f>0.002*2.4</f>
        <v/>
      </c>
      <c r="G4106" s="92">
        <f t="array" ref="G4106">IF(B4106="insumo",_xlfn.XLOOKUP($D4106,Insumos!$B$1:$B$996,Insumos!$D$1:$D$996),"")</f>
        <v/>
      </c>
      <c r="H4106" s="92" t="n">
        <v>2.04</v>
      </c>
      <c r="I4106" s="2165" t="n">
        <v>0</v>
      </c>
      <c r="J4106" s="2165" t="n">
        <v>0</v>
      </c>
      <c r="K4106" s="2165" t="n"/>
    </row>
    <row r="4107" outlineLevel="2" ht="22.5" customHeight="1">
      <c r="A4107" s="1071" t="n">
        <v>1</v>
      </c>
      <c r="B4107" s="1071" t="inlineStr">
        <is>
          <t>Serviço</t>
        </is>
      </c>
      <c r="C4107" s="1071" t="inlineStr">
        <is>
          <t>Contramarco grande de Alumínio, Fixação com Argamassa</t>
        </is>
      </c>
      <c r="D4107" s="1071" t="inlineStr">
        <is>
          <t>Contramarco grande de Alumínio, Fixação com Argamassa</t>
        </is>
      </c>
      <c r="E4107" s="1072" t="inlineStr">
        <is>
          <t>UN</t>
        </is>
      </c>
      <c r="F4107" s="1071" t="n"/>
      <c r="G4107" s="1073">
        <f t="array" ref="G4107">IF(B4107="insumo",_xlfn.XLOOKUP($D4107,Insumos!$B$1:$B$996,Insumos!$D$1:$D$996),"")</f>
        <v/>
      </c>
      <c r="H4107" s="1073" t="n">
        <v>157.04</v>
      </c>
      <c r="I4107" s="2163" t="n">
        <v>0</v>
      </c>
      <c r="J4107" s="2163" t="n">
        <v>0</v>
      </c>
      <c r="K4107" s="2163" t="n"/>
    </row>
    <row r="4108" outlineLevel="3" ht="12.75" customHeight="1">
      <c r="A4108" s="82" t="n">
        <v>1</v>
      </c>
      <c r="B4108" s="82" t="inlineStr">
        <is>
          <t>Insumo</t>
        </is>
      </c>
      <c r="C4108" s="82" t="inlineStr">
        <is>
          <t>Contramarco grande de Alumínio, Fixação com Argamassa</t>
        </is>
      </c>
      <c r="D4108" s="82" t="inlineStr">
        <is>
          <t>CONTRAMARCO DE ALUMINIO grande</t>
        </is>
      </c>
      <c r="E4108" s="11">
        <f t="array" ref="E4108">_xlfn.XLOOKUP(D4108,Insumos!B:B,Insumos!C:$C)</f>
        <v/>
      </c>
      <c r="F4108" s="2164" t="n">
        <v>1</v>
      </c>
      <c r="G4108" s="92">
        <f t="array" ref="G4108">IF(B4108="insumo",_xlfn.XLOOKUP($D4108,Insumos!$B$1:$B$996,Insumos!$D$1:$D$996),"")</f>
        <v/>
      </c>
      <c r="H4108" s="92" t="n">
        <v>155</v>
      </c>
      <c r="I4108" s="2165" t="n">
        <v>0</v>
      </c>
      <c r="J4108" s="2165" t="n">
        <v>0</v>
      </c>
      <c r="K4108" s="2165" t="n"/>
    </row>
    <row r="4109" outlineLevel="3" ht="12.75" customHeight="1">
      <c r="A4109" s="82" t="n">
        <v>17</v>
      </c>
      <c r="B4109" s="82" t="inlineStr">
        <is>
          <t>Insumo</t>
        </is>
      </c>
      <c r="C4109" s="82" t="inlineStr">
        <is>
          <t>Contramarco grande de Alumínio, Fixação com Argamassa</t>
        </is>
      </c>
      <c r="D4109" s="82" t="inlineStr">
        <is>
          <t>ARGAMASSA ESTABILIZADA PARA ASSENTAMENTO</t>
        </is>
      </c>
      <c r="E4109" s="11">
        <f t="array" ref="E4109">_xlfn.XLOOKUP(D4109,Insumos!B:B,Insumos!C:$C)</f>
        <v/>
      </c>
      <c r="F4109" s="2164">
        <f>0.002*2.4</f>
        <v/>
      </c>
      <c r="G4109" s="92">
        <f t="array" ref="G4109">IF(B4109="insumo",_xlfn.XLOOKUP($D4109,Insumos!$B$1:$B$996,Insumos!$D$1:$D$996),"")</f>
        <v/>
      </c>
      <c r="H4109" s="92" t="n">
        <v>2.04</v>
      </c>
      <c r="I4109" s="2165" t="n">
        <v>0</v>
      </c>
      <c r="J4109" s="2165" t="n">
        <v>0</v>
      </c>
      <c r="K4109" s="2165" t="n"/>
    </row>
    <row r="4110" outlineLevel="2" ht="15.75" customHeight="1">
      <c r="A4110" s="1067" t="n">
        <v>1</v>
      </c>
      <c r="B4110" s="1067" t="inlineStr">
        <is>
          <t>Serviço</t>
        </is>
      </c>
      <c r="C4110" s="1067" t="inlineStr">
        <is>
          <t>Brise de Alumínio - Decoração Fachada</t>
        </is>
      </c>
      <c r="D4110" s="1067" t="inlineStr">
        <is>
          <t>Brise de Alumínio - Decoração Fachada</t>
        </is>
      </c>
      <c r="E4110" s="1068" t="inlineStr">
        <is>
          <t>M2</t>
        </is>
      </c>
      <c r="F4110" s="1067" t="n"/>
      <c r="G4110" s="1069">
        <f t="array" ref="G4110">IF(B4110="insumo",_xlfn.XLOOKUP($D4110,Insumos!$B$1:$B$996,Insumos!$D$1:$D$996),"")</f>
        <v/>
      </c>
      <c r="H4110" s="1069" t="n">
        <v>2122.5413895571</v>
      </c>
      <c r="I4110" s="2161" t="e">
        <v>#REF!</v>
      </c>
      <c r="J4110" s="2161" t="e">
        <v>#REF!</v>
      </c>
      <c r="K4110" s="2161" t="n"/>
    </row>
    <row r="4111" outlineLevel="3" ht="15.75" customHeight="1">
      <c r="A4111" s="10" t="n">
        <v>2</v>
      </c>
      <c r="B4111" s="10" t="inlineStr">
        <is>
          <t>Insumo</t>
        </is>
      </c>
      <c r="C4111" s="10" t="inlineStr">
        <is>
          <t>Brise de Alumínio - Decoração Fachada</t>
        </is>
      </c>
      <c r="D4111" s="10" t="inlineStr">
        <is>
          <t>PAINEL EM BRISE MARROM</t>
        </is>
      </c>
      <c r="E4111" s="11">
        <f t="array" ref="E4111">_xlfn.XLOOKUP(D4111,Insumos!B:B,Insumos!C:$C)</f>
        <v/>
      </c>
      <c r="F4111" s="14" t="n">
        <v>1.5</v>
      </c>
      <c r="G4111" s="92">
        <f t="array" ref="G4111">IF(B4111="insumo",_xlfn.XLOOKUP($D4111,Insumos!$B$1:$B$996,Insumos!$D$1:$D$996),"")</f>
        <v/>
      </c>
      <c r="H4111" s="92" t="n">
        <v>2122.5413895571</v>
      </c>
      <c r="I4111" s="2162" t="e">
        <v>#REF!</v>
      </c>
      <c r="J4111" s="2162" t="e">
        <v>#REF!</v>
      </c>
      <c r="K4111" s="2162" t="n"/>
    </row>
    <row r="4112" outlineLevel="2" ht="15.75" customHeight="1">
      <c r="A4112" s="1067" t="n">
        <v>1</v>
      </c>
      <c r="B4112" s="1067" t="inlineStr">
        <is>
          <t>Serviço</t>
        </is>
      </c>
      <c r="C4112" s="1067" t="inlineStr">
        <is>
          <t>Brise de Madeira - Decoração Fachada</t>
        </is>
      </c>
      <c r="D4112" s="1067" t="inlineStr">
        <is>
          <t>Brise de Madeira - Decoração Fachada</t>
        </is>
      </c>
      <c r="E4112" s="1068" t="inlineStr">
        <is>
          <t>M2</t>
        </is>
      </c>
      <c r="F4112" s="1067" t="n"/>
      <c r="G4112" s="1069">
        <f t="array" ref="G4112">IF(B4112="insumo",_xlfn.XLOOKUP($D4112,Insumos!$B$1:$B$996,Insumos!$D$1:$D$996),"")</f>
        <v/>
      </c>
      <c r="H4112" s="1069" t="n">
        <v>1031.74603174603</v>
      </c>
      <c r="I4112" s="2161" t="n">
        <v>0</v>
      </c>
      <c r="J4112" s="2161" t="n">
        <v>0</v>
      </c>
      <c r="K4112" s="2161" t="n"/>
    </row>
    <row r="4113" outlineLevel="3" ht="15.75" customHeight="1">
      <c r="A4113" s="10" t="n">
        <v>1</v>
      </c>
      <c r="B4113" s="10" t="inlineStr">
        <is>
          <t>Insumo</t>
        </is>
      </c>
      <c r="C4113" s="10" t="inlineStr">
        <is>
          <t>Brise de Madeira - Decoração Fachada</t>
        </is>
      </c>
      <c r="D4113" s="10" t="inlineStr">
        <is>
          <t>Brise de Madeira - Decoração Fachada</t>
        </is>
      </c>
      <c r="E4113" s="11">
        <f t="array" ref="E4113">_xlfn.XLOOKUP(D4113,Insumos!B:B,Insumos!C:$C)</f>
        <v/>
      </c>
      <c r="F4113" s="14" t="n">
        <v>1</v>
      </c>
      <c r="G4113" s="92">
        <f t="array" ref="G4113">IF(B4113="insumo",_xlfn.XLOOKUP($D4113,Insumos!$B$1:$B$996,Insumos!$D$1:$D$996),"")</f>
        <v/>
      </c>
      <c r="H4113" s="92" t="n">
        <v>1031.74603174603</v>
      </c>
      <c r="I4113" s="2162" t="n">
        <v>0</v>
      </c>
      <c r="J4113" s="2162" t="n">
        <v>0</v>
      </c>
      <c r="K4113" s="2162" t="n"/>
    </row>
    <row r="4114" outlineLevel="2" ht="12.75" customHeight="1">
      <c r="A4114" s="1071" t="n">
        <v>1</v>
      </c>
      <c r="B4114" s="1071" t="inlineStr">
        <is>
          <t>Serviço</t>
        </is>
      </c>
      <c r="C4114" s="1071" t="inlineStr">
        <is>
          <t>Guarda Corpo de Vidro - fornecimento e instalação</t>
        </is>
      </c>
      <c r="D4114" s="1071" t="inlineStr">
        <is>
          <t>Guarda Corpo de Vidro - fornecimento e instalação</t>
        </is>
      </c>
      <c r="E4114" s="1072" t="inlineStr">
        <is>
          <t>M2</t>
        </is>
      </c>
      <c r="F4114" s="1071" t="n"/>
      <c r="G4114" s="1073">
        <f t="array" ref="G4114">IF(B4114="insumo",_xlfn.XLOOKUP($D4114,Insumos!$B$1:$B$996,Insumos!$D$1:$D$996),"")</f>
        <v/>
      </c>
      <c r="H4114" s="1073" t="n">
        <v>850</v>
      </c>
      <c r="I4114" s="2163" t="n">
        <v>0</v>
      </c>
      <c r="J4114" s="2163" t="n">
        <v>0</v>
      </c>
      <c r="K4114" s="2163" t="n"/>
    </row>
    <row r="4115" outlineLevel="3" ht="12.75" customHeight="1">
      <c r="A4115" s="82" t="n">
        <v>1</v>
      </c>
      <c r="B4115" s="82" t="inlineStr">
        <is>
          <t>Insumo</t>
        </is>
      </c>
      <c r="C4115" s="82" t="inlineStr">
        <is>
          <t>Guarda Corpo de Vidro - fornecimento e instalação</t>
        </is>
      </c>
      <c r="D4115" s="82" t="inlineStr">
        <is>
          <t>Guarda Corpo de Vidro - fornecimento e instalação</t>
        </is>
      </c>
      <c r="E4115" s="11">
        <f t="array" ref="E4115">_xlfn.XLOOKUP(D4115,Insumos!B:B,Insumos!C:$C)</f>
        <v/>
      </c>
      <c r="F4115" s="2164" t="n">
        <v>1</v>
      </c>
      <c r="G4115" s="92">
        <f t="array" ref="G4115">IF(B4115="insumo",_xlfn.XLOOKUP($D4115,Insumos!$B$1:$B$996,Insumos!$D$1:$D$996),"")</f>
        <v/>
      </c>
      <c r="H4115" s="92" t="n">
        <v>850</v>
      </c>
      <c r="I4115" s="2165" t="n">
        <v>0</v>
      </c>
      <c r="J4115" s="2165" t="n">
        <v>0</v>
      </c>
      <c r="K4115" s="2165" t="n"/>
    </row>
    <row r="4116" outlineLevel="2" ht="12.75" customHeight="1">
      <c r="A4116" s="1071" t="n">
        <v>1</v>
      </c>
      <c r="B4116" s="1071" t="inlineStr">
        <is>
          <t>Serviço</t>
        </is>
      </c>
      <c r="C4116" s="1071" t="inlineStr">
        <is>
          <t>Guarda Corpo de Vidro e Aluminio - fornecimento e instalação</t>
        </is>
      </c>
      <c r="D4116" s="1071" t="inlineStr">
        <is>
          <t>Guarda Corpo de Vidro e Aluminio - fornecimento e instalação</t>
        </is>
      </c>
      <c r="E4116" s="1072" t="inlineStr">
        <is>
          <t>M2</t>
        </is>
      </c>
      <c r="F4116" s="1071" t="n"/>
      <c r="G4116" s="1073">
        <f t="array" ref="G4116">IF(B4116="insumo",_xlfn.XLOOKUP($D4116,Insumos!$B$1:$B$996,Insumos!$D$1:$D$996),"")</f>
        <v/>
      </c>
      <c r="H4116" s="1073" t="n">
        <v>1403.985</v>
      </c>
      <c r="I4116" s="2163" t="e">
        <v>#REF!</v>
      </c>
      <c r="J4116" s="2163" t="e">
        <v>#REF!</v>
      </c>
      <c r="K4116" s="2163" t="n"/>
    </row>
    <row r="4117" outlineLevel="3" ht="12.75" customHeight="1">
      <c r="A4117" s="82" t="n">
        <v>1</v>
      </c>
      <c r="B4117" s="82" t="inlineStr">
        <is>
          <t>Insumo</t>
        </is>
      </c>
      <c r="C4117" s="82" t="inlineStr">
        <is>
          <t>Guarda Corpo de Vidro e Aluminio - fornecimento e instalação</t>
        </is>
      </c>
      <c r="D4117" s="82" t="inlineStr">
        <is>
          <t>Guarda Corpo de Vidro e Aluminio - fornecimento e instalação</t>
        </is>
      </c>
      <c r="E4117" s="11">
        <f t="array" ref="E4117">_xlfn.XLOOKUP(D4117,Insumos!B:B,Insumos!C:$C)</f>
        <v/>
      </c>
      <c r="F4117" s="2164" t="n">
        <v>1.5</v>
      </c>
      <c r="G4117" s="92">
        <f t="array" ref="G4117">IF(B4117="insumo",_xlfn.XLOOKUP($D4117,Insumos!$B$1:$B$996,Insumos!$D$1:$D$996),"")</f>
        <v/>
      </c>
      <c r="H4117" s="92" t="n">
        <v>1403.985</v>
      </c>
      <c r="I4117" s="2165" t="e">
        <v>#REF!</v>
      </c>
      <c r="J4117" s="2165" t="e">
        <v>#REF!</v>
      </c>
      <c r="K4117" s="2165" t="n"/>
    </row>
    <row r="4118" outlineLevel="2" ht="12.75" customHeight="1">
      <c r="A4118" s="1071" t="n">
        <v>1</v>
      </c>
      <c r="B4118" s="1071" t="inlineStr">
        <is>
          <t>Serviço</t>
        </is>
      </c>
      <c r="C4118" s="1071" t="inlineStr">
        <is>
          <t>Guarda Corpo de aluminio (gradil) - fornecimento e instalação</t>
        </is>
      </c>
      <c r="D4118" s="1071" t="inlineStr">
        <is>
          <t>Guarda Corpo de aluminio (gradil) - fornecimento e instalação</t>
        </is>
      </c>
      <c r="E4118" s="1072" t="inlineStr">
        <is>
          <t>M2</t>
        </is>
      </c>
      <c r="F4118" s="1071" t="n"/>
      <c r="G4118" s="1073">
        <f t="array" ref="G4118">IF(B4118="insumo",_xlfn.XLOOKUP($D4118,Insumos!$B$1:$B$996,Insumos!$D$1:$D$996),"")</f>
        <v/>
      </c>
      <c r="H4118" s="1073" t="n">
        <v>768.5</v>
      </c>
      <c r="I4118" s="2163" t="n">
        <v>0</v>
      </c>
      <c r="J4118" s="2163" t="n">
        <v>0</v>
      </c>
      <c r="K4118" s="2163" t="n"/>
    </row>
    <row r="4119" outlineLevel="3" ht="12.75" customHeight="1">
      <c r="A4119" s="82" t="n">
        <v>2</v>
      </c>
      <c r="B4119" s="82" t="inlineStr">
        <is>
          <t>Insumo</t>
        </is>
      </c>
      <c r="C4119" s="82" t="inlineStr">
        <is>
          <t>Guarda Corpo de aluminio (gradil) - fornecimento e instalação</t>
        </is>
      </c>
      <c r="D4119" s="82" t="inlineStr">
        <is>
          <t>Guarda Corpo de aluminio (gradil) - fornecimento e instalação</t>
        </is>
      </c>
      <c r="E4119" s="11">
        <f t="array" ref="E4119">_xlfn.XLOOKUP(D4119,Insumos!B:B,Insumos!C:$C)</f>
        <v/>
      </c>
      <c r="F4119" s="2164" t="n">
        <v>1</v>
      </c>
      <c r="G4119" s="92">
        <f t="array" ref="G4119">IF(B4119="insumo",_xlfn.XLOOKUP($D4119,Insumos!$B$1:$B$996,Insumos!$D$1:$D$996),"")</f>
        <v/>
      </c>
      <c r="H4119" s="92" t="n">
        <v>768.5</v>
      </c>
      <c r="I4119" s="2165" t="n">
        <v>0</v>
      </c>
      <c r="J4119" s="2165" t="n">
        <v>0</v>
      </c>
      <c r="K4119" s="2165" t="n"/>
    </row>
    <row r="4120" outlineLevel="2" ht="12.75" customHeight="1">
      <c r="A4120" s="1071" t="n">
        <v>1</v>
      </c>
      <c r="B4120" s="1071" t="inlineStr">
        <is>
          <t>Serviço</t>
        </is>
      </c>
      <c r="C4120" s="1071" t="inlineStr">
        <is>
          <t>Gradil - fornecimento e instalação</t>
        </is>
      </c>
      <c r="D4120" s="1071" t="inlineStr">
        <is>
          <t>Gradil - fornecimento e instalação</t>
        </is>
      </c>
      <c r="E4120" s="1072" t="inlineStr">
        <is>
          <t>M2</t>
        </is>
      </c>
      <c r="F4120" s="1071" t="n"/>
      <c r="G4120" s="1073">
        <f t="array" ref="G4120">IF(B4120="insumo",_xlfn.XLOOKUP($D4120,Insumos!$B$1:$B$996,Insumos!$D$1:$D$996),"")</f>
        <v/>
      </c>
      <c r="H4120" s="1073" t="n">
        <v>768.5</v>
      </c>
      <c r="I4120" s="2163" t="n">
        <v>0</v>
      </c>
      <c r="J4120" s="2163" t="n">
        <v>0</v>
      </c>
      <c r="K4120" s="2163" t="n"/>
    </row>
    <row r="4121" outlineLevel="3" ht="12.75" customHeight="1">
      <c r="A4121" s="82" t="n">
        <v>2</v>
      </c>
      <c r="B4121" s="82" t="inlineStr">
        <is>
          <t>Insumo</t>
        </is>
      </c>
      <c r="C4121" s="82" t="inlineStr">
        <is>
          <t>Gradil - fornecimento e instalação</t>
        </is>
      </c>
      <c r="D4121" s="82" t="inlineStr">
        <is>
          <t>Guarda Corpo de aluminio (gradil) - fornecimento e instalação</t>
        </is>
      </c>
      <c r="E4121" s="11">
        <f t="array" ref="E4121">_xlfn.XLOOKUP(D4121,Insumos!B:B,Insumos!C:$C)</f>
        <v/>
      </c>
      <c r="F4121" s="2164" t="n">
        <v>1</v>
      </c>
      <c r="G4121" s="92">
        <f t="array" ref="G4121">IF(B4121="insumo",_xlfn.XLOOKUP($D4121,Insumos!$B$1:$B$996,Insumos!$D$1:$D$996),"")</f>
        <v/>
      </c>
      <c r="H4121" s="92" t="n">
        <v>768.5</v>
      </c>
      <c r="I4121" s="2165" t="n">
        <v>0</v>
      </c>
      <c r="J4121" s="2165" t="n">
        <v>0</v>
      </c>
      <c r="K4121" s="2165" t="n"/>
    </row>
    <row r="4122" outlineLevel="2" ht="12.75" customHeight="1">
      <c r="A4122" s="1071" t="n">
        <v>1</v>
      </c>
      <c r="B4122" s="1071" t="inlineStr">
        <is>
          <t>Serviço</t>
        </is>
      </c>
      <c r="C4122" s="1071" t="inlineStr">
        <is>
          <t>Enchimento - Esquadrias</t>
        </is>
      </c>
      <c r="D4122" s="1071" t="inlineStr">
        <is>
          <t>Enchimento - Esquadrias</t>
        </is>
      </c>
      <c r="E4122" s="1072" t="inlineStr">
        <is>
          <t>M3</t>
        </is>
      </c>
      <c r="F4122" s="1071" t="n"/>
      <c r="G4122" s="1073">
        <f t="array" ref="G4122">IF(B4122="insumo",_xlfn.XLOOKUP($D4122,Insumos!$B$1:$B$996,Insumos!$D$1:$D$996),"")</f>
        <v/>
      </c>
      <c r="H4122" s="1073" t="n">
        <v>1478.75</v>
      </c>
      <c r="I4122" s="2163" t="n">
        <v>0</v>
      </c>
      <c r="J4122" s="2163" t="n">
        <v>0</v>
      </c>
      <c r="K4122" s="2163" t="n"/>
    </row>
    <row r="4123" outlineLevel="3" ht="12.75" customHeight="1">
      <c r="A4123" s="82" t="n">
        <v>27</v>
      </c>
      <c r="B4123" s="82" t="inlineStr">
        <is>
          <t>Insumo</t>
        </is>
      </c>
      <c r="C4123" s="82" t="inlineStr">
        <is>
          <t>Enchimento - Esquadrias</t>
        </is>
      </c>
      <c r="D4123" s="82" t="inlineStr">
        <is>
          <t>ARGAMASSA INDUSTRIALIZADA MULTIUSO, PARA REVESTIMENTO INTERNO E EXTERNO E ASSENTAMENTO DE BLOCOS DIVERSOS</t>
        </is>
      </c>
      <c r="E4123" s="11">
        <f t="array" ref="E4123">_xlfn.XLOOKUP(D4123,Insumos!B:B,Insumos!C:$C)</f>
        <v/>
      </c>
      <c r="F4123" s="2164" t="n">
        <v>0.35</v>
      </c>
      <c r="G4123" s="92">
        <f t="array" ref="G4123">IF(B4123="insumo",_xlfn.XLOOKUP($D4123,Insumos!$B$1:$B$996,Insumos!$D$1:$D$996),"")</f>
        <v/>
      </c>
      <c r="H4123" s="92" t="n">
        <v>148.75</v>
      </c>
      <c r="I4123" s="2165" t="n">
        <v>0</v>
      </c>
      <c r="J4123" s="2165" t="n">
        <v>0</v>
      </c>
      <c r="K4123" s="2165" t="n"/>
    </row>
    <row r="4124" outlineLevel="3" ht="12.75" customHeight="1">
      <c r="A4124" s="82" t="n">
        <v>3</v>
      </c>
      <c r="B4124" s="82" t="inlineStr">
        <is>
          <t>Insumo</t>
        </is>
      </c>
      <c r="C4124" s="82" t="inlineStr">
        <is>
          <t>Enchimento - Esquadrias</t>
        </is>
      </c>
      <c r="D4124" s="82" t="inlineStr">
        <is>
          <t>ADITIVO EXPANSOR EM PÓ</t>
        </is>
      </c>
      <c r="E4124" s="11">
        <f t="array" ref="E4124">_xlfn.XLOOKUP(D4124,Insumos!B:B,Insumos!C:$C)</f>
        <v/>
      </c>
      <c r="F4124" s="2164" t="n">
        <v>7.000000000000001</v>
      </c>
      <c r="G4124" s="92">
        <f t="array" ref="G4124">IF(B4124="insumo",_xlfn.XLOOKUP($D4124,Insumos!$B$1:$B$996,Insumos!$D$1:$D$996),"")</f>
        <v/>
      </c>
      <c r="H4124" s="92" t="n">
        <v>1330</v>
      </c>
      <c r="I4124" s="2165" t="n">
        <v>0</v>
      </c>
      <c r="J4124" s="2165" t="n">
        <v>0</v>
      </c>
      <c r="K4124" s="2165" t="n"/>
    </row>
    <row r="4125" outlineLevel="2" ht="15.75" customHeight="1">
      <c r="A4125" s="1067" t="n">
        <v>1</v>
      </c>
      <c r="B4125" s="1067" t="inlineStr">
        <is>
          <t>Serviço</t>
        </is>
      </c>
      <c r="C4125" s="1067" t="inlineStr">
        <is>
          <t>Pele de vidro</t>
        </is>
      </c>
      <c r="D4125" s="1067" t="inlineStr">
        <is>
          <t>Pele de vidro</t>
        </is>
      </c>
      <c r="E4125" s="1068" t="inlineStr">
        <is>
          <t>M2</t>
        </is>
      </c>
      <c r="F4125" s="1067" t="n"/>
      <c r="G4125" s="1069">
        <f t="array" ref="G4125">IF(B4125="insumo",_xlfn.XLOOKUP($D4125,Insumos!$B$1:$B$996,Insumos!$D$1:$D$996),"")</f>
        <v/>
      </c>
      <c r="H4125" s="1069" t="n">
        <v>1533.99</v>
      </c>
      <c r="I4125" s="2161" t="e">
        <v>#REF!</v>
      </c>
      <c r="J4125" s="2161" t="e">
        <v>#REF!</v>
      </c>
      <c r="K4125" s="2161" t="n"/>
    </row>
    <row r="4126" outlineLevel="3" ht="15.75" customHeight="1">
      <c r="A4126" s="10" t="n">
        <v>1</v>
      </c>
      <c r="B4126" s="10" t="inlineStr">
        <is>
          <t>Insumo</t>
        </is>
      </c>
      <c r="C4126" s="10" t="inlineStr">
        <is>
          <t>Pele de vidro</t>
        </is>
      </c>
      <c r="D4126" s="10" t="inlineStr">
        <is>
          <t>Pele de vidro</t>
        </is>
      </c>
      <c r="E4126" s="11">
        <f t="array" ref="E4126">_xlfn.XLOOKUP(D4126,Insumos!B:B,Insumos!C:$C)</f>
        <v/>
      </c>
      <c r="F4126" s="14" t="n">
        <v>1</v>
      </c>
      <c r="G4126" s="92">
        <f t="array" ref="G4126">IF(B4126="insumo",_xlfn.XLOOKUP($D4126,Insumos!$B$1:$B$996,Insumos!$D$1:$D$996),"")</f>
        <v/>
      </c>
      <c r="H4126" s="92" t="n">
        <v>1533.99</v>
      </c>
      <c r="I4126" s="2162" t="e">
        <v>#REF!</v>
      </c>
      <c r="J4126" s="2162" t="e">
        <v>#REF!</v>
      </c>
      <c r="K4126" s="2162" t="n"/>
    </row>
    <row r="4127" outlineLevel="2" ht="15.75" customHeight="1">
      <c r="A4127" s="1067" t="n">
        <v>1</v>
      </c>
      <c r="B4127" s="1067" t="inlineStr">
        <is>
          <t>Serviço</t>
        </is>
      </c>
      <c r="C4127" s="1067" t="inlineStr">
        <is>
          <t>Alçapão de aluminio</t>
        </is>
      </c>
      <c r="D4127" s="1067" t="inlineStr">
        <is>
          <t>Alçapão de aluminio</t>
        </is>
      </c>
      <c r="E4127" s="1068" t="inlineStr">
        <is>
          <t>M2</t>
        </is>
      </c>
      <c r="F4127" s="1067" t="n"/>
      <c r="G4127" s="1069">
        <f t="array" ref="G4127">IF(B4127="insumo",_xlfn.XLOOKUP($D4127,Insumos!$B$1:$B$996,Insumos!$D$1:$D$996),"")</f>
        <v/>
      </c>
      <c r="H4127" s="1069" t="n">
        <v>1014</v>
      </c>
      <c r="I4127" s="2161" t="n">
        <v>0</v>
      </c>
      <c r="J4127" s="2161" t="n">
        <v>0</v>
      </c>
      <c r="K4127" s="2161" t="n"/>
    </row>
    <row r="4128" outlineLevel="3" ht="15.75" customHeight="1">
      <c r="A4128" s="10" t="n">
        <v>1</v>
      </c>
      <c r="B4128" s="10" t="inlineStr">
        <is>
          <t>Insumo</t>
        </is>
      </c>
      <c r="C4128" s="10" t="inlineStr">
        <is>
          <t>Alçapão de aluminio</t>
        </is>
      </c>
      <c r="D4128" s="10" t="inlineStr">
        <is>
          <t>Alçapão de aluminio</t>
        </is>
      </c>
      <c r="E4128" s="11">
        <f t="array" ref="E4128">_xlfn.XLOOKUP(D4128,Insumos!B:B,Insumos!C:$C)</f>
        <v/>
      </c>
      <c r="F4128" s="14" t="n">
        <v>1</v>
      </c>
      <c r="G4128" s="92">
        <f t="array" ref="G4128">IF(B4128="insumo",_xlfn.XLOOKUP($D4128,Insumos!$B$1:$B$996,Insumos!$D$1:$D$996),"")</f>
        <v/>
      </c>
      <c r="H4128" s="92" t="n">
        <v>1014</v>
      </c>
      <c r="I4128" s="2162" t="n">
        <v>0</v>
      </c>
      <c r="J4128" s="2162" t="n">
        <v>0</v>
      </c>
      <c r="K4128" s="2162" t="n"/>
    </row>
    <row r="4129" outlineLevel="2" ht="15.75" customHeight="1">
      <c r="A4129" s="1067" t="n">
        <v>1</v>
      </c>
      <c r="B4129" s="1067" t="inlineStr">
        <is>
          <t>Serviço</t>
        </is>
      </c>
      <c r="C4129" s="1067" t="inlineStr">
        <is>
          <t>Portão de vidro - 85x280 cm</t>
        </is>
      </c>
      <c r="D4129" s="1067" t="inlineStr">
        <is>
          <t>Portão de vidro - 85x280 cm</t>
        </is>
      </c>
      <c r="E4129" s="1068" t="inlineStr">
        <is>
          <t>M2</t>
        </is>
      </c>
      <c r="F4129" s="1067" t="n"/>
      <c r="G4129" s="1069">
        <f t="array" ref="G4129">IF(B4129="insumo",_xlfn.XLOOKUP($D4129,Insumos!$B$1:$B$996,Insumos!$D$1:$D$996),"")</f>
        <v/>
      </c>
      <c r="H4129" s="1069" t="n">
        <v>3893.28333333333</v>
      </c>
      <c r="I4129" s="2161" t="n">
        <v>0</v>
      </c>
      <c r="J4129" s="2161" t="n">
        <v>0</v>
      </c>
      <c r="K4129" s="2161" t="n"/>
    </row>
    <row r="4130" outlineLevel="3" ht="15.75" customHeight="1">
      <c r="A4130" s="10" t="n">
        <v>1</v>
      </c>
      <c r="B4130" s="10" t="inlineStr">
        <is>
          <t>Insumo</t>
        </is>
      </c>
      <c r="C4130" s="10" t="inlineStr">
        <is>
          <t>Portão de vidro - 85x280 cm</t>
        </is>
      </c>
      <c r="D4130" s="10" t="inlineStr">
        <is>
          <t>Portão de vidro - 85x280 cm</t>
        </is>
      </c>
      <c r="E4130" s="11">
        <f t="array" ref="E4130">_xlfn.XLOOKUP(D4130,Insumos!B:B,Insumos!C:$C)</f>
        <v/>
      </c>
      <c r="F4130" s="14" t="n">
        <v>1</v>
      </c>
      <c r="G4130" s="92">
        <f t="array" ref="G4130">IF(B4130="insumo",_xlfn.XLOOKUP($D4130,Insumos!$B$1:$B$996,Insumos!$D$1:$D$996),"")</f>
        <v/>
      </c>
      <c r="H4130" s="92" t="n">
        <v>3893.28333333333</v>
      </c>
      <c r="I4130" s="2162" t="n">
        <v>0</v>
      </c>
      <c r="J4130" s="2162" t="n">
        <v>0</v>
      </c>
      <c r="K4130" s="2162" t="n"/>
    </row>
    <row r="4131" outlineLevel="2" ht="15.75" customHeight="1">
      <c r="A4131" s="1067" t="n">
        <v>1</v>
      </c>
      <c r="B4131" s="1067" t="inlineStr">
        <is>
          <t>Serviço</t>
        </is>
      </c>
      <c r="C4131" s="1067" t="inlineStr">
        <is>
          <t>Porta Pivotante alumínio 140x210cm</t>
        </is>
      </c>
      <c r="D4131" s="1067" t="inlineStr">
        <is>
          <t>Porta Pivotante alumínio 140x210cm</t>
        </is>
      </c>
      <c r="E4131" s="1068" t="inlineStr">
        <is>
          <t>M</t>
        </is>
      </c>
      <c r="F4131" s="1067" t="n"/>
      <c r="G4131" s="1069">
        <f t="array" ref="G4131">IF(B4131="insumo",_xlfn.XLOOKUP($D4131,Insumos!$B$1:$B$996,Insumos!$D$1:$D$996),"")</f>
        <v/>
      </c>
      <c r="H4131" s="1069" t="n">
        <v>5040</v>
      </c>
      <c r="I4131" s="2161" t="n">
        <v>0</v>
      </c>
      <c r="J4131" s="2161" t="n">
        <v>0</v>
      </c>
      <c r="K4131" s="2161" t="n"/>
    </row>
    <row r="4132" outlineLevel="3" ht="15.75" customHeight="1">
      <c r="A4132" s="10" t="n">
        <v>1</v>
      </c>
      <c r="B4132" s="10" t="inlineStr">
        <is>
          <t>Insumo</t>
        </is>
      </c>
      <c r="C4132" s="10" t="inlineStr">
        <is>
          <t>Porta Pivotante alumínio 140x210cm</t>
        </is>
      </c>
      <c r="D4132" s="10" t="inlineStr">
        <is>
          <t>Porta Pivotante alumínio 140x210cm</t>
        </is>
      </c>
      <c r="E4132" s="11">
        <f t="array" ref="E4132">_xlfn.XLOOKUP(D4132,Insumos!B:B,Insumos!C:$C)</f>
        <v/>
      </c>
      <c r="F4132" s="14" t="n">
        <v>1</v>
      </c>
      <c r="G4132" s="92">
        <f t="array" ref="G4132">IF(B4132="insumo",_xlfn.XLOOKUP($D4132,Insumos!$B$1:$B$996,Insumos!$D$1:$D$996),"")</f>
        <v/>
      </c>
      <c r="H4132" s="92" t="n">
        <v>5040</v>
      </c>
      <c r="I4132" s="2162" t="n">
        <v>0</v>
      </c>
      <c r="J4132" s="2162" t="n">
        <v>0</v>
      </c>
      <c r="K4132" s="2162" t="n"/>
    </row>
    <row r="4133" outlineLevel="2" ht="15.75" customHeight="1">
      <c r="A4133" s="1067" t="n">
        <v>1</v>
      </c>
      <c r="B4133" s="1067" t="inlineStr">
        <is>
          <t>Serviço</t>
        </is>
      </c>
      <c r="C4133" s="1067" t="inlineStr">
        <is>
          <t>Moldura em alumínio para churrasqueiras - fornecimento e instalação</t>
        </is>
      </c>
      <c r="D4133" s="1067" t="inlineStr">
        <is>
          <t>Moldura em alumínio para churrasqueiras - fornecimento e instalação</t>
        </is>
      </c>
      <c r="E4133" s="1068" t="inlineStr">
        <is>
          <t>M</t>
        </is>
      </c>
      <c r="F4133" s="1067" t="n"/>
      <c r="G4133" s="1069">
        <f t="array" ref="G4133">IF(B4133="insumo",_xlfn.XLOOKUP($D4133,Insumos!$B$1:$B$996,Insumos!$D$1:$D$996),"")</f>
        <v/>
      </c>
      <c r="H4133" s="1069" t="n">
        <v>530</v>
      </c>
      <c r="I4133" s="2161" t="n">
        <v>0</v>
      </c>
      <c r="J4133" s="2161" t="n">
        <v>0</v>
      </c>
      <c r="K4133" s="2161" t="n"/>
    </row>
    <row r="4134" outlineLevel="3" ht="15.75" customHeight="1">
      <c r="A4134" s="10" t="n">
        <v>1</v>
      </c>
      <c r="B4134" s="10" t="inlineStr">
        <is>
          <t>Insumo</t>
        </is>
      </c>
      <c r="C4134" s="10" t="inlineStr">
        <is>
          <t>Moldura em alumínio para churrasqueiras - fornecimento e instalação</t>
        </is>
      </c>
      <c r="D4134" s="10" t="inlineStr">
        <is>
          <t>Moldura em alumínio para churrasqueiras - fornecimento e instalação</t>
        </is>
      </c>
      <c r="E4134" s="11">
        <f t="array" ref="E4134">_xlfn.XLOOKUP(D4134,Insumos!B:B,Insumos!C:$C)</f>
        <v/>
      </c>
      <c r="F4134" s="14" t="n">
        <v>1</v>
      </c>
      <c r="G4134" s="92">
        <f t="array" ref="G4134">IF(B4134="insumo",_xlfn.XLOOKUP($D4134,Insumos!$B$1:$B$996,Insumos!$D$1:$D$996),"")</f>
        <v/>
      </c>
      <c r="H4134" s="92" t="n">
        <v>530</v>
      </c>
      <c r="I4134" s="2162" t="n">
        <v>0</v>
      </c>
      <c r="J4134" s="2162" t="n">
        <v>0</v>
      </c>
      <c r="K4134" s="2162" t="n"/>
    </row>
    <row r="4135" outlineLevel="2" ht="15.75" customHeight="1">
      <c r="A4135" s="1067" t="n">
        <v>1</v>
      </c>
      <c r="B4135" s="1067" t="inlineStr">
        <is>
          <t>Serviço</t>
        </is>
      </c>
      <c r="C4135" s="1067" t="inlineStr">
        <is>
          <t>Portão, 1 folha, 4,81x226 cm</t>
        </is>
      </c>
      <c r="D4135" s="1067" t="inlineStr">
        <is>
          <t>Portão, 1 folha, 4,81x226 cm</t>
        </is>
      </c>
      <c r="E4135" s="1068" t="inlineStr">
        <is>
          <t>M2</t>
        </is>
      </c>
      <c r="F4135" s="1067" t="n"/>
      <c r="G4135" s="1069">
        <f t="array" ref="G4135">IF(B4135="insumo",_xlfn.XLOOKUP($D4135,Insumos!$B$1:$B$996,Insumos!$D$1:$D$996),"")</f>
        <v/>
      </c>
      <c r="H4135" s="1069" t="n">
        <v>28645.08</v>
      </c>
      <c r="I4135" s="2161" t="n">
        <v>0</v>
      </c>
      <c r="J4135" s="2161" t="n">
        <v>0</v>
      </c>
      <c r="K4135" s="2161" t="n"/>
    </row>
    <row r="4136" outlineLevel="3" ht="15.75" customHeight="1">
      <c r="A4136" s="10" t="n">
        <v>1</v>
      </c>
      <c r="B4136" s="10" t="inlineStr">
        <is>
          <t>Insumo</t>
        </is>
      </c>
      <c r="C4136" s="10" t="inlineStr">
        <is>
          <t>Portão, 1 folha, 4,81x226 cm</t>
        </is>
      </c>
      <c r="D4136" s="10" t="inlineStr">
        <is>
          <t>Portão, 1 folha, 4,81x226 cm</t>
        </is>
      </c>
      <c r="E4136" s="11">
        <f t="array" ref="E4136">_xlfn.XLOOKUP(D4136,Insumos!B:B,Insumos!C:$C)</f>
        <v/>
      </c>
      <c r="F4136" s="14" t="n">
        <v>1</v>
      </c>
      <c r="G4136" s="92">
        <f t="array" ref="G4136">IF(B4136="insumo",_xlfn.XLOOKUP($D4136,Insumos!$B$1:$B$996,Insumos!$D$1:$D$996),"")</f>
        <v/>
      </c>
      <c r="H4136" s="92" t="n">
        <v>28645.08</v>
      </c>
      <c r="I4136" s="2162" t="n">
        <v>0</v>
      </c>
      <c r="J4136" s="2162" t="n">
        <v>0</v>
      </c>
      <c r="K4136" s="2162" t="n"/>
    </row>
    <row r="4137" outlineLevel="2" ht="15.75" customHeight="1">
      <c r="A4137" s="1067" t="n">
        <v>1</v>
      </c>
      <c r="B4137" s="1067" t="inlineStr">
        <is>
          <t>Serviço</t>
        </is>
      </c>
      <c r="C4137" s="1067" t="inlineStr">
        <is>
          <t>Portão, 1 folha, 350x240 cm</t>
        </is>
      </c>
      <c r="D4137" s="1067" t="inlineStr">
        <is>
          <t>Portão, 1 folha, 350x240 cm</t>
        </is>
      </c>
      <c r="E4137" s="1068" t="inlineStr">
        <is>
          <t>M2</t>
        </is>
      </c>
      <c r="F4137" s="1067" t="n"/>
      <c r="G4137" s="1069">
        <f t="array" ref="G4137">IF(B4137="insumo",_xlfn.XLOOKUP($D4137,Insumos!$B$1:$B$996,Insumos!$D$1:$D$996),"")</f>
        <v/>
      </c>
      <c r="H4137" s="1069" t="n">
        <v>9302</v>
      </c>
      <c r="I4137" s="2161" t="n">
        <v>0</v>
      </c>
      <c r="J4137" s="2161" t="n">
        <v>0</v>
      </c>
      <c r="K4137" s="2161" t="n"/>
    </row>
    <row r="4138" outlineLevel="3" ht="15.75" customHeight="1">
      <c r="A4138" s="10" t="n">
        <v>1</v>
      </c>
      <c r="B4138" s="10" t="inlineStr">
        <is>
          <t>Insumo</t>
        </is>
      </c>
      <c r="C4138" s="10" t="inlineStr">
        <is>
          <t>Portão, 1 folha, 350x240 cm</t>
        </is>
      </c>
      <c r="D4138" s="10" t="inlineStr">
        <is>
          <t>Portão, 1 folha, 350x240 cm</t>
        </is>
      </c>
      <c r="E4138" s="11">
        <f t="array" ref="E4138">_xlfn.XLOOKUP(D4138,Insumos!B:B,Insumos!C:$C)</f>
        <v/>
      </c>
      <c r="F4138" s="14" t="n">
        <v>1</v>
      </c>
      <c r="G4138" s="92">
        <f t="array" ref="G4138">IF(B4138="insumo",_xlfn.XLOOKUP($D4138,Insumos!$B$1:$B$996,Insumos!$D$1:$D$996),"")</f>
        <v/>
      </c>
      <c r="H4138" s="92" t="n">
        <v>9302</v>
      </c>
      <c r="I4138" s="2162" t="n">
        <v>0</v>
      </c>
      <c r="J4138" s="2162" t="n">
        <v>0</v>
      </c>
      <c r="K4138" s="2162" t="n"/>
    </row>
    <row r="4139" outlineLevel="2" ht="12.75" customHeight="1">
      <c r="A4139" s="1071" t="n">
        <v>1</v>
      </c>
      <c r="B4139" s="1071" t="inlineStr">
        <is>
          <t>Serviço</t>
        </is>
      </c>
      <c r="C4139" s="1071" t="inlineStr">
        <is>
          <t>Portão, 1 folha, 500x235 cm</t>
        </is>
      </c>
      <c r="D4139" s="1071" t="inlineStr">
        <is>
          <t>Portão, 1 folha, 500x235 cm</t>
        </is>
      </c>
      <c r="E4139" s="1072" t="inlineStr">
        <is>
          <t>M2</t>
        </is>
      </c>
      <c r="F4139" s="1071" t="n"/>
      <c r="G4139" s="1073">
        <f t="array" ref="G4139">IF(B4139="insumo",_xlfn.XLOOKUP($D4139,Insumos!$B$1:$B$996,Insumos!$D$1:$D$996),"")</f>
        <v/>
      </c>
      <c r="H4139" s="1073" t="n">
        <v>13011.7261904762</v>
      </c>
      <c r="I4139" s="2163" t="n">
        <v>0</v>
      </c>
      <c r="J4139" s="2163" t="n">
        <v>0</v>
      </c>
      <c r="K4139" s="2163" t="n"/>
    </row>
    <row r="4140" outlineLevel="3" ht="12.75" customHeight="1">
      <c r="A4140" s="82" t="n">
        <v>1</v>
      </c>
      <c r="B4140" s="82" t="inlineStr">
        <is>
          <t>Insumo</t>
        </is>
      </c>
      <c r="C4140" s="82" t="inlineStr">
        <is>
          <t>Portão, 1 folha, 500x235 cm</t>
        </is>
      </c>
      <c r="D4140" s="82" t="inlineStr">
        <is>
          <t>Portão, 1 folha, 500x235 cm</t>
        </is>
      </c>
      <c r="E4140" s="11">
        <f t="array" ref="E4140">_xlfn.XLOOKUP(D4140,Insumos!B:B,Insumos!C:$C)</f>
        <v/>
      </c>
      <c r="F4140" s="2164" t="n">
        <v>1</v>
      </c>
      <c r="G4140" s="92">
        <f t="array" ref="G4140">IF(B4140="insumo",_xlfn.XLOOKUP($D4140,Insumos!$B$1:$B$996,Insumos!$D$1:$D$996),"")</f>
        <v/>
      </c>
      <c r="H4140" s="92" t="n">
        <v>13011.7261904762</v>
      </c>
      <c r="I4140" s="2165" t="n">
        <v>0</v>
      </c>
      <c r="J4140" s="2165" t="n">
        <v>0</v>
      </c>
      <c r="K4140" s="2165" t="n"/>
    </row>
    <row r="4141" outlineLevel="2" ht="12.75" customHeight="1">
      <c r="A4141" s="1071" t="n">
        <v>1</v>
      </c>
      <c r="B4141" s="1071" t="inlineStr">
        <is>
          <t>Serviço</t>
        </is>
      </c>
      <c r="C4141" s="1071" t="inlineStr">
        <is>
          <t>Portão, 1 folha, 320x245 cm</t>
        </is>
      </c>
      <c r="D4141" s="1071" t="inlineStr">
        <is>
          <t>Portão, 1 folha, 320x245 cm</t>
        </is>
      </c>
      <c r="E4141" s="1072" t="inlineStr">
        <is>
          <t>M2</t>
        </is>
      </c>
      <c r="F4141" s="1071" t="n"/>
      <c r="G4141" s="1073">
        <f t="array" ref="G4141">IF(B4141="insumo",_xlfn.XLOOKUP($D4141,Insumos!$B$1:$B$996,Insumos!$D$1:$D$996),"")</f>
        <v/>
      </c>
      <c r="H4141" s="1073" t="n">
        <v>8681.86666666667</v>
      </c>
      <c r="I4141" s="2163" t="n">
        <v>0</v>
      </c>
      <c r="J4141" s="2163" t="n">
        <v>0</v>
      </c>
      <c r="K4141" s="2163" t="n"/>
    </row>
    <row r="4142" outlineLevel="3" ht="12.75" customHeight="1">
      <c r="A4142" s="82" t="n">
        <v>1</v>
      </c>
      <c r="B4142" s="82" t="inlineStr">
        <is>
          <t>Insumo</t>
        </is>
      </c>
      <c r="C4142" s="82" t="inlineStr">
        <is>
          <t>Portão, 1 folha, 320x245 cm</t>
        </is>
      </c>
      <c r="D4142" s="82" t="inlineStr">
        <is>
          <t>Portão, 1 folha, 320x245 cm</t>
        </is>
      </c>
      <c r="E4142" s="11">
        <f t="array" ref="E4142">_xlfn.XLOOKUP(D4142,Insumos!B:B,Insumos!C:$C)</f>
        <v/>
      </c>
      <c r="F4142" s="2164" t="n">
        <v>1</v>
      </c>
      <c r="G4142" s="92">
        <f t="array" ref="G4142">IF(B4142="insumo",_xlfn.XLOOKUP($D4142,Insumos!$B$1:$B$996,Insumos!$D$1:$D$996),"")</f>
        <v/>
      </c>
      <c r="H4142" s="92" t="n">
        <v>8681.86666666667</v>
      </c>
      <c r="I4142" s="2165" t="n">
        <v>0</v>
      </c>
      <c r="J4142" s="2165" t="n">
        <v>0</v>
      </c>
      <c r="K4142" s="2165" t="n"/>
    </row>
    <row r="4143" outlineLevel="2" ht="12.75" customHeight="1">
      <c r="A4143" s="1071" t="n">
        <v>1</v>
      </c>
      <c r="B4143" s="1071" t="inlineStr">
        <is>
          <t>Serviço</t>
        </is>
      </c>
      <c r="C4143" s="1071" t="inlineStr">
        <is>
          <t>Portão, 1 folha, 320x220 cm</t>
        </is>
      </c>
      <c r="D4143" s="1071" t="inlineStr">
        <is>
          <t>Portão, 1 folha, 320x220 cm</t>
        </is>
      </c>
      <c r="E4143" s="1072" t="inlineStr">
        <is>
          <t>M2</t>
        </is>
      </c>
      <c r="F4143" s="1071" t="n"/>
      <c r="G4143" s="1073">
        <f t="array" ref="G4143">IF(B4143="insumo",_xlfn.XLOOKUP($D4143,Insumos!$B$1:$B$996,Insumos!$D$1:$D$996),"")</f>
        <v/>
      </c>
      <c r="H4143" s="1073" t="n">
        <v>7795.96190476191</v>
      </c>
      <c r="I4143" s="2163" t="n">
        <v>0</v>
      </c>
      <c r="J4143" s="2163" t="n">
        <v>0</v>
      </c>
      <c r="K4143" s="2163" t="n"/>
    </row>
    <row r="4144" outlineLevel="3" ht="12.75" customHeight="1">
      <c r="A4144" s="82" t="n">
        <v>1</v>
      </c>
      <c r="B4144" s="82" t="inlineStr">
        <is>
          <t>Insumo</t>
        </is>
      </c>
      <c r="C4144" s="82" t="inlineStr">
        <is>
          <t>Portão, 1 folha, 320x220 cm</t>
        </is>
      </c>
      <c r="D4144" s="82" t="inlineStr">
        <is>
          <t>Portão, 1 folha, 320x220 cm</t>
        </is>
      </c>
      <c r="E4144" s="11">
        <f t="array" ref="E4144">_xlfn.XLOOKUP(D4144,Insumos!B:B,Insumos!C:$C)</f>
        <v/>
      </c>
      <c r="F4144" s="2164" t="n">
        <v>1</v>
      </c>
      <c r="G4144" s="92">
        <f t="array" ref="G4144">IF(B4144="insumo",_xlfn.XLOOKUP($D4144,Insumos!$B$1:$B$996,Insumos!$D$1:$D$996),"")</f>
        <v/>
      </c>
      <c r="H4144" s="92" t="n">
        <v>7795.96190476191</v>
      </c>
      <c r="I4144" s="2165" t="n">
        <v>0</v>
      </c>
      <c r="J4144" s="2165" t="n">
        <v>0</v>
      </c>
      <c r="K4144" s="2165" t="n"/>
    </row>
    <row r="4145" outlineLevel="2" ht="12.75" customHeight="1">
      <c r="A4145" s="1071" t="n">
        <v>1</v>
      </c>
      <c r="B4145" s="1071" t="inlineStr">
        <is>
          <t>Serviço</t>
        </is>
      </c>
      <c r="C4145" s="1071" t="inlineStr">
        <is>
          <t>Portão, 1 folha, 90x220 cm</t>
        </is>
      </c>
      <c r="D4145" s="1071" t="inlineStr">
        <is>
          <t>Portão, 1 folha, 90x220 cm</t>
        </is>
      </c>
      <c r="E4145" s="1072" t="inlineStr">
        <is>
          <t>M2</t>
        </is>
      </c>
      <c r="F4145" s="1071" t="n"/>
      <c r="G4145" s="1073">
        <f t="array" ref="G4145">IF(B4145="insumo",_xlfn.XLOOKUP($D4145,Insumos!$B$1:$B$996,Insumos!$D$1:$D$996),"")</f>
        <v/>
      </c>
      <c r="H4145" s="1073" t="n">
        <v>2192.61428571429</v>
      </c>
      <c r="I4145" s="2163" t="n">
        <v>0</v>
      </c>
      <c r="J4145" s="2163" t="n">
        <v>0</v>
      </c>
      <c r="K4145" s="2163" t="n"/>
    </row>
    <row r="4146" outlineLevel="3" ht="12.75" customHeight="1">
      <c r="A4146" s="82" t="n">
        <v>1</v>
      </c>
      <c r="B4146" s="82" t="inlineStr">
        <is>
          <t>Insumo</t>
        </is>
      </c>
      <c r="C4146" s="82" t="inlineStr">
        <is>
          <t>Portão, 1 folha, 90x220 cm</t>
        </is>
      </c>
      <c r="D4146" s="82" t="inlineStr">
        <is>
          <t>Portão, 1 folha, 90x220 cm</t>
        </is>
      </c>
      <c r="E4146" s="11">
        <f t="array" ref="E4146">_xlfn.XLOOKUP(D4146,Insumos!B:B,Insumos!C:$C)</f>
        <v/>
      </c>
      <c r="F4146" s="2164" t="n">
        <v>1</v>
      </c>
      <c r="G4146" s="92">
        <f t="array" ref="G4146">IF(B4146="insumo",_xlfn.XLOOKUP($D4146,Insumos!$B$1:$B$996,Insumos!$D$1:$D$996),"")</f>
        <v/>
      </c>
      <c r="H4146" s="92" t="n">
        <v>2192.61428571429</v>
      </c>
      <c r="I4146" s="2165" t="n">
        <v>0</v>
      </c>
      <c r="J4146" s="2165" t="n">
        <v>0</v>
      </c>
      <c r="K4146" s="2165" t="n"/>
    </row>
    <row r="4147" outlineLevel="2" ht="12.75" customHeight="1">
      <c r="A4147" s="1071" t="n">
        <v>1</v>
      </c>
      <c r="B4147" s="1071" t="inlineStr">
        <is>
          <t>Serviço</t>
        </is>
      </c>
      <c r="C4147" s="1071" t="inlineStr">
        <is>
          <t>Portão, 2 folha, 150x112 cm</t>
        </is>
      </c>
      <c r="D4147" s="1071" t="inlineStr">
        <is>
          <t>Portão, 2 folha, 150x112 cm</t>
        </is>
      </c>
      <c r="E4147" s="1072" t="inlineStr">
        <is>
          <t>M2</t>
        </is>
      </c>
      <c r="F4147" s="1071" t="n"/>
      <c r="G4147" s="1073">
        <f t="array" ref="G4147">IF(B4147="insumo",_xlfn.XLOOKUP($D4147,Insumos!$B$1:$B$996,Insumos!$D$1:$D$996),"")</f>
        <v/>
      </c>
      <c r="H4147" s="1073" t="n">
        <v>1860.4</v>
      </c>
      <c r="I4147" s="2163" t="n">
        <v>0</v>
      </c>
      <c r="J4147" s="2163" t="n">
        <v>0</v>
      </c>
      <c r="K4147" s="2163" t="n"/>
    </row>
    <row r="4148" outlineLevel="3" ht="12.75" customHeight="1">
      <c r="A4148" s="82" t="n">
        <v>1</v>
      </c>
      <c r="B4148" s="82" t="inlineStr">
        <is>
          <t>Insumo</t>
        </is>
      </c>
      <c r="C4148" s="82" t="inlineStr">
        <is>
          <t>Portão, 2 folha, 150x112 cm</t>
        </is>
      </c>
      <c r="D4148" s="82" t="inlineStr">
        <is>
          <t>Portão, 2 folha, 150x112 cm</t>
        </is>
      </c>
      <c r="E4148" s="11">
        <f t="array" ref="E4148">_xlfn.XLOOKUP(D4148,Insumos!B:B,Insumos!C:$C)</f>
        <v/>
      </c>
      <c r="F4148" s="2164" t="n">
        <v>1</v>
      </c>
      <c r="G4148" s="92">
        <f t="array" ref="G4148">IF(B4148="insumo",_xlfn.XLOOKUP($D4148,Insumos!$B$1:$B$996,Insumos!$D$1:$D$996),"")</f>
        <v/>
      </c>
      <c r="H4148" s="92" t="n">
        <v>1860.4</v>
      </c>
      <c r="I4148" s="2165" t="n">
        <v>0</v>
      </c>
      <c r="J4148" s="2165" t="n">
        <v>0</v>
      </c>
      <c r="K4148" s="2165" t="n"/>
    </row>
    <row r="4149" outlineLevel="2" ht="12.75" customHeight="1">
      <c r="A4149" s="1071" t="n">
        <v>1</v>
      </c>
      <c r="B4149" s="1071" t="inlineStr">
        <is>
          <t>Serviço</t>
        </is>
      </c>
      <c r="C4149" s="1071" t="inlineStr">
        <is>
          <t>Portão, 1 folha, 320x295 cm</t>
        </is>
      </c>
      <c r="D4149" s="1071" t="inlineStr">
        <is>
          <t>Portão, 1 folha, 320x295 cm</t>
        </is>
      </c>
      <c r="E4149" s="1072" t="inlineStr">
        <is>
          <t>M2</t>
        </is>
      </c>
      <c r="F4149" s="1071" t="n"/>
      <c r="G4149" s="1073">
        <f t="array" ref="G4149">IF(B4149="insumo",_xlfn.XLOOKUP($D4149,Insumos!$B$1:$B$996,Insumos!$D$1:$D$996),"")</f>
        <v/>
      </c>
      <c r="H4149" s="1073" t="n">
        <v>10453.6761904762</v>
      </c>
      <c r="I4149" s="2163" t="n">
        <v>0</v>
      </c>
      <c r="J4149" s="2163" t="n">
        <v>0</v>
      </c>
      <c r="K4149" s="2163" t="n"/>
    </row>
    <row r="4150" outlineLevel="3" ht="12.75" customHeight="1">
      <c r="A4150" s="82" t="n">
        <v>1</v>
      </c>
      <c r="B4150" s="82" t="inlineStr">
        <is>
          <t>Insumo</t>
        </is>
      </c>
      <c r="C4150" s="82" t="inlineStr">
        <is>
          <t>Portão, 1 folha, 320x295 cm</t>
        </is>
      </c>
      <c r="D4150" s="82" t="inlineStr">
        <is>
          <t>Portão, 1 folha, 320x295 cm</t>
        </is>
      </c>
      <c r="E4150" s="11">
        <f t="array" ref="E4150">_xlfn.XLOOKUP(D4150,Insumos!B:B,Insumos!C:$C)</f>
        <v/>
      </c>
      <c r="F4150" s="2164" t="n">
        <v>1</v>
      </c>
      <c r="G4150" s="92">
        <f t="array" ref="G4150">IF(B4150="insumo",_xlfn.XLOOKUP($D4150,Insumos!$B$1:$B$996,Insumos!$D$1:$D$996),"")</f>
        <v/>
      </c>
      <c r="H4150" s="92" t="n">
        <v>10453.6761904762</v>
      </c>
      <c r="I4150" s="2165" t="n">
        <v>0</v>
      </c>
      <c r="J4150" s="2165" t="n">
        <v>0</v>
      </c>
      <c r="K4150" s="2165" t="n"/>
    </row>
    <row r="4151" outlineLevel="1" ht="15.75" customHeight="1">
      <c r="A4151" s="1090" t="n">
        <v>1</v>
      </c>
      <c r="B4151" s="1090" t="inlineStr">
        <is>
          <t>Subetapa</t>
        </is>
      </c>
      <c r="C4151" s="1090" t="inlineStr">
        <is>
          <t>Portão, 1 folha, 320x295 cm</t>
        </is>
      </c>
      <c r="D4151" s="1090" t="inlineStr">
        <is>
          <t>CORRIMÃO</t>
        </is>
      </c>
      <c r="E4151" s="1091" t="n"/>
      <c r="F4151" s="2160" t="n"/>
      <c r="G4151" s="1091" t="n"/>
      <c r="H4151" s="1091" t="n">
        <v>0</v>
      </c>
      <c r="I4151" s="2160" t="n">
        <v>0</v>
      </c>
      <c r="J4151" s="2160" t="n">
        <v>0</v>
      </c>
      <c r="K4151" s="2160" t="n"/>
    </row>
    <row r="4152" outlineLevel="2" ht="15.75" customHeight="1">
      <c r="A4152" s="1067" t="n">
        <v>1</v>
      </c>
      <c r="B4152" s="1067" t="inlineStr">
        <is>
          <t>Serviço</t>
        </is>
      </c>
      <c r="C4152" s="1067" t="inlineStr">
        <is>
          <t>Corrimão de Madeira - fornecimento e instalação</t>
        </is>
      </c>
      <c r="D4152" s="1067" t="inlineStr">
        <is>
          <t>Corrimão de Madeira - fornecimento e instalação</t>
        </is>
      </c>
      <c r="E4152" s="1068" t="inlineStr">
        <is>
          <t>M</t>
        </is>
      </c>
      <c r="F4152" s="1067" t="n"/>
      <c r="G4152" s="1069">
        <f t="array" ref="G4152">IF(B4152="insumo",_xlfn.XLOOKUP($D4152,Insumos!$B$1:$B$996,Insumos!$D$1:$D$996),"")</f>
        <v/>
      </c>
      <c r="H4152" s="1069" t="n">
        <v>80</v>
      </c>
      <c r="I4152" s="2161" t="n">
        <v>0</v>
      </c>
      <c r="J4152" s="2161" t="n">
        <v>0</v>
      </c>
      <c r="K4152" s="2161" t="n"/>
    </row>
    <row r="4153" outlineLevel="3" ht="15.75" customHeight="1">
      <c r="A4153" s="10" t="n">
        <v>1</v>
      </c>
      <c r="B4153" s="10" t="inlineStr">
        <is>
          <t>Insumo</t>
        </is>
      </c>
      <c r="C4153" s="10" t="inlineStr">
        <is>
          <t>Corrimão de Madeira - fornecimento e instalação</t>
        </is>
      </c>
      <c r="D4153" s="10" t="inlineStr">
        <is>
          <t>Corrimão de Madeira - fornecimento e instalação</t>
        </is>
      </c>
      <c r="E4153" s="11">
        <f t="array" ref="E4153">_xlfn.XLOOKUP(D4153,Insumos!B:B,Insumos!C:$C)</f>
        <v/>
      </c>
      <c r="F4153" s="14" t="n">
        <v>1</v>
      </c>
      <c r="G4153" s="92">
        <f t="array" ref="G4153">IF(B4153="insumo",_xlfn.XLOOKUP($D4153,Insumos!$B$1:$B$996,Insumos!$D$1:$D$996),"")</f>
        <v/>
      </c>
      <c r="H4153" s="92" t="n">
        <v>80</v>
      </c>
      <c r="I4153" s="2162" t="n">
        <v>0</v>
      </c>
      <c r="J4153" s="2162" t="n">
        <v>0</v>
      </c>
      <c r="K4153" s="2162" t="n"/>
    </row>
    <row r="4154" outlineLevel="2" ht="15.75" customHeight="1">
      <c r="A4154" s="1067" t="n">
        <v>1</v>
      </c>
      <c r="B4154" s="1067" t="inlineStr">
        <is>
          <t>Serviço</t>
        </is>
      </c>
      <c r="C4154" s="1067" t="inlineStr">
        <is>
          <t>Corrimão de inox - fornecimento e instalação</t>
        </is>
      </c>
      <c r="D4154" s="1067" t="inlineStr">
        <is>
          <t>Corrimão de inox - fornecimento e instalação</t>
        </is>
      </c>
      <c r="E4154" s="1068" t="inlineStr">
        <is>
          <t>M</t>
        </is>
      </c>
      <c r="F4154" s="1067" t="n"/>
      <c r="G4154" s="1069">
        <f t="array" ref="G4154">IF(B4154="insumo",_xlfn.XLOOKUP($D4154,Insumos!$B$1:$B$996,Insumos!$D$1:$D$996),"")</f>
        <v/>
      </c>
      <c r="H4154" s="1069" t="n">
        <v>650</v>
      </c>
      <c r="I4154" s="2161" t="n">
        <v>0</v>
      </c>
      <c r="J4154" s="2161" t="n">
        <v>0</v>
      </c>
      <c r="K4154" s="2161" t="n"/>
    </row>
    <row r="4155" outlineLevel="3" ht="15.75" customHeight="1">
      <c r="A4155" s="10" t="n">
        <v>1</v>
      </c>
      <c r="B4155" s="10" t="inlineStr">
        <is>
          <t>Insumo</t>
        </is>
      </c>
      <c r="C4155" s="10" t="inlineStr">
        <is>
          <t>Corrimão de inox - fornecimento e instalação</t>
        </is>
      </c>
      <c r="D4155" s="10" t="inlineStr">
        <is>
          <t>Corrimão de inox - fornecimento e instalação</t>
        </is>
      </c>
      <c r="E4155" s="11">
        <f t="array" ref="E4155">_xlfn.XLOOKUP(D4155,Insumos!B:B,Insumos!C:$C)</f>
        <v/>
      </c>
      <c r="F4155" s="14" t="n">
        <v>1</v>
      </c>
      <c r="G4155" s="92">
        <f t="array" ref="G4155">IF(B4155="insumo",_xlfn.XLOOKUP($D4155,Insumos!$B$1:$B$996,Insumos!$D$1:$D$996),"")</f>
        <v/>
      </c>
      <c r="H4155" s="92" t="n">
        <v>650</v>
      </c>
      <c r="I4155" s="2162" t="n">
        <v>0</v>
      </c>
      <c r="J4155" s="2162" t="n">
        <v>0</v>
      </c>
      <c r="K4155" s="2162" t="n"/>
    </row>
    <row r="4156" outlineLevel="2" ht="12.75" customHeight="1">
      <c r="A4156" s="1071" t="n">
        <v>1</v>
      </c>
      <c r="B4156" s="1071" t="inlineStr">
        <is>
          <t>Serviço</t>
        </is>
      </c>
      <c r="C4156" s="1071" t="inlineStr">
        <is>
          <t>Corrimão Metálico Duplo - fornecimento e instalação</t>
        </is>
      </c>
      <c r="D4156" s="1071" t="inlineStr">
        <is>
          <t>Corrimão Metálico Duplo - fornecimento e instalação</t>
        </is>
      </c>
      <c r="E4156" s="1072" t="inlineStr">
        <is>
          <t>M</t>
        </is>
      </c>
      <c r="F4156" s="1071" t="n"/>
      <c r="G4156" s="1073">
        <f t="array" ref="G4156">IF(B4156="insumo",_xlfn.XLOOKUP($D4156,Insumos!$B$1:$B$996,Insumos!$D$1:$D$996),"")</f>
        <v/>
      </c>
      <c r="H4156" s="1073" t="n">
        <v>98.79000000000001</v>
      </c>
      <c r="I4156" s="2163" t="n">
        <v>0</v>
      </c>
      <c r="J4156" s="2163" t="n">
        <v>0</v>
      </c>
      <c r="K4156" s="2163" t="n"/>
    </row>
    <row r="4157" outlineLevel="3" ht="12.75" customHeight="1">
      <c r="A4157" s="82" t="n">
        <v>1</v>
      </c>
      <c r="B4157" s="82" t="inlineStr">
        <is>
          <t>Insumo</t>
        </is>
      </c>
      <c r="C4157" s="82" t="inlineStr">
        <is>
          <t>Corrimão Metálico Duplo - fornecimento e instalação</t>
        </is>
      </c>
      <c r="D4157" s="82" t="inlineStr">
        <is>
          <t>Corrimão Metálico Duplo - fornecimento e instalação</t>
        </is>
      </c>
      <c r="E4157" s="11">
        <f t="array" ref="E4157">_xlfn.XLOOKUP(D4157,Insumos!B:B,Insumos!C:$C)</f>
        <v/>
      </c>
      <c r="F4157" s="2164" t="n">
        <v>1</v>
      </c>
      <c r="G4157" s="92">
        <f t="array" ref="G4157">IF(B4157="insumo",_xlfn.XLOOKUP($D4157,Insumos!$B$1:$B$996,Insumos!$D$1:$D$996),"")</f>
        <v/>
      </c>
      <c r="H4157" s="92" t="n">
        <v>98.79000000000001</v>
      </c>
      <c r="I4157" s="2165" t="n">
        <v>0</v>
      </c>
      <c r="J4157" s="2165" t="n">
        <v>0</v>
      </c>
      <c r="K4157" s="2165" t="n"/>
    </row>
    <row r="4158" outlineLevel="2" ht="12.75" customHeight="1">
      <c r="A4158" s="1071" t="n">
        <v>1</v>
      </c>
      <c r="B4158" s="1071" t="inlineStr">
        <is>
          <t>Serviço</t>
        </is>
      </c>
      <c r="C4158" s="1071" t="inlineStr">
        <is>
          <t>Corrimão Duplo Metálico - inox escovado 304 - fornecimento e instalação</t>
        </is>
      </c>
      <c r="D4158" s="1071" t="inlineStr">
        <is>
          <t>Corrimão Duplo Metálico - inox escovado 304 - fornecimento e instalação</t>
        </is>
      </c>
      <c r="E4158" s="1072" t="inlineStr">
        <is>
          <t>M</t>
        </is>
      </c>
      <c r="F4158" s="1071" t="n"/>
      <c r="G4158" s="1073">
        <f t="array" ref="G4158">IF(B4158="insumo",_xlfn.XLOOKUP($D4158,Insumos!$B$1:$B$996,Insumos!$D$1:$D$996),"")</f>
        <v/>
      </c>
      <c r="H4158" s="1073" t="n">
        <v>820</v>
      </c>
      <c r="I4158" s="2163" t="e">
        <v>#REF!</v>
      </c>
      <c r="J4158" s="2163" t="e">
        <v>#REF!</v>
      </c>
      <c r="K4158" s="2163" t="n"/>
    </row>
    <row r="4159" outlineLevel="3" ht="12.75" customHeight="1">
      <c r="A4159" s="82" t="n">
        <v>1</v>
      </c>
      <c r="B4159" s="82" t="inlineStr">
        <is>
          <t>Insumo</t>
        </is>
      </c>
      <c r="C4159" s="82" t="inlineStr">
        <is>
          <t>Corrimão Duplo Metálico - inox escovado 304 - fornecimento e instalação</t>
        </is>
      </c>
      <c r="D4159" s="82" t="inlineStr">
        <is>
          <t>Corrimão Duplo Metálico - inox escovado 304 - fornecimento e instalação</t>
        </is>
      </c>
      <c r="E4159" s="11">
        <f t="array" ref="E4159">_xlfn.XLOOKUP(D4159,Insumos!B:B,Insumos!C:$C)</f>
        <v/>
      </c>
      <c r="F4159" s="2164" t="n">
        <v>1</v>
      </c>
      <c r="G4159" s="92">
        <f t="array" ref="G4159">IF(B4159="insumo",_xlfn.XLOOKUP($D4159,Insumos!$B$1:$B$996,Insumos!$D$1:$D$996),"")</f>
        <v/>
      </c>
      <c r="H4159" s="92" t="n">
        <v>820</v>
      </c>
      <c r="I4159" s="2165" t="e">
        <v>#REF!</v>
      </c>
      <c r="J4159" s="2165" t="e">
        <v>#REF!</v>
      </c>
      <c r="K4159" s="2165" t="n"/>
    </row>
    <row r="4160" outlineLevel="2" ht="12.75" customHeight="1">
      <c r="A4160" s="1071" t="n">
        <v>1</v>
      </c>
      <c r="B4160" s="1071" t="inlineStr">
        <is>
          <t>Serviço</t>
        </is>
      </c>
      <c r="C4160" s="1071" t="inlineStr">
        <is>
          <t>Corrimão Parede Metálico - inox escovado 304 - fornecimento e instalação</t>
        </is>
      </c>
      <c r="D4160" s="1071" t="inlineStr">
        <is>
          <t>Corrimão Parede Metálico - inox escovado 304 - fornecimento e instalação</t>
        </is>
      </c>
      <c r="E4160" s="1072" t="inlineStr">
        <is>
          <t>M</t>
        </is>
      </c>
      <c r="F4160" s="1071" t="n"/>
      <c r="G4160" s="1073">
        <f t="array" ref="G4160">IF(B4160="insumo",_xlfn.XLOOKUP($D4160,Insumos!$B$1:$B$996,Insumos!$D$1:$D$996),"")</f>
        <v/>
      </c>
      <c r="H4160" s="1073" t="n">
        <v>520</v>
      </c>
      <c r="I4160" s="2163" t="e">
        <v>#REF!</v>
      </c>
      <c r="J4160" s="2163" t="e">
        <v>#REF!</v>
      </c>
      <c r="K4160" s="2163" t="n"/>
    </row>
    <row r="4161" outlineLevel="3" ht="12.75" customHeight="1">
      <c r="A4161" s="82" t="n">
        <v>1</v>
      </c>
      <c r="B4161" s="82" t="inlineStr">
        <is>
          <t>Insumo</t>
        </is>
      </c>
      <c r="C4161" s="82" t="inlineStr">
        <is>
          <t>Corrimão Parede Metálico - inox escovado 304 - fornecimento e instalação</t>
        </is>
      </c>
      <c r="D4161" s="82" t="inlineStr">
        <is>
          <t>Corrimão Parede Metálico - inox escovado 304 - fornecimento e instalação</t>
        </is>
      </c>
      <c r="E4161" s="11">
        <f t="array" ref="E4161">_xlfn.XLOOKUP(D4161,Insumos!B:B,Insumos!C:$C)</f>
        <v/>
      </c>
      <c r="F4161" s="2164" t="n">
        <v>1</v>
      </c>
      <c r="G4161" s="92">
        <f t="array" ref="G4161">IF(B4161="insumo",_xlfn.XLOOKUP($D4161,Insumos!$B$1:$B$996,Insumos!$D$1:$D$996),"")</f>
        <v/>
      </c>
      <c r="H4161" s="92" t="n">
        <v>520</v>
      </c>
      <c r="I4161" s="2165" t="e">
        <v>#REF!</v>
      </c>
      <c r="J4161" s="2165" t="e">
        <v>#REF!</v>
      </c>
      <c r="K4161" s="2165" t="n"/>
    </row>
    <row r="4162" outlineLevel="1" ht="15.75" customHeight="1">
      <c r="A4162" s="1090" t="n">
        <v>1</v>
      </c>
      <c r="B4162" s="1090" t="inlineStr">
        <is>
          <t>Subetapa</t>
        </is>
      </c>
      <c r="C4162" s="1090" t="inlineStr">
        <is>
          <t>Corrimão Parede Metálico - inox escovado 304 - fornecimento e instalação</t>
        </is>
      </c>
      <c r="D4162" s="1090" t="inlineStr">
        <is>
          <t>PORTAS DE MADEIRA</t>
        </is>
      </c>
      <c r="E4162" s="1091" t="n"/>
      <c r="F4162" s="2160" t="n"/>
      <c r="G4162" s="1091" t="n"/>
      <c r="H4162" s="1091" t="n">
        <v>0</v>
      </c>
      <c r="I4162" s="2160" t="n">
        <v>0</v>
      </c>
      <c r="J4162" s="2160" t="n">
        <v>0</v>
      </c>
      <c r="K4162" s="2160" t="n"/>
    </row>
    <row r="4163" outlineLevel="2" ht="12.75" customHeight="1">
      <c r="A4163" s="1071" t="n">
        <v>1</v>
      </c>
      <c r="B4163" s="1071" t="inlineStr">
        <is>
          <t>Serviço</t>
        </is>
      </c>
      <c r="C4163" s="1071" t="inlineStr">
        <is>
          <t>Porta de madeira de abrir - 60x150cm (kit completo) - fixação com espuma expansiva</t>
        </is>
      </c>
      <c r="D4163" s="1071" t="inlineStr">
        <is>
          <t>Porta de madeira de abrir - 60x150cm (kit completo) - fixação com espuma expansiva</t>
        </is>
      </c>
      <c r="E4163" s="1072" t="inlineStr">
        <is>
          <t>M2</t>
        </is>
      </c>
      <c r="F4163" s="1071" t="n"/>
      <c r="G4163" s="1073">
        <f t="array" ref="G4163">IF(B4163="insumo",_xlfn.XLOOKUP($D4163,Insumos!$B$1:$B$996,Insumos!$D$1:$D$996),"")</f>
        <v/>
      </c>
      <c r="H4163" s="1073" t="n">
        <v>1055</v>
      </c>
      <c r="I4163" s="2163" t="n">
        <v>0</v>
      </c>
      <c r="J4163" s="2163" t="n">
        <v>0</v>
      </c>
      <c r="K4163" s="2163" t="n"/>
    </row>
    <row r="4164" outlineLevel="3" ht="12.75" customHeight="1">
      <c r="A4164" s="82" t="n">
        <v>1</v>
      </c>
      <c r="B4164" s="82" t="inlineStr">
        <is>
          <t>Insumo</t>
        </is>
      </c>
      <c r="C4164" s="82" t="inlineStr">
        <is>
          <t>Porta de madeira de abrir - 60x150cm (kit completo) - fixação com espuma expansiva</t>
        </is>
      </c>
      <c r="D4164" s="82" t="inlineStr">
        <is>
          <t>Porta de madeira de abrir - 60x150cm (kit completo)</t>
        </is>
      </c>
      <c r="E4164" s="11">
        <f t="array" ref="E4164">_xlfn.XLOOKUP(D4164,Insumos!B:B,Insumos!C:$C)</f>
        <v/>
      </c>
      <c r="F4164" s="2164" t="n">
        <v>1</v>
      </c>
      <c r="G4164" s="92">
        <f t="array" ref="G4164">IF(B4164="insumo",_xlfn.XLOOKUP($D4164,Insumos!$B$1:$B$996,Insumos!$D$1:$D$996),"")</f>
        <v/>
      </c>
      <c r="H4164" s="92" t="n">
        <v>1000</v>
      </c>
      <c r="I4164" s="2165" t="n">
        <v>0</v>
      </c>
      <c r="J4164" s="2165" t="n">
        <v>0</v>
      </c>
      <c r="K4164" s="2165" t="n"/>
    </row>
    <row r="4165" outlineLevel="3" ht="12.75" customHeight="1">
      <c r="A4165" s="82" t="n">
        <v>24</v>
      </c>
      <c r="B4165" s="82" t="inlineStr">
        <is>
          <t>Insumo</t>
        </is>
      </c>
      <c r="C4165" s="82" t="inlineStr">
        <is>
          <t>Porta de madeira de abrir - 60x150cm (kit completo) - fixação com espuma expansiva</t>
        </is>
      </c>
      <c r="D4165" s="82" t="inlineStr">
        <is>
          <t>Espuma Expansiva de PU 740 gramas</t>
        </is>
      </c>
      <c r="E4165" s="11">
        <f t="array" ref="E4165">_xlfn.XLOOKUP(D4165,Insumos!B:B,Insumos!C:$C)</f>
        <v/>
      </c>
      <c r="F4165" s="2164" t="n">
        <v>1</v>
      </c>
      <c r="G4165" s="92">
        <f t="array" ref="G4165">IF(B4165="insumo",_xlfn.XLOOKUP($D4165,Insumos!$B$1:$B$996,Insumos!$D$1:$D$996),"")</f>
        <v/>
      </c>
      <c r="H4165" s="92" t="n">
        <v>55</v>
      </c>
      <c r="I4165" s="2165" t="n">
        <v>0</v>
      </c>
      <c r="J4165" s="2165" t="n">
        <v>0</v>
      </c>
      <c r="K4165" s="2165" t="n"/>
    </row>
    <row r="4166" outlineLevel="2" ht="15.75" customHeight="1">
      <c r="A4166" s="1067" t="n">
        <v>1</v>
      </c>
      <c r="B4166" s="1067" t="inlineStr">
        <is>
          <t>Serviço</t>
        </is>
      </c>
      <c r="C4166" s="1067" t="inlineStr">
        <is>
          <t>Porta de madeira de abrir - 60x215cm (kit completo) - fixação com espuma expansiva</t>
        </is>
      </c>
      <c r="D4166" s="1067" t="inlineStr">
        <is>
          <t>Porta de madeira de abrir - 60x215cm (kit completo) - fixação com espuma expansiva</t>
        </is>
      </c>
      <c r="E4166" s="1068" t="inlineStr">
        <is>
          <t>M2</t>
        </is>
      </c>
      <c r="F4166" s="1067" t="n"/>
      <c r="G4166" s="1069">
        <f t="array" ref="G4166">IF(B4166="insumo",_xlfn.XLOOKUP($D4166,Insumos!$B$1:$B$996,Insumos!$D$1:$D$996),"")</f>
        <v/>
      </c>
      <c r="H4166" s="1069" t="n">
        <v>2264.52304854369</v>
      </c>
      <c r="I4166" s="2161" t="n">
        <v>0</v>
      </c>
      <c r="J4166" s="2161" t="n">
        <v>0</v>
      </c>
      <c r="K4166" s="2161" t="n"/>
    </row>
    <row r="4167" outlineLevel="3" ht="15.75" customHeight="1">
      <c r="A4167" s="10" t="n">
        <v>1</v>
      </c>
      <c r="B4167" s="10" t="inlineStr">
        <is>
          <t>Insumo</t>
        </is>
      </c>
      <c r="C4167" s="10" t="inlineStr">
        <is>
          <t>Porta de madeira de abrir - 60x215cm (kit completo) - fixação com espuma expansiva</t>
        </is>
      </c>
      <c r="D4167" s="10" t="inlineStr">
        <is>
          <t>Porta de madeira de abrir - 60x215cm (kit completo)</t>
        </is>
      </c>
      <c r="E4167" s="11">
        <f t="array" ref="E4167">_xlfn.XLOOKUP(D4167,Insumos!B:B,Insumos!C:$C)</f>
        <v/>
      </c>
      <c r="F4167" s="14" t="n">
        <v>1</v>
      </c>
      <c r="G4167" s="92">
        <f t="array" ref="G4167">IF(B4167="insumo",_xlfn.XLOOKUP($D4167,Insumos!$B$1:$B$996,Insumos!$D$1:$D$996),"")</f>
        <v/>
      </c>
      <c r="H4167" s="92" t="n">
        <v>2209.52304854369</v>
      </c>
      <c r="I4167" s="2162" t="n">
        <v>0</v>
      </c>
      <c r="J4167" s="2162" t="n">
        <v>0</v>
      </c>
      <c r="K4167" s="2162" t="n"/>
    </row>
    <row r="4168" outlineLevel="3" ht="15.75" customHeight="1">
      <c r="A4168" s="10" t="n">
        <v>24</v>
      </c>
      <c r="B4168" s="10" t="inlineStr">
        <is>
          <t>Insumo</t>
        </is>
      </c>
      <c r="C4168" s="10" t="inlineStr">
        <is>
          <t>Porta de madeira de abrir - 60x215cm (kit completo) - fixação com espuma expansiva</t>
        </is>
      </c>
      <c r="D4168" s="10" t="inlineStr">
        <is>
          <t>Espuma Expansiva de PU 740 gramas</t>
        </is>
      </c>
      <c r="E4168" s="11">
        <f t="array" ref="E4168">_xlfn.XLOOKUP(D4168,Insumos!B:B,Insumos!C:$C)</f>
        <v/>
      </c>
      <c r="F4168" s="14" t="n">
        <v>1</v>
      </c>
      <c r="G4168" s="92">
        <f t="array" ref="G4168">IF(B4168="insumo",_xlfn.XLOOKUP($D4168,Insumos!$B$1:$B$996,Insumos!$D$1:$D$996),"")</f>
        <v/>
      </c>
      <c r="H4168" s="92" t="n">
        <v>55</v>
      </c>
      <c r="I4168" s="2162" t="n">
        <v>0</v>
      </c>
      <c r="J4168" s="2162" t="n">
        <v>0</v>
      </c>
      <c r="K4168" s="2162" t="n"/>
    </row>
    <row r="4169" outlineLevel="2" ht="15.75" customHeight="1">
      <c r="A4169" s="1067" t="n">
        <v>1</v>
      </c>
      <c r="B4169" s="1067" t="inlineStr">
        <is>
          <t>Serviço</t>
        </is>
      </c>
      <c r="C4169" s="1067" t="inlineStr">
        <is>
          <t>Porta de madeira de abrir - 60x220cm (kit completo) - fixação com espuma expansiva</t>
        </is>
      </c>
      <c r="D4169" s="1067" t="inlineStr">
        <is>
          <t>Porta de madeira de abrir - 60x220cm (kit completo) - fixação com espuma expansiva</t>
        </is>
      </c>
      <c r="E4169" s="1068" t="inlineStr">
        <is>
          <t>M2</t>
        </is>
      </c>
      <c r="F4169" s="1067" t="n"/>
      <c r="G4169" s="1069">
        <f t="array" ref="G4169">IF(B4169="insumo",_xlfn.XLOOKUP($D4169,Insumos!$B$1:$B$996,Insumos!$D$1:$D$996),"")</f>
        <v/>
      </c>
      <c r="H4169" s="1069" t="n">
        <v>2413.56761904762</v>
      </c>
      <c r="I4169" s="2161" t="n">
        <v>0</v>
      </c>
      <c r="J4169" s="2161" t="n">
        <v>0</v>
      </c>
      <c r="K4169" s="2161" t="n"/>
    </row>
    <row r="4170" outlineLevel="3" ht="15.75" customHeight="1">
      <c r="A4170" s="10" t="n">
        <v>1</v>
      </c>
      <c r="B4170" s="10" t="inlineStr">
        <is>
          <t>Insumo</t>
        </is>
      </c>
      <c r="C4170" s="10" t="inlineStr">
        <is>
          <t>Porta de madeira de abrir - 60x220cm (kit completo) - fixação com espuma expansiva</t>
        </is>
      </c>
      <c r="D4170" s="10" t="inlineStr">
        <is>
          <t>Porta de madeira de abrir - 60x220cm (kit completo)</t>
        </is>
      </c>
      <c r="E4170" s="11">
        <f t="array" ref="E4170">_xlfn.XLOOKUP(D4170,Insumos!B:B,Insumos!C:$C)</f>
        <v/>
      </c>
      <c r="F4170" s="14" t="n">
        <v>1</v>
      </c>
      <c r="G4170" s="92">
        <f t="array" ref="G4170">IF(B4170="insumo",_xlfn.XLOOKUP($D4170,Insumos!$B$1:$B$996,Insumos!$D$1:$D$996),"")</f>
        <v/>
      </c>
      <c r="H4170" s="92" t="n">
        <v>2358.56761904762</v>
      </c>
      <c r="I4170" s="2162" t="n">
        <v>0</v>
      </c>
      <c r="J4170" s="2162" t="n">
        <v>0</v>
      </c>
      <c r="K4170" s="2162" t="n"/>
    </row>
    <row r="4171" outlineLevel="3" ht="15.75" customHeight="1">
      <c r="A4171" s="10" t="n">
        <v>24</v>
      </c>
      <c r="B4171" s="10" t="inlineStr">
        <is>
          <t>Insumo</t>
        </is>
      </c>
      <c r="C4171" s="10" t="inlineStr">
        <is>
          <t>Porta de madeira de abrir - 60x220cm (kit completo) - fixação com espuma expansiva</t>
        </is>
      </c>
      <c r="D4171" s="10" t="inlineStr">
        <is>
          <t>Espuma Expansiva de PU 740 gramas</t>
        </is>
      </c>
      <c r="E4171" s="11">
        <f t="array" ref="E4171">_xlfn.XLOOKUP(D4171,Insumos!B:B,Insumos!C:$C)</f>
        <v/>
      </c>
      <c r="F4171" s="14" t="n">
        <v>1</v>
      </c>
      <c r="G4171" s="92">
        <f t="array" ref="G4171">IF(B4171="insumo",_xlfn.XLOOKUP($D4171,Insumos!$B$1:$B$996,Insumos!$D$1:$D$996),"")</f>
        <v/>
      </c>
      <c r="H4171" s="92" t="n">
        <v>55</v>
      </c>
      <c r="I4171" s="2162" t="n">
        <v>0</v>
      </c>
      <c r="J4171" s="2162" t="n">
        <v>0</v>
      </c>
      <c r="K4171" s="2162" t="n"/>
    </row>
    <row r="4172" outlineLevel="2" ht="15.75" customHeight="1">
      <c r="A4172" s="1067" t="n">
        <v>1</v>
      </c>
      <c r="B4172" s="1067" t="inlineStr">
        <is>
          <t>Serviço</t>
        </is>
      </c>
      <c r="C4172" s="1067" t="inlineStr">
        <is>
          <t>Porta de madeira de abrir - 70x210cm (kit completo) - fixação com espuma expansiva</t>
        </is>
      </c>
      <c r="D4172" s="1067" t="inlineStr">
        <is>
          <t>Porta de madeira de abrir - 70x210cm (kit completo) - fixação com espuma expansiva</t>
        </is>
      </c>
      <c r="E4172" s="1068" t="inlineStr">
        <is>
          <t>M2</t>
        </is>
      </c>
      <c r="F4172" s="1067" t="n"/>
      <c r="G4172" s="1069">
        <f t="array" ref="G4172">IF(B4172="insumo",_xlfn.XLOOKUP($D4172,Insumos!$B$1:$B$996,Insumos!$D$1:$D$996),"")</f>
        <v/>
      </c>
      <c r="H4172" s="1069" t="n">
        <v>2306.36</v>
      </c>
      <c r="I4172" s="2161" t="n">
        <v>204</v>
      </c>
      <c r="J4172" s="2161" t="n">
        <v>470497.44</v>
      </c>
      <c r="K4172" s="2161" t="n"/>
    </row>
    <row r="4173" outlineLevel="3" ht="15.75" customHeight="1">
      <c r="A4173" s="10" t="n">
        <v>1</v>
      </c>
      <c r="B4173" s="10" t="inlineStr">
        <is>
          <t>Insumo</t>
        </is>
      </c>
      <c r="C4173" s="10" t="inlineStr">
        <is>
          <t>Porta de madeira de abrir - 70x210cm (kit completo) - fixação com espuma expansiva</t>
        </is>
      </c>
      <c r="D4173" s="10" t="inlineStr">
        <is>
          <t>Porta de madeira de abrir - 70x210cm (kit completo)</t>
        </is>
      </c>
      <c r="E4173" s="11">
        <f t="array" ref="E4173">_xlfn.XLOOKUP(D4173,Insumos!B:B,Insumos!C:$C)</f>
        <v/>
      </c>
      <c r="F4173" s="14" t="n">
        <v>1</v>
      </c>
      <c r="G4173" s="92">
        <f t="array" ref="G4173">IF(B4173="insumo",_xlfn.XLOOKUP($D4173,Insumos!$B$1:$B$996,Insumos!$D$1:$D$996),"")</f>
        <v/>
      </c>
      <c r="H4173" s="92" t="n">
        <v>2251.36</v>
      </c>
      <c r="I4173" s="2162" t="n">
        <v>204</v>
      </c>
      <c r="J4173" s="2162" t="n">
        <v>459277.44</v>
      </c>
      <c r="K4173" s="2162" t="n"/>
    </row>
    <row r="4174" outlineLevel="3" ht="15.75" customHeight="1">
      <c r="A4174" s="10" t="n">
        <v>24</v>
      </c>
      <c r="B4174" s="10" t="inlineStr">
        <is>
          <t>Insumo</t>
        </is>
      </c>
      <c r="C4174" s="10" t="inlineStr">
        <is>
          <t>Porta de madeira de abrir - 70x210cm (kit completo) - fixação com espuma expansiva</t>
        </is>
      </c>
      <c r="D4174" s="10" t="inlineStr">
        <is>
          <t>Espuma Expansiva de PU 740 gramas</t>
        </is>
      </c>
      <c r="E4174" s="11">
        <f t="array" ref="E4174">_xlfn.XLOOKUP(D4174,Insumos!B:B,Insumos!C:$C)</f>
        <v/>
      </c>
      <c r="F4174" s="14" t="n">
        <v>1</v>
      </c>
      <c r="G4174" s="92">
        <f t="array" ref="G4174">IF(B4174="insumo",_xlfn.XLOOKUP($D4174,Insumos!$B$1:$B$996,Insumos!$D$1:$D$996),"")</f>
        <v/>
      </c>
      <c r="H4174" s="92" t="n">
        <v>55</v>
      </c>
      <c r="I4174" s="2162" t="n">
        <v>204</v>
      </c>
      <c r="J4174" s="2162" t="n">
        <v>11220</v>
      </c>
      <c r="K4174" s="2162" t="n"/>
    </row>
    <row r="4175" outlineLevel="2" ht="15.75" customHeight="1">
      <c r="A4175" s="1067" t="n">
        <v>1</v>
      </c>
      <c r="B4175" s="1067" t="inlineStr">
        <is>
          <t>Serviço</t>
        </is>
      </c>
      <c r="C4175" s="1067" t="inlineStr">
        <is>
          <t>Porta de madeira de abrir - 76x210cm (kit completo) - fixação com espuma expansiva</t>
        </is>
      </c>
      <c r="D4175" s="1067" t="inlineStr">
        <is>
          <t>Porta de madeira de abrir - 76x210cm (kit completo) - fixação com espuma expansiva</t>
        </is>
      </c>
      <c r="E4175" s="1068" t="inlineStr">
        <is>
          <t>M2</t>
        </is>
      </c>
      <c r="F4175" s="1067" t="n"/>
      <c r="G4175" s="1069">
        <f t="array" ref="G4175">IF(B4175="insumo",_xlfn.XLOOKUP($D4175,Insumos!$B$1:$B$996,Insumos!$D$1:$D$996),"")</f>
        <v/>
      </c>
      <c r="H4175" s="1069" t="n">
        <v>2264.52304854369</v>
      </c>
      <c r="I4175" s="2161" t="n">
        <v>0</v>
      </c>
      <c r="J4175" s="2161" t="n">
        <v>0</v>
      </c>
      <c r="K4175" s="2161" t="n"/>
    </row>
    <row r="4176" outlineLevel="3" ht="15.75" customHeight="1">
      <c r="A4176" s="10" t="n">
        <v>1</v>
      </c>
      <c r="B4176" s="10" t="inlineStr">
        <is>
          <t>Insumo</t>
        </is>
      </c>
      <c r="C4176" s="10" t="inlineStr">
        <is>
          <t>Porta de madeira de abrir - 76x210cm (kit completo) - fixação com espuma expansiva</t>
        </is>
      </c>
      <c r="D4176" s="10" t="inlineStr">
        <is>
          <t>Porta de madeira de abrir - 76x210cm (kit completo)</t>
        </is>
      </c>
      <c r="E4176" s="11">
        <f t="array" ref="E4176">_xlfn.XLOOKUP(D4176,Insumos!B:B,Insumos!C:$C)</f>
        <v/>
      </c>
      <c r="F4176" s="14" t="n">
        <v>1</v>
      </c>
      <c r="G4176" s="92">
        <f t="array" ref="G4176">IF(B4176="insumo",_xlfn.XLOOKUP($D4176,Insumos!$B$1:$B$996,Insumos!$D$1:$D$996),"")</f>
        <v/>
      </c>
      <c r="H4176" s="92" t="n">
        <v>2209.52304854369</v>
      </c>
      <c r="I4176" s="2162" t="n">
        <v>0</v>
      </c>
      <c r="J4176" s="2162" t="n">
        <v>0</v>
      </c>
      <c r="K4176" s="2162" t="n"/>
    </row>
    <row r="4177" outlineLevel="3" ht="15.75" customHeight="1">
      <c r="A4177" s="10" t="n">
        <v>24</v>
      </c>
      <c r="B4177" s="10" t="inlineStr">
        <is>
          <t>Insumo</t>
        </is>
      </c>
      <c r="C4177" s="10" t="inlineStr">
        <is>
          <t>Porta de madeira de abrir - 76x210cm (kit completo) - fixação com espuma expansiva</t>
        </is>
      </c>
      <c r="D4177" s="10" t="inlineStr">
        <is>
          <t>Espuma Expansiva de PU 740 gramas</t>
        </is>
      </c>
      <c r="E4177" s="11">
        <f t="array" ref="E4177">_xlfn.XLOOKUP(D4177,Insumos!B:B,Insumos!C:$C)</f>
        <v/>
      </c>
      <c r="F4177" s="14" t="n">
        <v>1</v>
      </c>
      <c r="G4177" s="92">
        <f t="array" ref="G4177">IF(B4177="insumo",_xlfn.XLOOKUP($D4177,Insumos!$B$1:$B$996,Insumos!$D$1:$D$996),"")</f>
        <v/>
      </c>
      <c r="H4177" s="92" t="n">
        <v>55</v>
      </c>
      <c r="I4177" s="2162" t="n">
        <v>0</v>
      </c>
      <c r="J4177" s="2162" t="n">
        <v>0</v>
      </c>
      <c r="K4177" s="2162" t="n"/>
    </row>
    <row r="4178" outlineLevel="2" ht="15.75" customHeight="1">
      <c r="A4178" s="1067" t="n">
        <v>1</v>
      </c>
      <c r="B4178" s="1067" t="inlineStr">
        <is>
          <t>Serviço</t>
        </is>
      </c>
      <c r="C4178" s="1067" t="inlineStr">
        <is>
          <t>Porta de madeira de abrir - 80x215cm (kit completo) - fixação com espuma expansiva</t>
        </is>
      </c>
      <c r="D4178" s="1067" t="inlineStr">
        <is>
          <t>Porta de madeira de abrir - 80x215cm (kit completo) - fixação com espuma expansiva</t>
        </is>
      </c>
      <c r="E4178" s="1068" t="inlineStr">
        <is>
          <t>M2</t>
        </is>
      </c>
      <c r="F4178" s="1067" t="n"/>
      <c r="G4178" s="1069">
        <f t="array" ref="G4178">IF(B4178="insumo",_xlfn.XLOOKUP($D4178,Insumos!$B$1:$B$996,Insumos!$D$1:$D$996),"")</f>
        <v/>
      </c>
      <c r="H4178" s="1069" t="n">
        <v>2264.52304854369</v>
      </c>
      <c r="I4178" s="2161" t="n">
        <v>0</v>
      </c>
      <c r="J4178" s="2161" t="n">
        <v>0</v>
      </c>
      <c r="K4178" s="2161" t="n"/>
    </row>
    <row r="4179" outlineLevel="3" ht="15.75" customHeight="1">
      <c r="A4179" s="10" t="n">
        <v>1</v>
      </c>
      <c r="B4179" s="10" t="inlineStr">
        <is>
          <t>Insumo</t>
        </is>
      </c>
      <c r="C4179" s="10" t="inlineStr">
        <is>
          <t>Porta de madeira de abrir - 80x215cm (kit completo) - fixação com espuma expansiva</t>
        </is>
      </c>
      <c r="D4179" s="10" t="inlineStr">
        <is>
          <t>Porta de madeira de abrir - 80x215cm (kit completo)</t>
        </is>
      </c>
      <c r="E4179" s="11">
        <f t="array" ref="E4179">_xlfn.XLOOKUP(D4179,Insumos!B:B,Insumos!C:$C)</f>
        <v/>
      </c>
      <c r="F4179" s="14" t="n">
        <v>1</v>
      </c>
      <c r="G4179" s="92">
        <f t="array" ref="G4179">IF(B4179="insumo",_xlfn.XLOOKUP($D4179,Insumos!$B$1:$B$996,Insumos!$D$1:$D$996),"")</f>
        <v/>
      </c>
      <c r="H4179" s="92" t="n">
        <v>2209.52304854369</v>
      </c>
      <c r="I4179" s="2162" t="n">
        <v>0</v>
      </c>
      <c r="J4179" s="2162" t="n">
        <v>0</v>
      </c>
      <c r="K4179" s="2162" t="n"/>
    </row>
    <row r="4180" outlineLevel="3" ht="15.75" customHeight="1">
      <c r="A4180" s="10" t="n">
        <v>24</v>
      </c>
      <c r="B4180" s="10" t="inlineStr">
        <is>
          <t>Insumo</t>
        </is>
      </c>
      <c r="C4180" s="10" t="inlineStr">
        <is>
          <t>Porta de madeira de abrir - 80x215cm (kit completo) - fixação com espuma expansiva</t>
        </is>
      </c>
      <c r="D4180" s="10" t="inlineStr">
        <is>
          <t>Espuma Expansiva de PU 740 gramas</t>
        </is>
      </c>
      <c r="E4180" s="11">
        <f t="array" ref="E4180">_xlfn.XLOOKUP(D4180,Insumos!B:B,Insumos!C:$C)</f>
        <v/>
      </c>
      <c r="F4180" s="14" t="n">
        <v>1</v>
      </c>
      <c r="G4180" s="92">
        <f t="array" ref="G4180">IF(B4180="insumo",_xlfn.XLOOKUP($D4180,Insumos!$B$1:$B$996,Insumos!$D$1:$D$996),"")</f>
        <v/>
      </c>
      <c r="H4180" s="92" t="n">
        <v>55</v>
      </c>
      <c r="I4180" s="2162" t="n">
        <v>0</v>
      </c>
      <c r="J4180" s="2162" t="n">
        <v>0</v>
      </c>
      <c r="K4180" s="2162" t="n"/>
    </row>
    <row r="4181" outlineLevel="2" ht="15.75" customHeight="1">
      <c r="A4181" s="1067" t="n">
        <v>1</v>
      </c>
      <c r="B4181" s="1067" t="inlineStr">
        <is>
          <t>Serviço</t>
        </is>
      </c>
      <c r="C4181" s="1067" t="inlineStr">
        <is>
          <t>Porta de madeira de abrir - 60x210cm (kit completo) - fixação com espuma expansiva</t>
        </is>
      </c>
      <c r="D4181" s="1067" t="inlineStr">
        <is>
          <t>Porta de madeira de abrir - 60x210cm (kit completo) - fixação com espuma expansiva</t>
        </is>
      </c>
      <c r="E4181" s="1068" t="inlineStr">
        <is>
          <t>M2</t>
        </is>
      </c>
      <c r="F4181" s="1067" t="n"/>
      <c r="G4181" s="1069">
        <f t="array" ref="G4181">IF(B4181="insumo",_xlfn.XLOOKUP($D4181,Insumos!$B$1:$B$996,Insumos!$D$1:$D$996),"")</f>
        <v/>
      </c>
      <c r="H4181" s="1069" t="n">
        <v>2306.36</v>
      </c>
      <c r="I4181" s="2161" t="n">
        <v>0</v>
      </c>
      <c r="J4181" s="2161" t="n">
        <v>0</v>
      </c>
      <c r="K4181" s="2161" t="n"/>
    </row>
    <row r="4182" outlineLevel="3" ht="15.75" customHeight="1">
      <c r="A4182" s="10" t="n">
        <v>1</v>
      </c>
      <c r="B4182" s="10" t="inlineStr">
        <is>
          <t>Insumo</t>
        </is>
      </c>
      <c r="C4182" s="10" t="inlineStr">
        <is>
          <t>Porta de madeira de abrir - 60x210cm (kit completo) - fixação com espuma expansiva</t>
        </is>
      </c>
      <c r="D4182" s="10" t="inlineStr">
        <is>
          <t>Porta de madeira de abrir - 60x210cm (kit completo)</t>
        </is>
      </c>
      <c r="E4182" s="11">
        <f t="array" ref="E4182">_xlfn.XLOOKUP(D4182,Insumos!B:B,Insumos!C:$C)</f>
        <v/>
      </c>
      <c r="F4182" s="14" t="n">
        <v>1</v>
      </c>
      <c r="G4182" s="92">
        <f t="array" ref="G4182">IF(B4182="insumo",_xlfn.XLOOKUP($D4182,Insumos!$B$1:$B$996,Insumos!$D$1:$D$996),"")</f>
        <v/>
      </c>
      <c r="H4182" s="92" t="n">
        <v>2251.36</v>
      </c>
      <c r="I4182" s="2162" t="n">
        <v>0</v>
      </c>
      <c r="J4182" s="2162" t="n">
        <v>0</v>
      </c>
      <c r="K4182" s="2162" t="n"/>
    </row>
    <row r="4183" outlineLevel="3" ht="15.75" customHeight="1">
      <c r="A4183" s="10" t="n">
        <v>24</v>
      </c>
      <c r="B4183" s="10" t="inlineStr">
        <is>
          <t>Insumo</t>
        </is>
      </c>
      <c r="C4183" s="10" t="inlineStr">
        <is>
          <t>Porta de madeira de abrir - 60x210cm (kit completo) - fixação com espuma expansiva</t>
        </is>
      </c>
      <c r="D4183" s="10" t="inlineStr">
        <is>
          <t>Espuma Expansiva de PU 740 gramas</t>
        </is>
      </c>
      <c r="E4183" s="11">
        <f t="array" ref="E4183">_xlfn.XLOOKUP(D4183,Insumos!B:B,Insumos!C:$C)</f>
        <v/>
      </c>
      <c r="F4183" s="14" t="n">
        <v>1</v>
      </c>
      <c r="G4183" s="92">
        <f t="array" ref="G4183">IF(B4183="insumo",_xlfn.XLOOKUP($D4183,Insumos!$B$1:$B$996,Insumos!$D$1:$D$996),"")</f>
        <v/>
      </c>
      <c r="H4183" s="92" t="n">
        <v>55</v>
      </c>
      <c r="I4183" s="2162" t="n">
        <v>0</v>
      </c>
      <c r="J4183" s="2162" t="n">
        <v>0</v>
      </c>
      <c r="K4183" s="2162" t="n"/>
    </row>
    <row r="4184" outlineLevel="2" ht="15.75" customHeight="1">
      <c r="A4184" s="1067" t="n">
        <v>1</v>
      </c>
      <c r="B4184" s="1067" t="inlineStr">
        <is>
          <t>Serviço</t>
        </is>
      </c>
      <c r="C4184" s="1067" t="inlineStr">
        <is>
          <t>Porta de madeira de abrir - 80x210cm (kit completo) - fixação com espuma expansiva</t>
        </is>
      </c>
      <c r="D4184" s="1067" t="inlineStr">
        <is>
          <t>Porta de madeira de abrir - 80x210cm (kit completo) - fixação com espuma expansiva</t>
        </is>
      </c>
      <c r="E4184" s="1068" t="inlineStr">
        <is>
          <t>M2</t>
        </is>
      </c>
      <c r="F4184" s="1067" t="n"/>
      <c r="G4184" s="1069">
        <f t="array" ref="G4184">IF(B4184="insumo",_xlfn.XLOOKUP($D4184,Insumos!$B$1:$B$996,Insumos!$D$1:$D$996),"")</f>
        <v/>
      </c>
      <c r="H4184" s="1069" t="n">
        <v>2306.36</v>
      </c>
      <c r="I4184" s="2161" t="n">
        <v>170</v>
      </c>
      <c r="J4184" s="2161" t="n">
        <v>392081.2</v>
      </c>
      <c r="K4184" s="2161" t="n"/>
    </row>
    <row r="4185" outlineLevel="3" ht="15.75" customHeight="1">
      <c r="A4185" s="10" t="n">
        <v>1</v>
      </c>
      <c r="B4185" s="10" t="inlineStr">
        <is>
          <t>Insumo</t>
        </is>
      </c>
      <c r="C4185" s="10" t="inlineStr">
        <is>
          <t>Porta de madeira de abrir - 80x210cm (kit completo) - fixação com espuma expansiva</t>
        </is>
      </c>
      <c r="D4185" s="10" t="inlineStr">
        <is>
          <t>Porta de madeira de abrir - 80x210cm (kit completo)</t>
        </is>
      </c>
      <c r="E4185" s="11">
        <f t="array" ref="E4185">_xlfn.XLOOKUP(D4185,Insumos!B:B,Insumos!C:$C)</f>
        <v/>
      </c>
      <c r="F4185" s="14" t="n">
        <v>1</v>
      </c>
      <c r="G4185" s="92">
        <f t="array" ref="G4185">IF(B4185="insumo",_xlfn.XLOOKUP($D4185,Insumos!$B$1:$B$996,Insumos!$D$1:$D$996),"")</f>
        <v/>
      </c>
      <c r="H4185" s="92" t="n">
        <v>2251.36</v>
      </c>
      <c r="I4185" s="2162" t="n">
        <v>170</v>
      </c>
      <c r="J4185" s="2162" t="n">
        <v>382731.2</v>
      </c>
      <c r="K4185" s="2162" t="n"/>
    </row>
    <row r="4186" outlineLevel="3" ht="15.75" customHeight="1">
      <c r="A4186" s="10" t="n">
        <v>24</v>
      </c>
      <c r="B4186" s="10" t="inlineStr">
        <is>
          <t>Insumo</t>
        </is>
      </c>
      <c r="C4186" s="10" t="inlineStr">
        <is>
          <t>Porta de madeira de abrir - 80x210cm (kit completo) - fixação com espuma expansiva</t>
        </is>
      </c>
      <c r="D4186" s="10" t="inlineStr">
        <is>
          <t>Espuma Expansiva de PU 740 gramas</t>
        </is>
      </c>
      <c r="E4186" s="11">
        <f t="array" ref="E4186">_xlfn.XLOOKUP(D4186,Insumos!B:B,Insumos!C:$C)</f>
        <v/>
      </c>
      <c r="F4186" s="14" t="n">
        <v>1</v>
      </c>
      <c r="G4186" s="92">
        <f t="array" ref="G4186">IF(B4186="insumo",_xlfn.XLOOKUP($D4186,Insumos!$B$1:$B$996,Insumos!$D$1:$D$996),"")</f>
        <v/>
      </c>
      <c r="H4186" s="92" t="n">
        <v>55</v>
      </c>
      <c r="I4186" s="2162" t="n">
        <v>170</v>
      </c>
      <c r="J4186" s="2162" t="n">
        <v>9350</v>
      </c>
      <c r="K4186" s="2162" t="n"/>
    </row>
    <row r="4187" outlineLevel="2" ht="15.75" customHeight="1">
      <c r="A4187" s="1067" t="n">
        <v>1</v>
      </c>
      <c r="B4187" s="1067" t="inlineStr">
        <is>
          <t>Serviço</t>
        </is>
      </c>
      <c r="C4187" s="1067" t="inlineStr">
        <is>
          <t>Porta de madeira de abrir - 87x210cm (kit completo) - fixação com espuma expansiva</t>
        </is>
      </c>
      <c r="D4187" s="1067" t="inlineStr">
        <is>
          <t>Porta de madeira de abrir - 87x210cm (kit completo) - fixação com espuma expansiva</t>
        </is>
      </c>
      <c r="E4187" s="1068" t="inlineStr">
        <is>
          <t>M2</t>
        </is>
      </c>
      <c r="F4187" s="1067" t="n"/>
      <c r="G4187" s="1069">
        <f t="array" ref="G4187">IF(B4187="insumo",_xlfn.XLOOKUP($D4187,Insumos!$B$1:$B$996,Insumos!$D$1:$D$996),"")</f>
        <v/>
      </c>
      <c r="H4187" s="1069" t="n">
        <v>2264.52304854369</v>
      </c>
      <c r="I4187" s="2161" t="n">
        <v>0</v>
      </c>
      <c r="J4187" s="2161" t="n">
        <v>0</v>
      </c>
      <c r="K4187" s="2161" t="n"/>
    </row>
    <row r="4188" outlineLevel="3" ht="15.75" customHeight="1">
      <c r="A4188" s="10" t="n">
        <v>1</v>
      </c>
      <c r="B4188" s="10" t="inlineStr">
        <is>
          <t>Insumo</t>
        </is>
      </c>
      <c r="C4188" s="10" t="inlineStr">
        <is>
          <t>Porta de madeira de abrir - 87x210cm (kit completo) - fixação com espuma expansiva</t>
        </is>
      </c>
      <c r="D4188" s="10" t="inlineStr">
        <is>
          <t>Porta de madeira de abrir - 87x210cm (kit completo)</t>
        </is>
      </c>
      <c r="E4188" s="11">
        <f t="array" ref="E4188">_xlfn.XLOOKUP(D4188,Insumos!B:B,Insumos!C:$C)</f>
        <v/>
      </c>
      <c r="F4188" s="14" t="n">
        <v>1</v>
      </c>
      <c r="G4188" s="92">
        <f t="array" ref="G4188">IF(B4188="insumo",_xlfn.XLOOKUP($D4188,Insumos!$B$1:$B$996,Insumos!$D$1:$D$996),"")</f>
        <v/>
      </c>
      <c r="H4188" s="92" t="n">
        <v>2209.52304854369</v>
      </c>
      <c r="I4188" s="2162" t="n">
        <v>0</v>
      </c>
      <c r="J4188" s="2162" t="n">
        <v>0</v>
      </c>
      <c r="K4188" s="2162" t="n"/>
    </row>
    <row r="4189" outlineLevel="3" ht="15.75" customHeight="1">
      <c r="A4189" s="10" t="n">
        <v>24</v>
      </c>
      <c r="B4189" s="10" t="inlineStr">
        <is>
          <t>Insumo</t>
        </is>
      </c>
      <c r="C4189" s="10" t="inlineStr">
        <is>
          <t>Porta de madeira de abrir - 87x210cm (kit completo) - fixação com espuma expansiva</t>
        </is>
      </c>
      <c r="D4189" s="10" t="inlineStr">
        <is>
          <t>Espuma Expansiva de PU 740 gramas</t>
        </is>
      </c>
      <c r="E4189" s="11">
        <f t="array" ref="E4189">_xlfn.XLOOKUP(D4189,Insumos!B:B,Insumos!C:$C)</f>
        <v/>
      </c>
      <c r="F4189" s="14" t="n">
        <v>1</v>
      </c>
      <c r="G4189" s="92">
        <f t="array" ref="G4189">IF(B4189="insumo",_xlfn.XLOOKUP($D4189,Insumos!$B$1:$B$996,Insumos!$D$1:$D$996),"")</f>
        <v/>
      </c>
      <c r="H4189" s="92" t="n">
        <v>55</v>
      </c>
      <c r="I4189" s="2162" t="n">
        <v>0</v>
      </c>
      <c r="J4189" s="2162" t="n">
        <v>0</v>
      </c>
      <c r="K4189" s="2162" t="n"/>
    </row>
    <row r="4190" outlineLevel="2" ht="15.75" customHeight="1">
      <c r="A4190" s="1067" t="n">
        <v>1</v>
      </c>
      <c r="B4190" s="1067" t="inlineStr">
        <is>
          <t>Serviço</t>
        </is>
      </c>
      <c r="C4190" s="1067" t="inlineStr">
        <is>
          <t>Porta de madeira de abrir - 90x210cm (kit completo) - fixação com espuma expansiva</t>
        </is>
      </c>
      <c r="D4190" s="1067" t="inlineStr">
        <is>
          <t>Porta de madeira de abrir - 90x210cm (kit completo) - fixação com espuma expansiva</t>
        </is>
      </c>
      <c r="E4190" s="1068" t="inlineStr">
        <is>
          <t>M2</t>
        </is>
      </c>
      <c r="F4190" s="1067" t="n"/>
      <c r="G4190" s="1069">
        <f t="array" ref="G4190">IF(B4190="insumo",_xlfn.XLOOKUP($D4190,Insumos!$B$1:$B$996,Insumos!$D$1:$D$996),"")</f>
        <v/>
      </c>
      <c r="H4190" s="1069" t="n">
        <v>2653.86</v>
      </c>
      <c r="I4190" s="2161" t="n">
        <v>58</v>
      </c>
      <c r="J4190" s="2161" t="n">
        <v>153923.88</v>
      </c>
      <c r="K4190" s="2161" t="n"/>
    </row>
    <row r="4191" outlineLevel="3" ht="15.75" customHeight="1">
      <c r="A4191" s="10" t="n">
        <v>1</v>
      </c>
      <c r="B4191" s="10" t="inlineStr">
        <is>
          <t>Insumo</t>
        </is>
      </c>
      <c r="C4191" s="10" t="inlineStr">
        <is>
          <t>Porta de madeira de abrir - 90x210cm (kit completo) - fixação com espuma expansiva</t>
        </is>
      </c>
      <c r="D4191" s="10" t="inlineStr">
        <is>
          <t>Porta de madeira de abrir - 90x210cm (kit completo)</t>
        </is>
      </c>
      <c r="E4191" s="11">
        <f t="array" ref="E4191">_xlfn.XLOOKUP(D4191,Insumos!B:B,Insumos!C:$C)</f>
        <v/>
      </c>
      <c r="F4191" s="14" t="n">
        <v>1</v>
      </c>
      <c r="G4191" s="92">
        <f t="array" ref="G4191">IF(B4191="insumo",_xlfn.XLOOKUP($D4191,Insumos!$B$1:$B$996,Insumos!$D$1:$D$996),"")</f>
        <v/>
      </c>
      <c r="H4191" s="92" t="n">
        <v>2598.86</v>
      </c>
      <c r="I4191" s="2162" t="n">
        <v>58</v>
      </c>
      <c r="J4191" s="2162" t="n">
        <v>150733.88</v>
      </c>
      <c r="K4191" s="2162" t="n"/>
    </row>
    <row r="4192" outlineLevel="3" ht="15.75" customHeight="1">
      <c r="A4192" s="10" t="n">
        <v>24</v>
      </c>
      <c r="B4192" s="10" t="inlineStr">
        <is>
          <t>Insumo</t>
        </is>
      </c>
      <c r="C4192" s="10" t="inlineStr">
        <is>
          <t>Porta de madeira de abrir - 90x210cm (kit completo) - fixação com espuma expansiva</t>
        </is>
      </c>
      <c r="D4192" s="10" t="inlineStr">
        <is>
          <t>Espuma Expansiva de PU 740 gramas</t>
        </is>
      </c>
      <c r="E4192" s="11">
        <f t="array" ref="E4192">_xlfn.XLOOKUP(D4192,Insumos!B:B,Insumos!C:$C)</f>
        <v/>
      </c>
      <c r="F4192" s="14" t="n">
        <v>1</v>
      </c>
      <c r="G4192" s="92">
        <f t="array" ref="G4192">IF(B4192="insumo",_xlfn.XLOOKUP($D4192,Insumos!$B$1:$B$996,Insumos!$D$1:$D$996),"")</f>
        <v/>
      </c>
      <c r="H4192" s="92" t="n">
        <v>55</v>
      </c>
      <c r="I4192" s="2162" t="n">
        <v>58</v>
      </c>
      <c r="J4192" s="2162" t="n">
        <v>3190</v>
      </c>
      <c r="K4192" s="2162" t="n"/>
    </row>
    <row r="4193" outlineLevel="2" ht="15.75" customHeight="1">
      <c r="A4193" s="1067" t="n">
        <v>1</v>
      </c>
      <c r="B4193" s="1067" t="inlineStr">
        <is>
          <t>Serviço</t>
        </is>
      </c>
      <c r="C4193" s="1067" t="inlineStr">
        <is>
          <t>Porta de madeira de abrir - 90x215cm (kit completo) - fixação com espuma expansiva</t>
        </is>
      </c>
      <c r="D4193" s="1067" t="inlineStr">
        <is>
          <t>Porta de madeira de abrir - 90x215cm (kit completo) - fixação com espuma expansiva</t>
        </is>
      </c>
      <c r="E4193" s="1068" t="inlineStr">
        <is>
          <t>M2</t>
        </is>
      </c>
      <c r="F4193" s="1067" t="n"/>
      <c r="G4193" s="1069">
        <f t="array" ref="G4193">IF(B4193="insumo",_xlfn.XLOOKUP($D4193,Insumos!$B$1:$B$996,Insumos!$D$1:$D$996),"")</f>
        <v/>
      </c>
      <c r="H4193" s="1069" t="n">
        <v>2715.73761904762</v>
      </c>
      <c r="I4193" s="2161" t="n">
        <v>0</v>
      </c>
      <c r="J4193" s="2161" t="n">
        <v>0</v>
      </c>
      <c r="K4193" s="2161" t="n"/>
    </row>
    <row r="4194" outlineLevel="3" ht="15.75" customHeight="1">
      <c r="A4194" s="10" t="n">
        <v>1</v>
      </c>
      <c r="B4194" s="10" t="inlineStr">
        <is>
          <t>Insumo</t>
        </is>
      </c>
      <c r="C4194" s="10" t="inlineStr">
        <is>
          <t>Porta de madeira de abrir - 90x215cm (kit completo) - fixação com espuma expansiva</t>
        </is>
      </c>
      <c r="D4194" s="10" t="inlineStr">
        <is>
          <t>Porta de madeira de abrir - 90x215cm (kit completo)</t>
        </is>
      </c>
      <c r="E4194" s="11">
        <f t="array" ref="E4194">_xlfn.XLOOKUP(D4194,Insumos!B:B,Insumos!C:$C)</f>
        <v/>
      </c>
      <c r="F4194" s="14" t="n">
        <v>1</v>
      </c>
      <c r="G4194" s="92">
        <f t="array" ref="G4194">IF(B4194="insumo",_xlfn.XLOOKUP($D4194,Insumos!$B$1:$B$996,Insumos!$D$1:$D$996),"")</f>
        <v/>
      </c>
      <c r="H4194" s="92" t="n">
        <v>2660.73761904762</v>
      </c>
      <c r="I4194" s="2162" t="n">
        <v>0</v>
      </c>
      <c r="J4194" s="2162" t="n">
        <v>0</v>
      </c>
      <c r="K4194" s="2162" t="n"/>
    </row>
    <row r="4195" outlineLevel="3" ht="15.75" customHeight="1">
      <c r="A4195" s="10" t="n">
        <v>24</v>
      </c>
      <c r="B4195" s="10" t="inlineStr">
        <is>
          <t>Insumo</t>
        </is>
      </c>
      <c r="C4195" s="10" t="inlineStr">
        <is>
          <t>Porta de madeira de abrir - 90x215cm (kit completo) - fixação com espuma expansiva</t>
        </is>
      </c>
      <c r="D4195" s="10" t="inlineStr">
        <is>
          <t>Espuma Expansiva de PU 740 gramas</t>
        </is>
      </c>
      <c r="E4195" s="11">
        <f t="array" ref="E4195">_xlfn.XLOOKUP(D4195,Insumos!B:B,Insumos!C:$C)</f>
        <v/>
      </c>
      <c r="F4195" s="14" t="n">
        <v>1</v>
      </c>
      <c r="G4195" s="92">
        <f t="array" ref="G4195">IF(B4195="insumo",_xlfn.XLOOKUP($D4195,Insumos!$B$1:$B$996,Insumos!$D$1:$D$996),"")</f>
        <v/>
      </c>
      <c r="H4195" s="92" t="n">
        <v>55</v>
      </c>
      <c r="I4195" s="2162" t="n">
        <v>0</v>
      </c>
      <c r="J4195" s="2162" t="n">
        <v>0</v>
      </c>
      <c r="K4195" s="2162" t="n"/>
    </row>
    <row r="4196" outlineLevel="2" ht="15.75" customHeight="1">
      <c r="A4196" s="1067" t="n">
        <v>1</v>
      </c>
      <c r="B4196" s="1067" t="inlineStr">
        <is>
          <t>Serviço</t>
        </is>
      </c>
      <c r="C4196" s="1067" t="inlineStr">
        <is>
          <t>Porta de madeira de abrir - 100x210cm (kit completo) - fixação com espuma expansiva</t>
        </is>
      </c>
      <c r="D4196" s="1067" t="inlineStr">
        <is>
          <t>Porta de madeira de abrir - 100x210cm (kit completo) - fixação com espuma expansiva</t>
        </is>
      </c>
      <c r="E4196" s="1068" t="inlineStr">
        <is>
          <t>M2</t>
        </is>
      </c>
      <c r="F4196" s="1067" t="n"/>
      <c r="G4196" s="1069">
        <f t="array" ref="G4196">IF(B4196="insumo",_xlfn.XLOOKUP($D4196,Insumos!$B$1:$B$996,Insumos!$D$1:$D$996),"")</f>
        <v/>
      </c>
      <c r="H4196" s="1069" t="n">
        <v>2942.62222222222</v>
      </c>
      <c r="I4196" s="2161" t="n">
        <v>0</v>
      </c>
      <c r="J4196" s="2161" t="n">
        <v>0</v>
      </c>
      <c r="K4196" s="2161" t="n"/>
    </row>
    <row r="4197" outlineLevel="3" ht="15.75" customHeight="1">
      <c r="A4197" s="10" t="n">
        <v>1</v>
      </c>
      <c r="B4197" s="10" t="inlineStr">
        <is>
          <t>Insumo</t>
        </is>
      </c>
      <c r="C4197" s="10" t="inlineStr">
        <is>
          <t>Porta de madeira de abrir - 100x210cm (kit completo) - fixação com espuma expansiva</t>
        </is>
      </c>
      <c r="D4197" s="10" t="inlineStr">
        <is>
          <t>Porta de madeira de abrir - 100x210cm (kit completo)</t>
        </is>
      </c>
      <c r="E4197" s="11">
        <f t="array" ref="E4197">_xlfn.XLOOKUP(D4197,Insumos!B:B,Insumos!C:$C)</f>
        <v/>
      </c>
      <c r="F4197" s="14" t="n">
        <v>1</v>
      </c>
      <c r="G4197" s="92">
        <f t="array" ref="G4197">IF(B4197="insumo",_xlfn.XLOOKUP($D4197,Insumos!$B$1:$B$996,Insumos!$D$1:$D$996),"")</f>
        <v/>
      </c>
      <c r="H4197" s="92" t="n">
        <v>2887.62222222222</v>
      </c>
      <c r="I4197" s="2162" t="n">
        <v>0</v>
      </c>
      <c r="J4197" s="2162" t="n">
        <v>0</v>
      </c>
      <c r="K4197" s="2162" t="n"/>
    </row>
    <row r="4198" outlineLevel="3" ht="15.75" customHeight="1">
      <c r="A4198" s="10" t="n">
        <v>24</v>
      </c>
      <c r="B4198" s="10" t="inlineStr">
        <is>
          <t>Insumo</t>
        </is>
      </c>
      <c r="C4198" s="10" t="inlineStr">
        <is>
          <t>Porta de madeira de abrir - 100x210cm (kit completo) - fixação com espuma expansiva</t>
        </is>
      </c>
      <c r="D4198" s="10" t="inlineStr">
        <is>
          <t>Espuma Expansiva de PU 740 gramas</t>
        </is>
      </c>
      <c r="E4198" s="11">
        <f t="array" ref="E4198">_xlfn.XLOOKUP(D4198,Insumos!B:B,Insumos!C:$C)</f>
        <v/>
      </c>
      <c r="F4198" s="14" t="n">
        <v>1</v>
      </c>
      <c r="G4198" s="92">
        <f t="array" ref="G4198">IF(B4198="insumo",_xlfn.XLOOKUP($D4198,Insumos!$B$1:$B$996,Insumos!$D$1:$D$996),"")</f>
        <v/>
      </c>
      <c r="H4198" s="92" t="n">
        <v>55</v>
      </c>
      <c r="I4198" s="2162" t="n">
        <v>0</v>
      </c>
      <c r="J4198" s="2162" t="n">
        <v>0</v>
      </c>
      <c r="K4198" s="2162" t="n"/>
    </row>
    <row r="4199" outlineLevel="2" ht="15.75" customHeight="1">
      <c r="A4199" s="1067" t="n">
        <v>1</v>
      </c>
      <c r="B4199" s="1067" t="inlineStr">
        <is>
          <t>Serviço</t>
        </is>
      </c>
      <c r="C4199" s="1067" t="inlineStr">
        <is>
          <t>Porta de madeira de abrir - 105x215cm (kit completo) - fixação com espuma expansiva</t>
        </is>
      </c>
      <c r="D4199" s="1067" t="inlineStr">
        <is>
          <t>Porta de madeira de abrir - 105x215cm (kit completo) - fixação com espuma expansiva</t>
        </is>
      </c>
      <c r="E4199" s="1068" t="inlineStr">
        <is>
          <t>M2</t>
        </is>
      </c>
      <c r="F4199" s="1067" t="n"/>
      <c r="G4199" s="1069">
        <f t="array" ref="G4199">IF(B4199="insumo",_xlfn.XLOOKUP($D4199,Insumos!$B$1:$B$996,Insumos!$D$1:$D$996),"")</f>
        <v/>
      </c>
      <c r="H4199" s="1069" t="n">
        <v>3087.00333333333</v>
      </c>
      <c r="I4199" s="2161" t="n">
        <v>0</v>
      </c>
      <c r="J4199" s="2161" t="n">
        <v>0</v>
      </c>
      <c r="K4199" s="2161" t="n"/>
    </row>
    <row r="4200" outlineLevel="3" ht="15.75" customHeight="1">
      <c r="A4200" s="10" t="n">
        <v>2</v>
      </c>
      <c r="B4200" s="10" t="inlineStr">
        <is>
          <t>Insumo</t>
        </is>
      </c>
      <c r="C4200" s="10" t="inlineStr">
        <is>
          <t>Porta de madeira de abrir - 105x215cm (kit completo) - fixação com espuma expansiva</t>
        </is>
      </c>
      <c r="D4200" s="10" t="inlineStr">
        <is>
          <t>Porta de madeira de abrir - 105x215cm (kit completo)</t>
        </is>
      </c>
      <c r="E4200" s="11">
        <f t="array" ref="E4200">_xlfn.XLOOKUP(D4200,Insumos!B:B,Insumos!C:$C)</f>
        <v/>
      </c>
      <c r="F4200" s="14" t="n">
        <v>1</v>
      </c>
      <c r="G4200" s="92">
        <f t="array" ref="G4200">IF(B4200="insumo",_xlfn.XLOOKUP($D4200,Insumos!$B$1:$B$996,Insumos!$D$1:$D$996),"")</f>
        <v/>
      </c>
      <c r="H4200" s="92" t="n">
        <v>3032.00333333333</v>
      </c>
      <c r="I4200" s="2162" t="n">
        <v>0</v>
      </c>
      <c r="J4200" s="2162" t="n">
        <v>0</v>
      </c>
      <c r="K4200" s="2162" t="n"/>
    </row>
    <row r="4201" outlineLevel="3" ht="15.75" customHeight="1">
      <c r="A4201" s="10" t="n">
        <v>24</v>
      </c>
      <c r="B4201" s="10" t="inlineStr">
        <is>
          <t>Insumo</t>
        </is>
      </c>
      <c r="C4201" s="10" t="inlineStr">
        <is>
          <t>Porta de madeira de abrir - 105x215cm (kit completo) - fixação com espuma expansiva</t>
        </is>
      </c>
      <c r="D4201" s="10" t="inlineStr">
        <is>
          <t>Espuma Expansiva de PU 740 gramas</t>
        </is>
      </c>
      <c r="E4201" s="11">
        <f t="array" ref="E4201">_xlfn.XLOOKUP(D4201,Insumos!B:B,Insumos!C:$C)</f>
        <v/>
      </c>
      <c r="F4201" s="14" t="n">
        <v>1</v>
      </c>
      <c r="G4201" s="92">
        <f t="array" ref="G4201">IF(B4201="insumo",_xlfn.XLOOKUP($D4201,Insumos!$B$1:$B$996,Insumos!$D$1:$D$996),"")</f>
        <v/>
      </c>
      <c r="H4201" s="92" t="n">
        <v>55</v>
      </c>
      <c r="I4201" s="2162" t="n">
        <v>0</v>
      </c>
      <c r="J4201" s="2162" t="n">
        <v>0</v>
      </c>
      <c r="K4201" s="2162" t="n"/>
    </row>
    <row r="4202" outlineLevel="2" ht="15.75" customHeight="1">
      <c r="A4202" s="1067" t="n">
        <v>1</v>
      </c>
      <c r="B4202" s="1067" t="inlineStr">
        <is>
          <t>Serviço</t>
        </is>
      </c>
      <c r="C4202" s="1067" t="inlineStr">
        <is>
          <t>Porta de madeira de abrir - 110x220cm (kit completo) - fixação com espuma expansiva</t>
        </is>
      </c>
      <c r="D4202" s="1067" t="inlineStr">
        <is>
          <t>Porta de madeira de abrir - 110x220cm (kit completo) - fixação com espuma expansiva</t>
        </is>
      </c>
      <c r="E4202" s="1068" t="inlineStr">
        <is>
          <t>M2</t>
        </is>
      </c>
      <c r="F4202" s="1067" t="n"/>
      <c r="G4202" s="1069">
        <f t="array" ref="G4202">IF(B4202="insumo",_xlfn.XLOOKUP($D4202,Insumos!$B$1:$B$996,Insumos!$D$1:$D$996),"")</f>
        <v/>
      </c>
      <c r="H4202" s="1069" t="n">
        <v>3231.38444444445</v>
      </c>
      <c r="I4202" s="2161" t="n">
        <v>0</v>
      </c>
      <c r="J4202" s="2161" t="n">
        <v>0</v>
      </c>
      <c r="K4202" s="2161" t="n"/>
    </row>
    <row r="4203" outlineLevel="3" ht="15.75" customHeight="1">
      <c r="A4203" s="10" t="n">
        <v>1</v>
      </c>
      <c r="B4203" s="10" t="inlineStr">
        <is>
          <t>Insumo</t>
        </is>
      </c>
      <c r="C4203" s="10" t="inlineStr">
        <is>
          <t>Porta de madeira de abrir - 110x220cm (kit completo) - fixação com espuma expansiva</t>
        </is>
      </c>
      <c r="D4203" s="10" t="inlineStr">
        <is>
          <t>Porta de madeira de abrir - 110x220cm (kit completo)</t>
        </is>
      </c>
      <c r="E4203" s="11">
        <f t="array" ref="E4203">_xlfn.XLOOKUP(D4203,Insumos!B:B,Insumos!C:$C)</f>
        <v/>
      </c>
      <c r="F4203" s="14" t="n">
        <v>1</v>
      </c>
      <c r="G4203" s="92">
        <f t="array" ref="G4203">IF(B4203="insumo",_xlfn.XLOOKUP($D4203,Insumos!$B$1:$B$996,Insumos!$D$1:$D$996),"")</f>
        <v/>
      </c>
      <c r="H4203" s="92" t="n">
        <v>3176.38444444445</v>
      </c>
      <c r="I4203" s="2162" t="n">
        <v>0</v>
      </c>
      <c r="J4203" s="2162" t="n">
        <v>0</v>
      </c>
      <c r="K4203" s="2162" t="n"/>
    </row>
    <row r="4204" outlineLevel="3" ht="15.75" customHeight="1">
      <c r="A4204" s="10" t="n">
        <v>24</v>
      </c>
      <c r="B4204" s="10" t="inlineStr">
        <is>
          <t>Insumo</t>
        </is>
      </c>
      <c r="C4204" s="10" t="inlineStr">
        <is>
          <t>Porta de madeira de abrir - 110x220cm (kit completo) - fixação com espuma expansiva</t>
        </is>
      </c>
      <c r="D4204" s="10" t="inlineStr">
        <is>
          <t>Espuma Expansiva de PU 740 gramas</t>
        </is>
      </c>
      <c r="E4204" s="11">
        <f t="array" ref="E4204">_xlfn.XLOOKUP(D4204,Insumos!B:B,Insumos!C:$C)</f>
        <v/>
      </c>
      <c r="F4204" s="14" t="n">
        <v>1</v>
      </c>
      <c r="G4204" s="92">
        <f t="array" ref="G4204">IF(B4204="insumo",_xlfn.XLOOKUP($D4204,Insumos!$B$1:$B$996,Insumos!$D$1:$D$996),"")</f>
        <v/>
      </c>
      <c r="H4204" s="92" t="n">
        <v>55</v>
      </c>
      <c r="I4204" s="2162" t="n">
        <v>0</v>
      </c>
      <c r="J4204" s="2162" t="n">
        <v>0</v>
      </c>
      <c r="K4204" s="2162" t="n"/>
    </row>
    <row r="4205" outlineLevel="2" ht="15.75" customHeight="1">
      <c r="A4205" s="1067" t="n">
        <v>1</v>
      </c>
      <c r="B4205" s="1067" t="inlineStr">
        <is>
          <t>Serviço</t>
        </is>
      </c>
      <c r="C4205" s="1067" t="inlineStr">
        <is>
          <t>Porta de madeira de abrir - 140x210cm (kit completo) - fixação com espuma expansiva</t>
        </is>
      </c>
      <c r="D4205" s="1067" t="inlineStr">
        <is>
          <t>Porta de madeira de abrir - 140x210cm (kit completo) - fixação com espuma expansiva</t>
        </is>
      </c>
      <c r="E4205" s="1068" t="inlineStr">
        <is>
          <t>M2</t>
        </is>
      </c>
      <c r="F4205" s="1067" t="n"/>
      <c r="G4205" s="1069">
        <f t="array" ref="G4205">IF(B4205="insumo",_xlfn.XLOOKUP($D4205,Insumos!$B$1:$B$996,Insumos!$D$1:$D$996),"")</f>
        <v/>
      </c>
      <c r="H4205" s="1069" t="n">
        <v>4097.67111111111</v>
      </c>
      <c r="I4205" s="2161" t="n">
        <v>0</v>
      </c>
      <c r="J4205" s="2161" t="n">
        <v>0</v>
      </c>
      <c r="K4205" s="2161" t="n"/>
    </row>
    <row r="4206" outlineLevel="3" ht="15.75" customHeight="1">
      <c r="A4206" s="10" t="n">
        <v>1</v>
      </c>
      <c r="B4206" s="10" t="inlineStr">
        <is>
          <t>Insumo</t>
        </is>
      </c>
      <c r="C4206" s="10" t="inlineStr">
        <is>
          <t>Porta de madeira de abrir - 140x210cm (kit completo) - fixação com espuma expansiva</t>
        </is>
      </c>
      <c r="D4206" s="10" t="inlineStr">
        <is>
          <t>Porta de madeira de abrir - 140x210cm (kit completo)</t>
        </is>
      </c>
      <c r="E4206" s="11">
        <f t="array" ref="E4206">_xlfn.XLOOKUP(D4206,Insumos!B:B,Insumos!C:$C)</f>
        <v/>
      </c>
      <c r="F4206" s="14" t="n">
        <v>1</v>
      </c>
      <c r="G4206" s="92">
        <f t="array" ref="G4206">IF(B4206="insumo",_xlfn.XLOOKUP($D4206,Insumos!$B$1:$B$996,Insumos!$D$1:$D$996),"")</f>
        <v/>
      </c>
      <c r="H4206" s="92" t="n">
        <v>4042.67111111111</v>
      </c>
      <c r="I4206" s="2162" t="n">
        <v>0</v>
      </c>
      <c r="J4206" s="2162" t="n">
        <v>0</v>
      </c>
      <c r="K4206" s="2162" t="n"/>
    </row>
    <row r="4207" outlineLevel="3" ht="15.75" customHeight="1">
      <c r="A4207" s="10" t="n">
        <v>24</v>
      </c>
      <c r="B4207" s="10" t="inlineStr">
        <is>
          <t>Insumo</t>
        </is>
      </c>
      <c r="C4207" s="10" t="inlineStr">
        <is>
          <t>Porta de madeira de abrir - 140x210cm (kit completo) - fixação com espuma expansiva</t>
        </is>
      </c>
      <c r="D4207" s="10" t="inlineStr">
        <is>
          <t>Espuma Expansiva de PU 740 gramas</t>
        </is>
      </c>
      <c r="E4207" s="11">
        <f t="array" ref="E4207">_xlfn.XLOOKUP(D4207,Insumos!B:B,Insumos!C:$C)</f>
        <v/>
      </c>
      <c r="F4207" s="14" t="n">
        <v>1</v>
      </c>
      <c r="G4207" s="92">
        <f t="array" ref="G4207">IF(B4207="insumo",_xlfn.XLOOKUP($D4207,Insumos!$B$1:$B$996,Insumos!$D$1:$D$996),"")</f>
        <v/>
      </c>
      <c r="H4207" s="92" t="n">
        <v>55</v>
      </c>
      <c r="I4207" s="2162" t="n">
        <v>0</v>
      </c>
      <c r="J4207" s="2162" t="n">
        <v>0</v>
      </c>
      <c r="K4207" s="2162" t="n"/>
    </row>
    <row r="4208" outlineLevel="2" ht="12.75" customHeight="1">
      <c r="A4208" s="1071" t="n">
        <v>1</v>
      </c>
      <c r="B4208" s="1071" t="inlineStr">
        <is>
          <t>Serviço</t>
        </is>
      </c>
      <c r="C4208" s="1071" t="inlineStr">
        <is>
          <t>Porta de madeira de abrir - 110x210cm (kit completo) - fixação com espuma expansiva</t>
        </is>
      </c>
      <c r="D4208" s="1071" t="inlineStr">
        <is>
          <t>Porta de madeira de abrir - 110x210cm (kit completo) - fixação com espuma expansiva</t>
        </is>
      </c>
      <c r="E4208" s="1072" t="inlineStr">
        <is>
          <t>M2</t>
        </is>
      </c>
      <c r="F4208" s="1071" t="n"/>
      <c r="G4208" s="1073">
        <f t="array" ref="G4208">IF(B4208="insumo",_xlfn.XLOOKUP($D4208,Insumos!$B$1:$B$996,Insumos!$D$1:$D$996),"")</f>
        <v/>
      </c>
      <c r="H4208" s="1073" t="n">
        <v>3087.00333333333</v>
      </c>
      <c r="I4208" s="2163" t="n">
        <v>0</v>
      </c>
      <c r="J4208" s="2163" t="n">
        <v>0</v>
      </c>
      <c r="K4208" s="2163" t="n"/>
    </row>
    <row r="4209" outlineLevel="3" ht="12.75" customHeight="1">
      <c r="A4209" s="82" t="n">
        <v>2</v>
      </c>
      <c r="B4209" s="82" t="inlineStr">
        <is>
          <t>Insumo</t>
        </is>
      </c>
      <c r="C4209" s="82" t="inlineStr">
        <is>
          <t>Porta de madeira de abrir - 110x210cm (kit completo) - fixação com espuma expansiva</t>
        </is>
      </c>
      <c r="D4209" s="82" t="inlineStr">
        <is>
          <t>Porta de madeira de abrir - 105x215cm (kit completo)</t>
        </is>
      </c>
      <c r="E4209" s="11">
        <f t="array" ref="E4209">_xlfn.XLOOKUP(D4209,Insumos!B:B,Insumos!C:$C)</f>
        <v/>
      </c>
      <c r="F4209" s="2164" t="n">
        <v>1</v>
      </c>
      <c r="G4209" s="92">
        <f t="array" ref="G4209">IF(B4209="insumo",_xlfn.XLOOKUP($D4209,Insumos!$B$1:$B$996,Insumos!$D$1:$D$996),"")</f>
        <v/>
      </c>
      <c r="H4209" s="92" t="n">
        <v>3032.00333333333</v>
      </c>
      <c r="I4209" s="2165" t="n">
        <v>0</v>
      </c>
      <c r="J4209" s="2165" t="n">
        <v>0</v>
      </c>
      <c r="K4209" s="2165" t="n"/>
    </row>
    <row r="4210" outlineLevel="3" ht="12.75" customHeight="1">
      <c r="A4210" s="82" t="n">
        <v>24</v>
      </c>
      <c r="B4210" s="82" t="inlineStr">
        <is>
          <t>Insumo</t>
        </is>
      </c>
      <c r="C4210" s="82" t="inlineStr">
        <is>
          <t>Porta de madeira de abrir - 110x210cm (kit completo) - fixação com espuma expansiva</t>
        </is>
      </c>
      <c r="D4210" s="82" t="inlineStr">
        <is>
          <t>Espuma Expansiva de PU 740 gramas</t>
        </is>
      </c>
      <c r="E4210" s="11">
        <f t="array" ref="E4210">_xlfn.XLOOKUP(D4210,Insumos!B:B,Insumos!C:$C)</f>
        <v/>
      </c>
      <c r="F4210" s="2164" t="n">
        <v>1</v>
      </c>
      <c r="G4210" s="92">
        <f t="array" ref="G4210">IF(B4210="insumo",_xlfn.XLOOKUP($D4210,Insumos!$B$1:$B$996,Insumos!$D$1:$D$996),"")</f>
        <v/>
      </c>
      <c r="H4210" s="92" t="n">
        <v>55</v>
      </c>
      <c r="I4210" s="2165" t="n">
        <v>0</v>
      </c>
      <c r="J4210" s="2165" t="n">
        <v>0</v>
      </c>
      <c r="K4210" s="2165" t="n"/>
    </row>
    <row r="4211" outlineLevel="2" ht="15.75" customHeight="1">
      <c r="A4211" s="1067" t="n">
        <v>1</v>
      </c>
      <c r="B4211" s="1067" t="inlineStr">
        <is>
          <t>Serviço</t>
        </is>
      </c>
      <c r="C4211" s="1067" t="inlineStr">
        <is>
          <t>Porta de madeira de Correr - 60x210cm (kit completo) - fixação com espuma expansiva</t>
        </is>
      </c>
      <c r="D4211" s="1067" t="inlineStr">
        <is>
          <t>Porta de madeira de Correr - 60x210cm (kit completo) - fixação com espuma expansiva</t>
        </is>
      </c>
      <c r="E4211" s="1068" t="inlineStr">
        <is>
          <t>M2</t>
        </is>
      </c>
      <c r="F4211" s="1067" t="n"/>
      <c r="G4211" s="1069">
        <f t="array" ref="G4211">IF(B4211="insumo",_xlfn.XLOOKUP($D4211,Insumos!$B$1:$B$996,Insumos!$D$1:$D$996),"")</f>
        <v/>
      </c>
      <c r="H4211" s="1069" t="n">
        <v>2264.52304854369</v>
      </c>
      <c r="I4211" s="2161" t="n">
        <v>0</v>
      </c>
      <c r="J4211" s="2161" t="n">
        <v>0</v>
      </c>
      <c r="K4211" s="2161" t="n"/>
    </row>
    <row r="4212" outlineLevel="3" ht="15.75" customHeight="1">
      <c r="A4212" s="10" t="n">
        <v>1</v>
      </c>
      <c r="B4212" s="10" t="inlineStr">
        <is>
          <t>Insumo</t>
        </is>
      </c>
      <c r="C4212" s="10" t="inlineStr">
        <is>
          <t>Porta de madeira de Correr - 60x210cm (kit completo) - fixação com espuma expansiva</t>
        </is>
      </c>
      <c r="D4212" s="10" t="inlineStr">
        <is>
          <t>Porta de madeira de Correr - 60x210cm (kit completo)</t>
        </is>
      </c>
      <c r="E4212" s="11">
        <f t="array" ref="E4212">_xlfn.XLOOKUP(D4212,Insumos!B:B,Insumos!C:$C)</f>
        <v/>
      </c>
      <c r="F4212" s="14" t="n">
        <v>1</v>
      </c>
      <c r="G4212" s="92">
        <f t="array" ref="G4212">IF(B4212="insumo",_xlfn.XLOOKUP($D4212,Insumos!$B$1:$B$996,Insumos!$D$1:$D$996),"")</f>
        <v/>
      </c>
      <c r="H4212" s="92" t="n">
        <v>2209.52304854369</v>
      </c>
      <c r="I4212" s="2162" t="n">
        <v>0</v>
      </c>
      <c r="J4212" s="2162" t="n">
        <v>0</v>
      </c>
      <c r="K4212" s="2162" t="n"/>
    </row>
    <row r="4213" outlineLevel="3" ht="15.75" customHeight="1">
      <c r="A4213" s="10" t="n">
        <v>24</v>
      </c>
      <c r="B4213" s="10" t="inlineStr">
        <is>
          <t>Insumo</t>
        </is>
      </c>
      <c r="C4213" s="10" t="inlineStr">
        <is>
          <t>Porta de madeira de Correr - 60x210cm (kit completo) - fixação com espuma expansiva</t>
        </is>
      </c>
      <c r="D4213" s="10" t="inlineStr">
        <is>
          <t>Espuma Expansiva de PU 740 gramas</t>
        </is>
      </c>
      <c r="E4213" s="11">
        <f t="array" ref="E4213">_xlfn.XLOOKUP(D4213,Insumos!B:B,Insumos!C:$C)</f>
        <v/>
      </c>
      <c r="F4213" s="14" t="n">
        <v>1</v>
      </c>
      <c r="G4213" s="92">
        <f t="array" ref="G4213">IF(B4213="insumo",_xlfn.XLOOKUP($D4213,Insumos!$B$1:$B$996,Insumos!$D$1:$D$996),"")</f>
        <v/>
      </c>
      <c r="H4213" s="92" t="n">
        <v>55</v>
      </c>
      <c r="I4213" s="2162" t="n">
        <v>0</v>
      </c>
      <c r="J4213" s="2162" t="n">
        <v>0</v>
      </c>
      <c r="K4213" s="2162" t="n"/>
    </row>
    <row r="4214" outlineLevel="2" ht="15.75" customHeight="1">
      <c r="A4214" s="1067" t="n">
        <v>1</v>
      </c>
      <c r="B4214" s="1067" t="inlineStr">
        <is>
          <t>Serviço</t>
        </is>
      </c>
      <c r="C4214" s="1067" t="inlineStr">
        <is>
          <t>Porta de madeira de Correr - 80x210cm (kit completo) - fixação com espuma expansiva</t>
        </is>
      </c>
      <c r="D4214" s="1067" t="inlineStr">
        <is>
          <t>Porta de madeira de Correr - 80x210cm (kit completo) - fixação com espuma expansiva</t>
        </is>
      </c>
      <c r="E4214" s="1068" t="inlineStr">
        <is>
          <t>M2</t>
        </is>
      </c>
      <c r="F4214" s="1067" t="n"/>
      <c r="G4214" s="1069">
        <f t="array" ref="G4214">IF(B4214="insumo",_xlfn.XLOOKUP($D4214,Insumos!$B$1:$B$996,Insumos!$D$1:$D$996),"")</f>
        <v/>
      </c>
      <c r="H4214" s="1069" t="n">
        <v>2306.36</v>
      </c>
      <c r="I4214" s="2161" t="n">
        <v>0</v>
      </c>
      <c r="J4214" s="2161" t="n">
        <v>0</v>
      </c>
      <c r="K4214" s="2161" t="n"/>
    </row>
    <row r="4215" outlineLevel="3" ht="15.75" customHeight="1">
      <c r="A4215" s="10" t="n">
        <v>2</v>
      </c>
      <c r="B4215" s="10" t="inlineStr">
        <is>
          <t>Insumo</t>
        </is>
      </c>
      <c r="C4215" s="10" t="inlineStr">
        <is>
          <t>Porta de madeira de Correr - 80x210cm (kit completo) - fixação com espuma expansiva</t>
        </is>
      </c>
      <c r="D4215" s="10" t="inlineStr">
        <is>
          <t>Porta de madeira de Correr - 80x210cm (kit completo)</t>
        </is>
      </c>
      <c r="E4215" s="11">
        <f t="array" ref="E4215">_xlfn.XLOOKUP(D4215,Insumos!B:B,Insumos!C:$C)</f>
        <v/>
      </c>
      <c r="F4215" s="14" t="n">
        <v>1</v>
      </c>
      <c r="G4215" s="92">
        <f t="array" ref="G4215">IF(B4215="insumo",_xlfn.XLOOKUP($D4215,Insumos!$B$1:$B$996,Insumos!$D$1:$D$996),"")</f>
        <v/>
      </c>
      <c r="H4215" s="92" t="n">
        <v>2251.36</v>
      </c>
      <c r="I4215" s="2162" t="n">
        <v>0</v>
      </c>
      <c r="J4215" s="2162" t="n">
        <v>0</v>
      </c>
      <c r="K4215" s="2162" t="n"/>
    </row>
    <row r="4216" outlineLevel="3" ht="15.75" customHeight="1">
      <c r="A4216" s="10" t="n">
        <v>24</v>
      </c>
      <c r="B4216" s="10" t="inlineStr">
        <is>
          <t>Insumo</t>
        </is>
      </c>
      <c r="C4216" s="10" t="inlineStr">
        <is>
          <t>Porta de madeira de Correr - 80x210cm (kit completo) - fixação com espuma expansiva</t>
        </is>
      </c>
      <c r="D4216" s="10" t="inlineStr">
        <is>
          <t>Espuma Expansiva de PU 740 gramas</t>
        </is>
      </c>
      <c r="E4216" s="11">
        <f t="array" ref="E4216">_xlfn.XLOOKUP(D4216,Insumos!B:B,Insumos!C:$C)</f>
        <v/>
      </c>
      <c r="F4216" s="14" t="n">
        <v>1</v>
      </c>
      <c r="G4216" s="92">
        <f t="array" ref="G4216">IF(B4216="insumo",_xlfn.XLOOKUP($D4216,Insumos!$B$1:$B$996,Insumos!$D$1:$D$996),"")</f>
        <v/>
      </c>
      <c r="H4216" s="92" t="n">
        <v>55</v>
      </c>
      <c r="I4216" s="2162" t="n">
        <v>0</v>
      </c>
      <c r="J4216" s="2162" t="n">
        <v>0</v>
      </c>
      <c r="K4216" s="2162" t="n"/>
    </row>
    <row r="4217" outlineLevel="2" ht="12.75" customHeight="1">
      <c r="A4217" s="1071" t="n">
        <v>1</v>
      </c>
      <c r="B4217" s="1071" t="inlineStr">
        <is>
          <t>Serviço</t>
        </is>
      </c>
      <c r="C4217" s="1071" t="inlineStr">
        <is>
          <t>Porta de madeira de Correr - 70x210cm (kit completo) - fixação com espuma expansiva</t>
        </is>
      </c>
      <c r="D4217" s="1071" t="inlineStr">
        <is>
          <t>Porta de madeira de Correr - 70x210cm (kit completo) - fixação com espuma expansiva</t>
        </is>
      </c>
      <c r="E4217" s="1072" t="inlineStr">
        <is>
          <t>M2</t>
        </is>
      </c>
      <c r="F4217" s="1071" t="n"/>
      <c r="G4217" s="1073">
        <f t="array" ref="G4217">IF(B4217="insumo",_xlfn.XLOOKUP($D4217,Insumos!$B$1:$B$996,Insumos!$D$1:$D$996),"")</f>
        <v/>
      </c>
      <c r="H4217" s="1073" t="n">
        <v>1413.5</v>
      </c>
      <c r="I4217" s="2163" t="n">
        <v>0</v>
      </c>
      <c r="J4217" s="2163" t="n">
        <v>0</v>
      </c>
      <c r="K4217" s="2163" t="n"/>
    </row>
    <row r="4218" outlineLevel="3" ht="12.75" customHeight="1">
      <c r="A4218" s="82" t="n">
        <v>1</v>
      </c>
      <c r="B4218" s="82" t="inlineStr">
        <is>
          <t>Insumo</t>
        </is>
      </c>
      <c r="C4218" s="82" t="inlineStr">
        <is>
          <t>Porta de madeira de Correr - 70x210cm (kit completo) - fixação com espuma expansiva</t>
        </is>
      </c>
      <c r="D4218" s="82" t="inlineStr">
        <is>
          <t>Porta de madeira de Correr - 70x210cm (kit completo)</t>
        </is>
      </c>
      <c r="E4218" s="11">
        <f t="array" ref="E4218">_xlfn.XLOOKUP(D4218,Insumos!B:B,Insumos!C:$C)</f>
        <v/>
      </c>
      <c r="F4218" s="2164" t="n">
        <v>1</v>
      </c>
      <c r="G4218" s="92">
        <f t="array" ref="G4218">IF(B4218="insumo",_xlfn.XLOOKUP($D4218,Insumos!$B$1:$B$996,Insumos!$D$1:$D$996),"")</f>
        <v/>
      </c>
      <c r="H4218" s="92" t="n">
        <v>1358.5</v>
      </c>
      <c r="I4218" s="2165" t="n">
        <v>0</v>
      </c>
      <c r="J4218" s="2165" t="n">
        <v>0</v>
      </c>
      <c r="K4218" s="2165" t="n"/>
    </row>
    <row r="4219" outlineLevel="3" ht="12.75" customHeight="1">
      <c r="A4219" s="82" t="n">
        <v>24</v>
      </c>
      <c r="B4219" s="82" t="inlineStr">
        <is>
          <t>Insumo</t>
        </is>
      </c>
      <c r="C4219" s="82" t="inlineStr">
        <is>
          <t>Porta de madeira de Correr - 70x210cm (kit completo) - fixação com espuma expansiva</t>
        </is>
      </c>
      <c r="D4219" s="82" t="inlineStr">
        <is>
          <t>Espuma Expansiva de PU 740 gramas</t>
        </is>
      </c>
      <c r="E4219" s="11">
        <f t="array" ref="E4219">_xlfn.XLOOKUP(D4219,Insumos!B:B,Insumos!C:$C)</f>
        <v/>
      </c>
      <c r="F4219" s="2164" t="n">
        <v>1</v>
      </c>
      <c r="G4219" s="92">
        <f t="array" ref="G4219">IF(B4219="insumo",_xlfn.XLOOKUP($D4219,Insumos!$B$1:$B$996,Insumos!$D$1:$D$996),"")</f>
        <v/>
      </c>
      <c r="H4219" s="92" t="n">
        <v>55</v>
      </c>
      <c r="I4219" s="2165" t="n">
        <v>0</v>
      </c>
      <c r="J4219" s="2165" t="n">
        <v>0</v>
      </c>
      <c r="K4219" s="2165" t="n"/>
    </row>
    <row r="4220" outlineLevel="2" ht="12.75" customHeight="1">
      <c r="A4220" s="1071" t="n">
        <v>1</v>
      </c>
      <c r="B4220" s="1071" t="inlineStr">
        <is>
          <t>Serviço</t>
        </is>
      </c>
      <c r="C4220" s="1071" t="inlineStr">
        <is>
          <t>Porta de madeira de Correr - 90x210cm (kit completo) - fixação com espuma expansiva</t>
        </is>
      </c>
      <c r="D4220" s="1071" t="inlineStr">
        <is>
          <t>Porta de madeira de Correr - 90x210cm (kit completo) - fixação com espuma expansiva</t>
        </is>
      </c>
      <c r="E4220" s="1072" t="inlineStr">
        <is>
          <t>M2</t>
        </is>
      </c>
      <c r="F4220" s="1071" t="n"/>
      <c r="G4220" s="1073">
        <f t="array" ref="G4220">IF(B4220="insumo",_xlfn.XLOOKUP($D4220,Insumos!$B$1:$B$996,Insumos!$D$1:$D$996),"")</f>
        <v/>
      </c>
      <c r="H4220" s="1073" t="n">
        <v>2306.36</v>
      </c>
      <c r="I4220" s="2163" t="n">
        <v>0</v>
      </c>
      <c r="J4220" s="2163" t="n">
        <v>0</v>
      </c>
      <c r="K4220" s="2163" t="n"/>
    </row>
    <row r="4221" outlineLevel="3" ht="12.75" customHeight="1">
      <c r="A4221" s="82" t="n">
        <v>2</v>
      </c>
      <c r="B4221" s="82" t="inlineStr">
        <is>
          <t>Insumo</t>
        </is>
      </c>
      <c r="C4221" s="82" t="inlineStr">
        <is>
          <t>Porta de madeira de Correr - 90x210cm (kit completo) - fixação com espuma expansiva</t>
        </is>
      </c>
      <c r="D4221" s="82" t="inlineStr">
        <is>
          <t>Porta de madeira de Correr - 80x210cm (kit completo)</t>
        </is>
      </c>
      <c r="E4221" s="11">
        <f t="array" ref="E4221">_xlfn.XLOOKUP(D4221,Insumos!B:B,Insumos!C:$C)</f>
        <v/>
      </c>
      <c r="F4221" s="2164" t="n">
        <v>1</v>
      </c>
      <c r="G4221" s="92">
        <f t="array" ref="G4221">IF(B4221="insumo",_xlfn.XLOOKUP($D4221,Insumos!$B$1:$B$996,Insumos!$D$1:$D$996),"")</f>
        <v/>
      </c>
      <c r="H4221" s="92" t="n">
        <v>2251.36</v>
      </c>
      <c r="I4221" s="2165" t="n">
        <v>0</v>
      </c>
      <c r="J4221" s="2165" t="n">
        <v>0</v>
      </c>
      <c r="K4221" s="2165" t="n"/>
    </row>
    <row r="4222" outlineLevel="3" ht="12.75" customHeight="1">
      <c r="A4222" s="82" t="n">
        <v>24</v>
      </c>
      <c r="B4222" s="82" t="inlineStr">
        <is>
          <t>Insumo</t>
        </is>
      </c>
      <c r="C4222" s="82" t="inlineStr">
        <is>
          <t>Porta de madeira de Correr - 90x210cm (kit completo) - fixação com espuma expansiva</t>
        </is>
      </c>
      <c r="D4222" s="82" t="inlineStr">
        <is>
          <t>Espuma Expansiva de PU 740 gramas</t>
        </is>
      </c>
      <c r="E4222" s="11">
        <f t="array" ref="E4222">_xlfn.XLOOKUP(D4222,Insumos!B:B,Insumos!C:$C)</f>
        <v/>
      </c>
      <c r="F4222" s="2164" t="n">
        <v>1</v>
      </c>
      <c r="G4222" s="92">
        <f t="array" ref="G4222">IF(B4222="insumo",_xlfn.XLOOKUP($D4222,Insumos!$B$1:$B$996,Insumos!$D$1:$D$996),"")</f>
        <v/>
      </c>
      <c r="H4222" s="92" t="n">
        <v>55</v>
      </c>
      <c r="I4222" s="2165" t="n">
        <v>0</v>
      </c>
      <c r="J4222" s="2165" t="n">
        <v>0</v>
      </c>
      <c r="K4222" s="2165" t="n"/>
    </row>
    <row r="4223" outlineLevel="2" ht="12.75" customHeight="1">
      <c r="A4223" s="1071" t="n">
        <v>1</v>
      </c>
      <c r="B4223" s="1071" t="inlineStr">
        <is>
          <t>Serviço</t>
        </is>
      </c>
      <c r="C4223" s="1071" t="inlineStr">
        <is>
          <t>Porta de madeira de Correr - 110x210cm (kit completo) - fixação com espuma expansiva</t>
        </is>
      </c>
      <c r="D4223" s="1071" t="inlineStr">
        <is>
          <t>Porta de madeira de Correr - 110x210cm (kit completo) - fixação com espuma expansiva</t>
        </is>
      </c>
      <c r="E4223" s="1072" t="inlineStr">
        <is>
          <t>M2</t>
        </is>
      </c>
      <c r="F4223" s="1071" t="n"/>
      <c r="G4223" s="1073">
        <f t="array" ref="G4223">IF(B4223="insumo",_xlfn.XLOOKUP($D4223,Insumos!$B$1:$B$996,Insumos!$D$1:$D$996),"")</f>
        <v/>
      </c>
      <c r="H4223" s="1073" t="n">
        <v>1549.35</v>
      </c>
      <c r="I4223" s="2163" t="n">
        <v>0</v>
      </c>
      <c r="J4223" s="2163" t="n">
        <v>0</v>
      </c>
      <c r="K4223" s="2163" t="n"/>
    </row>
    <row r="4224" outlineLevel="3" ht="12.75" customHeight="1">
      <c r="A4224" s="82" t="n">
        <v>1</v>
      </c>
      <c r="B4224" s="82" t="inlineStr">
        <is>
          <t>Insumo</t>
        </is>
      </c>
      <c r="C4224" s="82" t="inlineStr">
        <is>
          <t>Porta de madeira de Correr - 110x210cm (kit completo) - fixação com espuma expansiva</t>
        </is>
      </c>
      <c r="D4224" s="82" t="inlineStr">
        <is>
          <t>Porta de madeira de Correr - 110x210cm (kit completo)</t>
        </is>
      </c>
      <c r="E4224" s="11">
        <f t="array" ref="E4224">_xlfn.XLOOKUP(D4224,Insumos!B:B,Insumos!C:$C)</f>
        <v/>
      </c>
      <c r="F4224" s="2164" t="n">
        <v>1</v>
      </c>
      <c r="G4224" s="92">
        <f t="array" ref="G4224">IF(B4224="insumo",_xlfn.XLOOKUP($D4224,Insumos!$B$1:$B$996,Insumos!$D$1:$D$996),"")</f>
        <v/>
      </c>
      <c r="H4224" s="92" t="n">
        <v>1494.35</v>
      </c>
      <c r="I4224" s="2165" t="n">
        <v>0</v>
      </c>
      <c r="J4224" s="2165" t="n">
        <v>0</v>
      </c>
      <c r="K4224" s="2165" t="n"/>
    </row>
    <row r="4225" outlineLevel="3" ht="12.75" customHeight="1">
      <c r="A4225" s="82" t="n">
        <v>24</v>
      </c>
      <c r="B4225" s="82" t="inlineStr">
        <is>
          <t>Insumo</t>
        </is>
      </c>
      <c r="C4225" s="82" t="inlineStr">
        <is>
          <t>Porta de madeira de Correr - 110x210cm (kit completo) - fixação com espuma expansiva</t>
        </is>
      </c>
      <c r="D4225" s="82" t="inlineStr">
        <is>
          <t>Espuma Expansiva de PU 740 gramas</t>
        </is>
      </c>
      <c r="E4225" s="11">
        <f t="array" ref="E4225">_xlfn.XLOOKUP(D4225,Insumos!B:B,Insumos!C:$C)</f>
        <v/>
      </c>
      <c r="F4225" s="2164" t="n">
        <v>1</v>
      </c>
      <c r="G4225" s="92">
        <f t="array" ref="G4225">IF(B4225="insumo",_xlfn.XLOOKUP($D4225,Insumos!$B$1:$B$996,Insumos!$D$1:$D$996),"")</f>
        <v/>
      </c>
      <c r="H4225" s="92" t="n">
        <v>55</v>
      </c>
      <c r="I4225" s="2165" t="n">
        <v>0</v>
      </c>
      <c r="J4225" s="2165" t="n">
        <v>0</v>
      </c>
      <c r="K4225" s="2165" t="n"/>
    </row>
    <row r="4226" outlineLevel="2" ht="12.75" customHeight="1">
      <c r="A4226" s="1071" t="n">
        <v>1</v>
      </c>
      <c r="B4226" s="1071" t="inlineStr">
        <is>
          <t>Serviço</t>
        </is>
      </c>
      <c r="C4226" s="1071" t="inlineStr">
        <is>
          <t>Porta de madeira de Correr - 120x210cm (kit completo) - fixação com espuma expansiva</t>
        </is>
      </c>
      <c r="D4226" s="1071" t="inlineStr">
        <is>
          <t>Porta de madeira de Correr - 120x210cm (kit completo) - fixação com espuma expansiva</t>
        </is>
      </c>
      <c r="E4226" s="1072" t="inlineStr">
        <is>
          <t>M2</t>
        </is>
      </c>
      <c r="F4226" s="1071" t="n"/>
      <c r="G4226" s="1073">
        <f t="array" ref="G4226">IF(B4226="insumo",_xlfn.XLOOKUP($D4226,Insumos!$B$1:$B$996,Insumos!$D$1:$D$996),"")</f>
        <v/>
      </c>
      <c r="H4226" s="1073" t="n">
        <v>1549.35</v>
      </c>
      <c r="I4226" s="2163" t="n">
        <v>0</v>
      </c>
      <c r="J4226" s="2163" t="n">
        <v>0</v>
      </c>
      <c r="K4226" s="2163" t="n"/>
    </row>
    <row r="4227" outlineLevel="3" ht="12.75" customHeight="1">
      <c r="A4227" s="82" t="n">
        <v>1</v>
      </c>
      <c r="B4227" s="82" t="inlineStr">
        <is>
          <t>Insumo</t>
        </is>
      </c>
      <c r="C4227" s="82" t="inlineStr">
        <is>
          <t>Porta de madeira de Correr - 120x210cm (kit completo) - fixação com espuma expansiva</t>
        </is>
      </c>
      <c r="D4227" s="82" t="inlineStr">
        <is>
          <t>Porta de madeira de Correr - 120x210cm (kit completo)</t>
        </is>
      </c>
      <c r="E4227" s="11">
        <f t="array" ref="E4227">_xlfn.XLOOKUP(D4227,Insumos!B:B,Insumos!C:$C)</f>
        <v/>
      </c>
      <c r="F4227" s="2164" t="n">
        <v>1</v>
      </c>
      <c r="G4227" s="92">
        <f t="array" ref="G4227">IF(B4227="insumo",_xlfn.XLOOKUP($D4227,Insumos!$B$1:$B$996,Insumos!$D$1:$D$996),"")</f>
        <v/>
      </c>
      <c r="H4227" s="92" t="n">
        <v>1494.35</v>
      </c>
      <c r="I4227" s="2165" t="n">
        <v>0</v>
      </c>
      <c r="J4227" s="2165" t="n">
        <v>0</v>
      </c>
      <c r="K4227" s="2165" t="n"/>
    </row>
    <row r="4228" outlineLevel="3" ht="12.75" customHeight="1">
      <c r="A4228" s="82" t="n">
        <v>24</v>
      </c>
      <c r="B4228" s="82" t="inlineStr">
        <is>
          <t>Insumo</t>
        </is>
      </c>
      <c r="C4228" s="82" t="inlineStr">
        <is>
          <t>Porta de madeira de Correr - 120x210cm (kit completo) - fixação com espuma expansiva</t>
        </is>
      </c>
      <c r="D4228" s="82" t="inlineStr">
        <is>
          <t>Espuma Expansiva de PU 740 gramas</t>
        </is>
      </c>
      <c r="E4228" s="11">
        <f t="array" ref="E4228">_xlfn.XLOOKUP(D4228,Insumos!B:B,Insumos!C:$C)</f>
        <v/>
      </c>
      <c r="F4228" s="2164" t="n">
        <v>1</v>
      </c>
      <c r="G4228" s="92">
        <f t="array" ref="G4228">IF(B4228="insumo",_xlfn.XLOOKUP($D4228,Insumos!$B$1:$B$996,Insumos!$D$1:$D$996),"")</f>
        <v/>
      </c>
      <c r="H4228" s="92" t="n">
        <v>55</v>
      </c>
      <c r="I4228" s="2165" t="n">
        <v>0</v>
      </c>
      <c r="J4228" s="2165" t="n">
        <v>0</v>
      </c>
      <c r="K4228" s="2165" t="n"/>
    </row>
    <row r="4229" outlineLevel="2" ht="12.75" customHeight="1">
      <c r="A4229" s="1071" t="n">
        <v>1</v>
      </c>
      <c r="B4229" s="1071" t="inlineStr">
        <is>
          <t>Serviço</t>
        </is>
      </c>
      <c r="C4229" s="1071" t="inlineStr">
        <is>
          <t>Porta de madeira de Correr - 135x210cm (kit completo) - fixação com espuma expansiva</t>
        </is>
      </c>
      <c r="D4229" s="1071" t="inlineStr">
        <is>
          <t>Porta de madeira de Correr - 135x210cm (kit completo) - fixação com espuma expansiva</t>
        </is>
      </c>
      <c r="E4229" s="1072" t="inlineStr">
        <is>
          <t>M2</t>
        </is>
      </c>
      <c r="F4229" s="1071" t="n"/>
      <c r="G4229" s="1073">
        <f t="array" ref="G4229">IF(B4229="insumo",_xlfn.XLOOKUP($D4229,Insumos!$B$1:$B$996,Insumos!$D$1:$D$996),"")</f>
        <v/>
      </c>
      <c r="H4229" s="1073" t="n">
        <v>1888.975</v>
      </c>
      <c r="I4229" s="2163" t="n">
        <v>0</v>
      </c>
      <c r="J4229" s="2163" t="n">
        <v>0</v>
      </c>
      <c r="K4229" s="2163" t="n"/>
    </row>
    <row r="4230" outlineLevel="3" ht="12.75" customHeight="1">
      <c r="A4230" s="82" t="n">
        <v>1</v>
      </c>
      <c r="B4230" s="82" t="inlineStr">
        <is>
          <t>Insumo</t>
        </is>
      </c>
      <c r="C4230" s="82" t="inlineStr">
        <is>
          <t>Porta de madeira de Correr - 135x210cm (kit completo) - fixação com espuma expansiva</t>
        </is>
      </c>
      <c r="D4230" s="82" t="inlineStr">
        <is>
          <t>Porta de madeira de Correr - 135x210cm (kit completo)</t>
        </is>
      </c>
      <c r="E4230" s="11">
        <f t="array" ref="E4230">_xlfn.XLOOKUP(D4230,Insumos!B:B,Insumos!C:$C)</f>
        <v/>
      </c>
      <c r="F4230" s="2164" t="n">
        <v>1</v>
      </c>
      <c r="G4230" s="92">
        <f t="array" ref="G4230">IF(B4230="insumo",_xlfn.XLOOKUP($D4230,Insumos!$B$1:$B$996,Insumos!$D$1:$D$996),"")</f>
        <v/>
      </c>
      <c r="H4230" s="92" t="n">
        <v>1833.975</v>
      </c>
      <c r="I4230" s="2165" t="n">
        <v>0</v>
      </c>
      <c r="J4230" s="2165" t="n">
        <v>0</v>
      </c>
      <c r="K4230" s="2165" t="n"/>
    </row>
    <row r="4231" outlineLevel="3" ht="12.75" customHeight="1">
      <c r="A4231" s="82" t="n">
        <v>24</v>
      </c>
      <c r="B4231" s="82" t="inlineStr">
        <is>
          <t>Insumo</t>
        </is>
      </c>
      <c r="C4231" s="82" t="inlineStr">
        <is>
          <t>Porta de madeira de Correr - 135x210cm (kit completo) - fixação com espuma expansiva</t>
        </is>
      </c>
      <c r="D4231" s="82" t="inlineStr">
        <is>
          <t>Espuma Expansiva de PU 740 gramas</t>
        </is>
      </c>
      <c r="E4231" s="11">
        <f t="array" ref="E4231">_xlfn.XLOOKUP(D4231,Insumos!B:B,Insumos!C:$C)</f>
        <v/>
      </c>
      <c r="F4231" s="2164" t="n">
        <v>1</v>
      </c>
      <c r="G4231" s="92">
        <f t="array" ref="G4231">IF(B4231="insumo",_xlfn.XLOOKUP($D4231,Insumos!$B$1:$B$996,Insumos!$D$1:$D$996),"")</f>
        <v/>
      </c>
      <c r="H4231" s="92" t="n">
        <v>55</v>
      </c>
      <c r="I4231" s="2165" t="n">
        <v>0</v>
      </c>
      <c r="J4231" s="2165" t="n">
        <v>0</v>
      </c>
      <c r="K4231" s="2165" t="n"/>
    </row>
    <row r="4232" outlineLevel="2" ht="12.75" customHeight="1">
      <c r="A4232" s="1071" t="n">
        <v>1</v>
      </c>
      <c r="B4232" s="1071" t="inlineStr">
        <is>
          <t>Serviço</t>
        </is>
      </c>
      <c r="C4232" s="1071" t="inlineStr">
        <is>
          <t>Porta de madeira de Correr - 150x210cm (kit completo) - fixação com espuma expansiva</t>
        </is>
      </c>
      <c r="D4232" s="1071" t="inlineStr">
        <is>
          <t>Porta de madeira de Correr - 150x210cm (kit completo) - fixação com espuma expansiva</t>
        </is>
      </c>
      <c r="E4232" s="1072" t="inlineStr">
        <is>
          <t>M2</t>
        </is>
      </c>
      <c r="F4232" s="1071" t="n"/>
      <c r="G4232" s="1073">
        <f t="array" ref="G4232">IF(B4232="insumo",_xlfn.XLOOKUP($D4232,Insumos!$B$1:$B$996,Insumos!$D$1:$D$996),"")</f>
        <v/>
      </c>
      <c r="H4232" s="1073" t="n">
        <v>2092.75</v>
      </c>
      <c r="I4232" s="2163" t="n">
        <v>0</v>
      </c>
      <c r="J4232" s="2163" t="n">
        <v>0</v>
      </c>
      <c r="K4232" s="2163" t="n"/>
    </row>
    <row r="4233" outlineLevel="3" ht="12.75" customHeight="1">
      <c r="A4233" s="82" t="n">
        <v>1</v>
      </c>
      <c r="B4233" s="82" t="inlineStr">
        <is>
          <t>Insumo</t>
        </is>
      </c>
      <c r="C4233" s="82" t="inlineStr">
        <is>
          <t>Porta de madeira de Correr - 150x210cm (kit completo) - fixação com espuma expansiva</t>
        </is>
      </c>
      <c r="D4233" s="82" t="inlineStr">
        <is>
          <t>Porta de madeira de Correr - 150x210cm (kit completo)</t>
        </is>
      </c>
      <c r="E4233" s="11">
        <f t="array" ref="E4233">_xlfn.XLOOKUP(D4233,Insumos!B:B,Insumos!C:$C)</f>
        <v/>
      </c>
      <c r="F4233" s="2164" t="n">
        <v>1</v>
      </c>
      <c r="G4233" s="92">
        <f t="array" ref="G4233">IF(B4233="insumo",_xlfn.XLOOKUP($D4233,Insumos!$B$1:$B$996,Insumos!$D$1:$D$996),"")</f>
        <v/>
      </c>
      <c r="H4233" s="92" t="n">
        <v>2037.75</v>
      </c>
      <c r="I4233" s="2165" t="n">
        <v>0</v>
      </c>
      <c r="J4233" s="2165" t="n">
        <v>0</v>
      </c>
      <c r="K4233" s="2165" t="n"/>
    </row>
    <row r="4234" outlineLevel="3" ht="12.75" customHeight="1">
      <c r="A4234" s="82" t="n">
        <v>24</v>
      </c>
      <c r="B4234" s="82" t="inlineStr">
        <is>
          <t>Insumo</t>
        </is>
      </c>
      <c r="C4234" s="82" t="inlineStr">
        <is>
          <t>Porta de madeira de Correr - 150x210cm (kit completo) - fixação com espuma expansiva</t>
        </is>
      </c>
      <c r="D4234" s="82" t="inlineStr">
        <is>
          <t>Espuma Expansiva de PU 740 gramas</t>
        </is>
      </c>
      <c r="E4234" s="11">
        <f t="array" ref="E4234">_xlfn.XLOOKUP(D4234,Insumos!B:B,Insumos!C:$C)</f>
        <v/>
      </c>
      <c r="F4234" s="2164" t="n">
        <v>1</v>
      </c>
      <c r="G4234" s="92">
        <f t="array" ref="G4234">IF(B4234="insumo",_xlfn.XLOOKUP($D4234,Insumos!$B$1:$B$996,Insumos!$D$1:$D$996),"")</f>
        <v/>
      </c>
      <c r="H4234" s="92" t="n">
        <v>55</v>
      </c>
      <c r="I4234" s="2165" t="n">
        <v>0</v>
      </c>
      <c r="J4234" s="2165" t="n">
        <v>0</v>
      </c>
      <c r="K4234" s="2165" t="n"/>
    </row>
    <row r="4235" outlineLevel="1" ht="15.75" customHeight="1">
      <c r="A4235" s="1090" t="n">
        <v>1</v>
      </c>
      <c r="B4235" s="1090" t="inlineStr">
        <is>
          <t>Subetapa</t>
        </is>
      </c>
      <c r="C4235" s="1090" t="inlineStr">
        <is>
          <t>Porta de madeira de Correr - 150x210cm (kit completo) - fixação com espuma expansiva</t>
        </is>
      </c>
      <c r="D4235" s="1090" t="inlineStr">
        <is>
          <t>FERRAGENS E FECHADURAS</t>
        </is>
      </c>
      <c r="E4235" s="1091" t="n"/>
      <c r="F4235" s="2160" t="n"/>
      <c r="G4235" s="1091" t="n"/>
      <c r="H4235" s="1091" t="n">
        <v>0</v>
      </c>
      <c r="I4235" s="2160" t="n">
        <v>0</v>
      </c>
      <c r="J4235" s="2160" t="n">
        <v>0</v>
      </c>
      <c r="K4235" s="2160" t="n"/>
    </row>
    <row r="4236" outlineLevel="2" ht="15.75" customHeight="1">
      <c r="A4236" s="1067" t="n">
        <v>1</v>
      </c>
      <c r="B4236" s="1067" t="inlineStr">
        <is>
          <t>Serviço</t>
        </is>
      </c>
      <c r="C4236" s="1067" t="inlineStr">
        <is>
          <t>Fechadura Eletronica</t>
        </is>
      </c>
      <c r="D4236" s="1067" t="inlineStr">
        <is>
          <t>Fechadura Eletronica</t>
        </is>
      </c>
      <c r="E4236" s="1068" t="inlineStr">
        <is>
          <t>M2</t>
        </is>
      </c>
      <c r="F4236" s="1067" t="n"/>
      <c r="G4236" s="1069">
        <f t="array" ref="G4236">IF(B4236="insumo",_xlfn.XLOOKUP($D4236,Insumos!$B$1:$B$996,Insumos!$D$1:$D$996),"")</f>
        <v/>
      </c>
      <c r="H4236" s="1069" t="n">
        <v>1291.64</v>
      </c>
      <c r="I4236" s="2161" t="n">
        <v>41</v>
      </c>
      <c r="J4236" s="2161" t="n">
        <v>52957.24</v>
      </c>
      <c r="K4236" s="2161" t="n"/>
    </row>
    <row r="4237" outlineLevel="3" ht="15.75" customHeight="1">
      <c r="A4237" s="10" t="n">
        <v>1</v>
      </c>
      <c r="B4237" s="10" t="inlineStr">
        <is>
          <t>Insumo</t>
        </is>
      </c>
      <c r="C4237" s="10" t="inlineStr">
        <is>
          <t>Fechadura Eletronica</t>
        </is>
      </c>
      <c r="D4237" s="10" t="inlineStr">
        <is>
          <t>Fechadura Inteligente Eletrônica Facial Digital D22 Cor Preto</t>
        </is>
      </c>
      <c r="E4237" s="11">
        <f t="array" ref="E4237">_xlfn.XLOOKUP(D4237,Insumos!B:B,Insumos!C:$C)</f>
        <v/>
      </c>
      <c r="F4237" s="14" t="n">
        <v>1</v>
      </c>
      <c r="G4237" s="92">
        <f t="array" ref="G4237">IF(B4237="insumo",_xlfn.XLOOKUP($D4237,Insumos!$B$1:$B$996,Insumos!$D$1:$D$996),"")</f>
        <v/>
      </c>
      <c r="H4237" s="92" t="n">
        <v>1291.64</v>
      </c>
      <c r="I4237" s="2162" t="n">
        <v>41</v>
      </c>
      <c r="J4237" s="2162" t="n">
        <v>52957.24</v>
      </c>
      <c r="K4237" s="2162" t="n"/>
    </row>
    <row r="4238" outlineLevel="2" ht="15.75" customHeight="1">
      <c r="A4238" s="1067" t="n">
        <v>1</v>
      </c>
      <c r="B4238" s="1067" t="inlineStr">
        <is>
          <t>Serviço</t>
        </is>
      </c>
      <c r="C4238" s="1067" t="inlineStr">
        <is>
          <t xml:space="preserve">Fechadura comum </t>
        </is>
      </c>
      <c r="D4238" s="1067" t="inlineStr">
        <is>
          <t xml:space="preserve">Fechadura comum </t>
        </is>
      </c>
      <c r="E4238" s="1068" t="inlineStr">
        <is>
          <t>M2</t>
        </is>
      </c>
      <c r="F4238" s="1067" t="n"/>
      <c r="G4238" s="1069">
        <f t="array" ref="G4238">IF(B4238="insumo",_xlfn.XLOOKUP($D4238,Insumos!$B$1:$B$996,Insumos!$D$1:$D$996),"")</f>
        <v/>
      </c>
      <c r="H4238" s="1069" t="n">
        <v>232.46</v>
      </c>
      <c r="I4238" s="2161" t="n">
        <v>0</v>
      </c>
      <c r="J4238" s="2161" t="n">
        <v>0</v>
      </c>
      <c r="K4238" s="2161" t="n"/>
    </row>
    <row r="4239" outlineLevel="3" ht="15.75" customHeight="1">
      <c r="A4239" s="10" t="n">
        <v>1</v>
      </c>
      <c r="B4239" s="10" t="inlineStr">
        <is>
          <t>Insumo</t>
        </is>
      </c>
      <c r="C4239" s="10" t="inlineStr">
        <is>
          <t xml:space="preserve">Fechadura comum </t>
        </is>
      </c>
      <c r="D4239" s="10" t="inlineStr">
        <is>
          <t>Fechadura Arouca para Porta do Quarto Preto 55mm</t>
        </is>
      </c>
      <c r="E4239" s="11">
        <f t="array" ref="E4239">_xlfn.XLOOKUP(D4239,Insumos!B:B,Insumos!C:$C)</f>
        <v/>
      </c>
      <c r="F4239" s="14" t="n">
        <v>1</v>
      </c>
      <c r="G4239" s="92">
        <f t="array" ref="G4239">IF(B4239="insumo",_xlfn.XLOOKUP($D4239,Insumos!$B$1:$B$996,Insumos!$D$1:$D$996),"")</f>
        <v/>
      </c>
      <c r="H4239" s="92" t="n">
        <v>232.46</v>
      </c>
      <c r="I4239" s="2162" t="n">
        <v>0</v>
      </c>
      <c r="J4239" s="2162" t="n">
        <v>0</v>
      </c>
      <c r="K4239" s="2162" t="n"/>
    </row>
    <row r="4240" outlineLevel="2" ht="15.75" customHeight="1">
      <c r="A4240" s="1067" t="n">
        <v>1</v>
      </c>
      <c r="B4240" s="1067" t="inlineStr">
        <is>
          <t>Serviço</t>
        </is>
      </c>
      <c r="C4240" s="1067" t="inlineStr">
        <is>
          <t>Ferragens para Portas - Maçaneta, fechadura, dobradiça.</t>
        </is>
      </c>
      <c r="D4240" s="1067" t="inlineStr">
        <is>
          <t>Ferragens para Portas - Maçaneta, fechadura, dobradiça.</t>
        </is>
      </c>
      <c r="E4240" s="1068" t="inlineStr">
        <is>
          <t>M2</t>
        </is>
      </c>
      <c r="F4240" s="1067" t="n"/>
      <c r="G4240" s="1069">
        <f t="array" ref="G4240">IF(B4240="insumo",_xlfn.XLOOKUP($D4240,Insumos!$B$1:$B$996,Insumos!$D$1:$D$996),"")</f>
        <v/>
      </c>
      <c r="H4240" s="1069" t="n">
        <v>912.2641553398061</v>
      </c>
      <c r="I4240" s="2161" t="n">
        <v>0</v>
      </c>
      <c r="J4240" s="2161" t="n">
        <v>0</v>
      </c>
      <c r="K4240" s="2161" t="n"/>
    </row>
    <row r="4241" outlineLevel="3" ht="15.75" customHeight="1">
      <c r="A4241" s="10" t="n">
        <v>1</v>
      </c>
      <c r="B4241" s="10" t="inlineStr">
        <is>
          <t>Insumo</t>
        </is>
      </c>
      <c r="C4241" s="10" t="inlineStr">
        <is>
          <t>Ferragens para Portas - Maçaneta, fechadura, dobradiça.</t>
        </is>
      </c>
      <c r="D4241" s="10" t="inlineStr">
        <is>
          <t>Ferragens para Portas - Maçaneta, fechadura, dobradiça.</t>
        </is>
      </c>
      <c r="E4241" s="11">
        <f t="array" ref="E4241">_xlfn.XLOOKUP(D4241,Insumos!B:B,Insumos!C:$C)</f>
        <v/>
      </c>
      <c r="F4241" s="14" t="n">
        <v>1</v>
      </c>
      <c r="G4241" s="92">
        <f t="array" ref="G4241">IF(B4241="insumo",_xlfn.XLOOKUP($D4241,Insumos!$B$1:$B$996,Insumos!$D$1:$D$996),"")</f>
        <v/>
      </c>
      <c r="H4241" s="92" t="n">
        <v>912.2641553398061</v>
      </c>
      <c r="I4241" s="2162" t="n">
        <v>0</v>
      </c>
      <c r="J4241" s="2162" t="n">
        <v>0</v>
      </c>
      <c r="K4241" s="2162" t="n"/>
    </row>
    <row r="4242" outlineLevel="1" ht="15.75" customHeight="1">
      <c r="A4242" s="1090" t="n">
        <v>1</v>
      </c>
      <c r="B4242" s="1090" t="inlineStr">
        <is>
          <t>Subetapa</t>
        </is>
      </c>
      <c r="C4242" s="1090" t="inlineStr">
        <is>
          <t>Ferragens para Portas - Maçaneta, fechadura, dobradiça.</t>
        </is>
      </c>
      <c r="D4242" s="1090" t="inlineStr">
        <is>
          <t>PCF</t>
        </is>
      </c>
      <c r="E4242" s="1091" t="n"/>
      <c r="F4242" s="2160" t="n"/>
      <c r="G4242" s="1091" t="n"/>
      <c r="H4242" s="1091" t="n">
        <v>0</v>
      </c>
      <c r="I4242" s="2160" t="n">
        <v>0</v>
      </c>
      <c r="J4242" s="2160" t="n">
        <v>0</v>
      </c>
      <c r="K4242" s="2160" t="n"/>
    </row>
    <row r="4243" outlineLevel="2" ht="15.75" customHeight="1">
      <c r="A4243" s="1067" t="n">
        <v>1</v>
      </c>
      <c r="B4243" s="1067" t="inlineStr">
        <is>
          <t>Serviço</t>
        </is>
      </c>
      <c r="C4243" s="1067" t="inlineStr">
        <is>
          <t>Porta corta-fogo, 1 folha, 80x210 cm</t>
        </is>
      </c>
      <c r="D4243" s="1067" t="inlineStr">
        <is>
          <t>Porta corta-fogo, 1 folha, 80x210 cm</t>
        </is>
      </c>
      <c r="E4243" s="1068" t="inlineStr">
        <is>
          <t>M2</t>
        </is>
      </c>
      <c r="F4243" s="1067" t="n"/>
      <c r="G4243" s="1069">
        <f t="array" ref="G4243">IF(B4243="insumo",_xlfn.XLOOKUP($D4243,Insumos!$B$1:$B$996,Insumos!$D$1:$D$996),"")</f>
        <v/>
      </c>
      <c r="H4243" s="1069" t="n">
        <v>1100</v>
      </c>
      <c r="I4243" s="2161" t="n">
        <v>67</v>
      </c>
      <c r="J4243" s="2161" t="n">
        <v>73700</v>
      </c>
      <c r="K4243" s="2161" t="n"/>
    </row>
    <row r="4244" outlineLevel="3" ht="15.75" customHeight="1">
      <c r="A4244" s="10" t="n">
        <v>1</v>
      </c>
      <c r="B4244" s="10" t="inlineStr">
        <is>
          <t>Insumo</t>
        </is>
      </c>
      <c r="C4244" s="10" t="inlineStr">
        <is>
          <t>Porta corta-fogo, 1 folha, 80x210 cm</t>
        </is>
      </c>
      <c r="D4244" s="10" t="inlineStr">
        <is>
          <t>Porta corta-fogo, 1 folha, 80x210 cm</t>
        </is>
      </c>
      <c r="E4244" s="11">
        <f t="array" ref="E4244">_xlfn.XLOOKUP(D4244,Insumos!B:B,Insumos!C:$C)</f>
        <v/>
      </c>
      <c r="F4244" s="14" t="n">
        <v>1</v>
      </c>
      <c r="G4244" s="92">
        <f t="array" ref="G4244">IF(B4244="insumo",_xlfn.XLOOKUP($D4244,Insumos!$B$1:$B$996,Insumos!$D$1:$D$996),"")</f>
        <v/>
      </c>
      <c r="H4244" s="92" t="n">
        <v>1100</v>
      </c>
      <c r="I4244" s="2162" t="n">
        <v>67</v>
      </c>
      <c r="J4244" s="2162" t="n">
        <v>73700</v>
      </c>
      <c r="K4244" s="2162" t="n"/>
    </row>
    <row r="4245" outlineLevel="2" ht="12.75" customHeight="1">
      <c r="A4245" s="1071" t="n">
        <v>1</v>
      </c>
      <c r="B4245" s="1071" t="inlineStr">
        <is>
          <t>Serviço</t>
        </is>
      </c>
      <c r="C4245" s="1071" t="inlineStr">
        <is>
          <t>Porta corta-fogo, 1 folha, 90x210 cm</t>
        </is>
      </c>
      <c r="D4245" s="1071" t="inlineStr">
        <is>
          <t>Porta corta-fogo, 1 folha, 90x210 cm</t>
        </is>
      </c>
      <c r="E4245" s="1072" t="inlineStr">
        <is>
          <t>M2</t>
        </is>
      </c>
      <c r="F4245" s="1071" t="n"/>
      <c r="G4245" s="1073">
        <f t="array" ref="G4245">IF(B4245="insumo",_xlfn.XLOOKUP($D4245,Insumos!$B$1:$B$996,Insumos!$D$1:$D$996),"")</f>
        <v/>
      </c>
      <c r="H4245" s="1073" t="n">
        <v>1237.5</v>
      </c>
      <c r="I4245" s="2163" t="n">
        <v>25</v>
      </c>
      <c r="J4245" s="2163" t="n">
        <v>30937.5</v>
      </c>
      <c r="K4245" s="2163" t="n"/>
    </row>
    <row r="4246" outlineLevel="3" ht="12.75" customHeight="1">
      <c r="A4246" s="82" t="n">
        <v>1</v>
      </c>
      <c r="B4246" s="82" t="inlineStr">
        <is>
          <t>Insumo</t>
        </is>
      </c>
      <c r="C4246" s="82" t="inlineStr">
        <is>
          <t>Porta corta-fogo, 1 folha, 90x210 cm</t>
        </is>
      </c>
      <c r="D4246" s="82" t="inlineStr">
        <is>
          <t>Porta corta-fogo, 1 folha, 90x210 cm</t>
        </is>
      </c>
      <c r="E4246" s="11">
        <f t="array" ref="E4246">_xlfn.XLOOKUP(D4246,Insumos!B:B,Insumos!C:$C)</f>
        <v/>
      </c>
      <c r="F4246" s="2164" t="n">
        <v>1</v>
      </c>
      <c r="G4246" s="92">
        <f t="array" ref="G4246">IF(B4246="insumo",_xlfn.XLOOKUP($D4246,Insumos!$B$1:$B$996,Insumos!$D$1:$D$996),"")</f>
        <v/>
      </c>
      <c r="H4246" s="92" t="n">
        <v>1237.5</v>
      </c>
      <c r="I4246" s="2165" t="n">
        <v>25</v>
      </c>
      <c r="J4246" s="2165" t="n">
        <v>30937.5</v>
      </c>
      <c r="K4246" s="2165" t="n"/>
    </row>
    <row r="4247" outlineLevel="2" ht="12.75" customHeight="1">
      <c r="A4247" s="1071" t="n">
        <v>1</v>
      </c>
      <c r="B4247" s="1071" t="inlineStr">
        <is>
          <t>Serviço</t>
        </is>
      </c>
      <c r="C4247" s="1071" t="inlineStr">
        <is>
          <t>Porta corta-fogo, 1 folha, 96x210 cm</t>
        </is>
      </c>
      <c r="D4247" s="1071" t="inlineStr">
        <is>
          <t>Porta corta-fogo, 1 folha, 96x210 cm</t>
        </is>
      </c>
      <c r="E4247" s="1072" t="inlineStr">
        <is>
          <t>M2</t>
        </is>
      </c>
      <c r="F4247" s="1071" t="n"/>
      <c r="G4247" s="1073">
        <f t="array" ref="G4247">IF(B4247="insumo",_xlfn.XLOOKUP($D4247,Insumos!$B$1:$B$996,Insumos!$D$1:$D$996),"")</f>
        <v/>
      </c>
      <c r="H4247" s="1073" t="n">
        <v>2530</v>
      </c>
      <c r="I4247" s="2163" t="n">
        <v>0</v>
      </c>
      <c r="J4247" s="2163" t="n">
        <v>0</v>
      </c>
      <c r="K4247" s="2163" t="n"/>
    </row>
    <row r="4248" outlineLevel="3" ht="12.75" customHeight="1">
      <c r="A4248" s="82" t="n">
        <v>1</v>
      </c>
      <c r="B4248" s="82" t="inlineStr">
        <is>
          <t>Insumo</t>
        </is>
      </c>
      <c r="C4248" s="82" t="inlineStr">
        <is>
          <t>Porta corta-fogo, 1 folha, 96x210 cm</t>
        </is>
      </c>
      <c r="D4248" s="82" t="inlineStr">
        <is>
          <t>Porta corta-fogo, 1 folha, 96x210 cm</t>
        </is>
      </c>
      <c r="E4248" s="11">
        <f t="array" ref="E4248">_xlfn.XLOOKUP(D4248,Insumos!B:B,Insumos!C:$C)</f>
        <v/>
      </c>
      <c r="F4248" s="2164" t="n">
        <v>1</v>
      </c>
      <c r="G4248" s="92">
        <f t="array" ref="G4248">IF(B4248="insumo",_xlfn.XLOOKUP($D4248,Insumos!$B$1:$B$996,Insumos!$D$1:$D$996),"")</f>
        <v/>
      </c>
      <c r="H4248" s="92" t="n">
        <v>2530</v>
      </c>
      <c r="I4248" s="2165" t="n">
        <v>0</v>
      </c>
      <c r="J4248" s="2165" t="n">
        <v>0</v>
      </c>
      <c r="K4248" s="2165" t="n"/>
    </row>
    <row r="4249" outlineLevel="2" ht="15.75" customHeight="1">
      <c r="A4249" s="1067" t="n">
        <v>1</v>
      </c>
      <c r="B4249" s="1067" t="inlineStr">
        <is>
          <t>Serviço</t>
        </is>
      </c>
      <c r="C4249" s="1067" t="inlineStr">
        <is>
          <t>Porta corta-fogo, 2 folha, 152x126 cm</t>
        </is>
      </c>
      <c r="D4249" s="1067" t="inlineStr">
        <is>
          <t>Porta corta-fogo, 2 folha, 152x126 cm</t>
        </is>
      </c>
      <c r="E4249" s="1068" t="inlineStr">
        <is>
          <t>M2</t>
        </is>
      </c>
      <c r="F4249" s="1067" t="n"/>
      <c r="G4249" s="1069">
        <f t="array" ref="G4249">IF(B4249="insumo",_xlfn.XLOOKUP($D4249,Insumos!$B$1:$B$996,Insumos!$D$1:$D$996),"")</f>
        <v/>
      </c>
      <c r="H4249" s="1069" t="n">
        <v>1089.60846206897</v>
      </c>
      <c r="I4249" s="2161" t="n">
        <v>0</v>
      </c>
      <c r="J4249" s="2161" t="n">
        <v>0</v>
      </c>
      <c r="K4249" s="2161" t="n"/>
    </row>
    <row r="4250" outlineLevel="3" ht="15.75" customHeight="1">
      <c r="A4250" s="10" t="n">
        <v>1</v>
      </c>
      <c r="B4250" s="10" t="inlineStr">
        <is>
          <t>Insumo</t>
        </is>
      </c>
      <c r="C4250" s="10" t="inlineStr">
        <is>
          <t>Porta corta-fogo, 2 folha, 152x126 cm</t>
        </is>
      </c>
      <c r="D4250" s="10" t="inlineStr">
        <is>
          <t>Porta corta-fogo, 2 folha, 152x126 cm</t>
        </is>
      </c>
      <c r="E4250" s="11">
        <f t="array" ref="E4250">_xlfn.XLOOKUP(D4250,Insumos!B:B,Insumos!C:$C)</f>
        <v/>
      </c>
      <c r="F4250" s="14" t="n">
        <v>1</v>
      </c>
      <c r="G4250" s="92">
        <f t="array" ref="G4250">IF(B4250="insumo",_xlfn.XLOOKUP($D4250,Insumos!$B$1:$B$996,Insumos!$D$1:$D$996),"")</f>
        <v/>
      </c>
      <c r="H4250" s="92" t="n">
        <v>1089.60846206897</v>
      </c>
      <c r="I4250" s="2162" t="n">
        <v>0</v>
      </c>
      <c r="J4250" s="2162" t="n">
        <v>0</v>
      </c>
      <c r="K4250" s="2162" t="n"/>
    </row>
    <row r="4251" outlineLevel="2" ht="15.75" customHeight="1">
      <c r="A4251" s="1067" t="n">
        <v>1</v>
      </c>
      <c r="B4251" s="1067" t="inlineStr">
        <is>
          <t>Serviço</t>
        </is>
      </c>
      <c r="C4251" s="1067" t="inlineStr">
        <is>
          <t>Porta corta-fogo, 1 folha, 106x210 cm</t>
        </is>
      </c>
      <c r="D4251" s="1067" t="inlineStr">
        <is>
          <t>Porta corta-fogo, 1 folha, 106x210 cm</t>
        </is>
      </c>
      <c r="E4251" s="1068" t="inlineStr">
        <is>
          <t>M2</t>
        </is>
      </c>
      <c r="F4251" s="1067" t="n"/>
      <c r="G4251" s="1069">
        <f t="array" ref="G4251">IF(B4251="insumo",_xlfn.XLOOKUP($D4251,Insumos!$B$1:$B$996,Insumos!$D$1:$D$996),"")</f>
        <v/>
      </c>
      <c r="H4251" s="1069" t="n">
        <v>3729.34</v>
      </c>
      <c r="I4251" s="2161" t="n">
        <v>0</v>
      </c>
      <c r="J4251" s="2161" t="n">
        <v>0</v>
      </c>
      <c r="K4251" s="2161" t="n"/>
    </row>
    <row r="4252" outlineLevel="3" ht="15.75" customHeight="1">
      <c r="A4252" s="10" t="n">
        <v>1</v>
      </c>
      <c r="B4252" s="10" t="inlineStr">
        <is>
          <t>Insumo</t>
        </is>
      </c>
      <c r="C4252" s="10" t="inlineStr">
        <is>
          <t>Porta corta-fogo, 1 folha, 106x210 cm</t>
        </is>
      </c>
      <c r="D4252" s="10" t="inlineStr">
        <is>
          <t>Porta corta-fogo, 1 folha, 106x210 cm</t>
        </is>
      </c>
      <c r="E4252" s="11">
        <f t="array" ref="E4252">_xlfn.XLOOKUP(D4252,Insumos!B:B,Insumos!C:$C)</f>
        <v/>
      </c>
      <c r="F4252" s="14" t="n">
        <v>1</v>
      </c>
      <c r="G4252" s="92">
        <f t="array" ref="G4252">IF(B4252="insumo",_xlfn.XLOOKUP($D4252,Insumos!$B$1:$B$996,Insumos!$D$1:$D$996),"")</f>
        <v/>
      </c>
      <c r="H4252" s="92" t="n">
        <v>3729.34</v>
      </c>
      <c r="I4252" s="2162" t="n">
        <v>0</v>
      </c>
      <c r="J4252" s="2162" t="n">
        <v>0</v>
      </c>
      <c r="K4252" s="2162" t="n"/>
    </row>
    <row r="4253" outlineLevel="2" ht="15.75" customHeight="1">
      <c r="A4253" s="1067" t="n">
        <v>1</v>
      </c>
      <c r="B4253" s="1067" t="inlineStr">
        <is>
          <t>Serviço</t>
        </is>
      </c>
      <c r="C4253" s="1067" t="inlineStr">
        <is>
          <t>Porta corta-fogo, 1 folha, 96x190cm</t>
        </is>
      </c>
      <c r="D4253" s="1067" t="inlineStr">
        <is>
          <t>Porta corta-fogo, 1 folha, 96x190cm</t>
        </is>
      </c>
      <c r="E4253" s="1068" t="inlineStr">
        <is>
          <t>M2</t>
        </is>
      </c>
      <c r="F4253" s="1067" t="n"/>
      <c r="G4253" s="1069">
        <f t="array" ref="G4253">IF(B4253="insumo",_xlfn.XLOOKUP($D4253,Insumos!$B$1:$B$996,Insumos!$D$1:$D$996),"")</f>
        <v/>
      </c>
      <c r="H4253" s="1069" t="n">
        <v>3523.56</v>
      </c>
      <c r="I4253" s="2161" t="n">
        <v>0</v>
      </c>
      <c r="J4253" s="2161" t="n">
        <v>0</v>
      </c>
      <c r="K4253" s="2161" t="n"/>
    </row>
    <row r="4254" outlineLevel="3" ht="15.75" customHeight="1">
      <c r="A4254" s="10" t="n">
        <v>1</v>
      </c>
      <c r="B4254" s="10" t="inlineStr">
        <is>
          <t>Insumo</t>
        </is>
      </c>
      <c r="C4254" s="10" t="inlineStr">
        <is>
          <t>Porta corta-fogo, 1 folha, 96x190cm</t>
        </is>
      </c>
      <c r="D4254" s="10" t="inlineStr">
        <is>
          <t>Porta corta-fogo, 1 folha, 96x190cm</t>
        </is>
      </c>
      <c r="E4254" s="11">
        <f t="array" ref="E4254">_xlfn.XLOOKUP(D4254,Insumos!B:B,Insumos!C:$C)</f>
        <v/>
      </c>
      <c r="F4254" s="14" t="n">
        <v>1</v>
      </c>
      <c r="G4254" s="92">
        <f t="array" ref="G4254">IF(B4254="insumo",_xlfn.XLOOKUP($D4254,Insumos!$B$1:$B$996,Insumos!$D$1:$D$996),"")</f>
        <v/>
      </c>
      <c r="H4254" s="92" t="n">
        <v>3523.56</v>
      </c>
      <c r="I4254" s="2162" t="n">
        <v>0</v>
      </c>
      <c r="J4254" s="2162" t="n">
        <v>0</v>
      </c>
      <c r="K4254" s="2162" t="n"/>
    </row>
    <row r="4255" outlineLevel="2" ht="15.75" customHeight="1">
      <c r="A4255" s="1067" t="n">
        <v>1</v>
      </c>
      <c r="B4255" s="1067" t="inlineStr">
        <is>
          <t>Serviço</t>
        </is>
      </c>
      <c r="C4255" s="1067" t="inlineStr">
        <is>
          <t>Porta corta-fogo, 1 folha, 90x213cm</t>
        </is>
      </c>
      <c r="D4255" s="1067" t="inlineStr">
        <is>
          <t>Porta corta-fogo, 1 folha, 90x213cm</t>
        </is>
      </c>
      <c r="E4255" s="1068" t="inlineStr">
        <is>
          <t>M2</t>
        </is>
      </c>
      <c r="F4255" s="1067" t="n"/>
      <c r="G4255" s="1069">
        <f t="array" ref="G4255">IF(B4255="insumo",_xlfn.XLOOKUP($D4255,Insumos!$B$1:$B$996,Insumos!$D$1:$D$996),"")</f>
        <v/>
      </c>
      <c r="H4255" s="1069" t="n">
        <v>1754.88</v>
      </c>
      <c r="I4255" s="2161" t="n">
        <v>0</v>
      </c>
      <c r="J4255" s="2161" t="n">
        <v>0</v>
      </c>
      <c r="K4255" s="2161" t="n"/>
    </row>
    <row r="4256" outlineLevel="3" ht="15.75" customHeight="1">
      <c r="A4256" s="10" t="n">
        <v>1</v>
      </c>
      <c r="B4256" s="10" t="inlineStr">
        <is>
          <t>Insumo</t>
        </is>
      </c>
      <c r="C4256" s="10" t="inlineStr">
        <is>
          <t>Porta corta-fogo, 1 folha, 90x213cm</t>
        </is>
      </c>
      <c r="D4256" s="10" t="inlineStr">
        <is>
          <t>Porta corta-fogo, 1 folha, 90x213cm</t>
        </is>
      </c>
      <c r="E4256" s="11">
        <f t="array" ref="E4256">_xlfn.XLOOKUP(D4256,Insumos!B:B,Insumos!C:$C)</f>
        <v/>
      </c>
      <c r="F4256" s="14" t="n">
        <v>1</v>
      </c>
      <c r="G4256" s="92">
        <f t="array" ref="G4256">IF(B4256="insumo",_xlfn.XLOOKUP($D4256,Insumos!$B$1:$B$996,Insumos!$D$1:$D$996),"")</f>
        <v/>
      </c>
      <c r="H4256" s="92" t="n">
        <v>1754.88</v>
      </c>
      <c r="I4256" s="2162" t="n">
        <v>0</v>
      </c>
      <c r="J4256" s="2162" t="n">
        <v>0</v>
      </c>
      <c r="K4256" s="2162" t="n"/>
    </row>
    <row r="4257" outlineLevel="2" ht="15.75" customHeight="1">
      <c r="A4257" s="1067" t="n">
        <v>1</v>
      </c>
      <c r="B4257" s="1067" t="inlineStr">
        <is>
          <t>Serviço</t>
        </is>
      </c>
      <c r="C4257" s="1067" t="inlineStr">
        <is>
          <t>Porta corta-fogo, 1 folha, 80x213cm</t>
        </is>
      </c>
      <c r="D4257" s="1067" t="inlineStr">
        <is>
          <t>Porta corta-fogo, 1 folha, 80x213cm</t>
        </is>
      </c>
      <c r="E4257" s="1068" t="inlineStr">
        <is>
          <t>M2</t>
        </is>
      </c>
      <c r="F4257" s="1067" t="n"/>
      <c r="G4257" s="1069">
        <f t="array" ref="G4257">IF(B4257="insumo",_xlfn.XLOOKUP($D4257,Insumos!$B$1:$B$996,Insumos!$D$1:$D$996),"")</f>
        <v/>
      </c>
      <c r="H4257" s="1069" t="n">
        <v>1754.88</v>
      </c>
      <c r="I4257" s="2161" t="n">
        <v>0</v>
      </c>
      <c r="J4257" s="2161" t="n">
        <v>0</v>
      </c>
      <c r="K4257" s="2161" t="n"/>
    </row>
    <row r="4258" outlineLevel="3" ht="15.75" customHeight="1">
      <c r="A4258" s="10" t="n">
        <v>1</v>
      </c>
      <c r="B4258" s="10" t="inlineStr">
        <is>
          <t>Insumo</t>
        </is>
      </c>
      <c r="C4258" s="10" t="inlineStr">
        <is>
          <t>Porta corta-fogo, 1 folha, 80x213cm</t>
        </is>
      </c>
      <c r="D4258" s="10" t="inlineStr">
        <is>
          <t>Porta corta-fogo, 1 folha, 80x213cm</t>
        </is>
      </c>
      <c r="E4258" s="11">
        <f t="array" ref="E4258">_xlfn.XLOOKUP(D4258,Insumos!B:B,Insumos!C:$C)</f>
        <v/>
      </c>
      <c r="F4258" s="14" t="n">
        <v>1</v>
      </c>
      <c r="G4258" s="92">
        <f t="array" ref="G4258">IF(B4258="insumo",_xlfn.XLOOKUP($D4258,Insumos!$B$1:$B$996,Insumos!$D$1:$D$996),"")</f>
        <v/>
      </c>
      <c r="H4258" s="92" t="n">
        <v>1754.88</v>
      </c>
      <c r="I4258" s="2162" t="n">
        <v>0</v>
      </c>
      <c r="J4258" s="2162" t="n">
        <v>0</v>
      </c>
      <c r="K4258" s="2162" t="n"/>
    </row>
    <row r="4259" outlineLevel="2" ht="15.75" customHeight="1">
      <c r="A4259" s="1067" t="n">
        <v>1</v>
      </c>
      <c r="B4259" s="1067" t="inlineStr">
        <is>
          <t>Serviço</t>
        </is>
      </c>
      <c r="C4259" s="1067" t="inlineStr">
        <is>
          <t>Porta metálica, 1 folha, 80x150 cm</t>
        </is>
      </c>
      <c r="D4259" s="1067" t="inlineStr">
        <is>
          <t>Porta metálica, 1 folha, 80x150 cm</t>
        </is>
      </c>
      <c r="E4259" s="1068" t="inlineStr">
        <is>
          <t>M2</t>
        </is>
      </c>
      <c r="F4259" s="1067" t="n"/>
      <c r="G4259" s="1069">
        <f t="array" ref="G4259">IF(B4259="insumo",_xlfn.XLOOKUP($D4259,Insumos!$B$1:$B$996,Insumos!$D$1:$D$996),"")</f>
        <v/>
      </c>
      <c r="H4259" s="1069" t="n">
        <v>2968</v>
      </c>
      <c r="I4259" s="2161" t="n">
        <v>0</v>
      </c>
      <c r="J4259" s="2161" t="n">
        <v>0</v>
      </c>
      <c r="K4259" s="2161" t="n"/>
    </row>
    <row r="4260" outlineLevel="3" ht="15.75" customHeight="1">
      <c r="A4260" s="10" t="n">
        <v>1</v>
      </c>
      <c r="B4260" s="10" t="inlineStr">
        <is>
          <t>Insumo</t>
        </is>
      </c>
      <c r="C4260" s="10" t="inlineStr">
        <is>
          <t>Porta metálica, 1 folha, 80x150 cm</t>
        </is>
      </c>
      <c r="D4260" s="10" t="inlineStr">
        <is>
          <t>Porta metálica, 1 folha, 80x150 cm</t>
        </is>
      </c>
      <c r="E4260" s="11">
        <f t="array" ref="E4260">_xlfn.XLOOKUP(D4260,Insumos!B:B,Insumos!C:$C)</f>
        <v/>
      </c>
      <c r="F4260" s="14" t="n">
        <v>1</v>
      </c>
      <c r="G4260" s="92">
        <f t="array" ref="G4260">IF(B4260="insumo",_xlfn.XLOOKUP($D4260,Insumos!$B$1:$B$996,Insumos!$D$1:$D$996),"")</f>
        <v/>
      </c>
      <c r="H4260" s="92" t="n">
        <v>2968</v>
      </c>
      <c r="I4260" s="2162" t="n">
        <v>0</v>
      </c>
      <c r="J4260" s="2162" t="n">
        <v>0</v>
      </c>
      <c r="K4260" s="2162" t="n"/>
    </row>
    <row r="4261" outlineLevel="1" ht="15.75" customHeight="1">
      <c r="A4261" s="1090" t="n">
        <v>1</v>
      </c>
      <c r="B4261" s="1090" t="inlineStr">
        <is>
          <t>Subetapa</t>
        </is>
      </c>
      <c r="C4261" s="1090" t="inlineStr">
        <is>
          <t>Porta metálica, 1 folha, 80x150 cm</t>
        </is>
      </c>
      <c r="D4261" s="1090" t="inlineStr">
        <is>
          <t>ESQUADRIAS METÁKICAS</t>
        </is>
      </c>
      <c r="E4261" s="1091" t="n"/>
      <c r="F4261" s="2160" t="n"/>
      <c r="G4261" s="1091" t="n"/>
      <c r="H4261" s="1091" t="n">
        <v>0</v>
      </c>
      <c r="I4261" s="2160" t="n">
        <v>0</v>
      </c>
      <c r="J4261" s="2160" t="n">
        <v>0</v>
      </c>
      <c r="K4261" s="2160" t="n"/>
    </row>
    <row r="4262" outlineLevel="2" ht="15.75" customHeight="1">
      <c r="A4262" s="1067" t="n">
        <v>1</v>
      </c>
      <c r="B4262" s="1067" t="inlineStr">
        <is>
          <t>Serviço</t>
        </is>
      </c>
      <c r="C4262" s="1067" t="inlineStr">
        <is>
          <t>Escada de marinheiro</t>
        </is>
      </c>
      <c r="D4262" s="1067" t="inlineStr">
        <is>
          <t>Escada de marinheiro</t>
        </is>
      </c>
      <c r="E4262" s="1068" t="inlineStr">
        <is>
          <t>M2</t>
        </is>
      </c>
      <c r="F4262" s="1067" t="n"/>
      <c r="G4262" s="1069">
        <f t="array" ref="G4262">IF(B4262="insumo",_xlfn.XLOOKUP($D4262,Insumos!$B$1:$B$996,Insumos!$D$1:$D$996),"")</f>
        <v/>
      </c>
      <c r="H4262" s="1069" t="n">
        <v>2405</v>
      </c>
      <c r="I4262" s="2161" t="n">
        <v>1</v>
      </c>
      <c r="J4262" s="2161" t="n">
        <v>2405</v>
      </c>
      <c r="K4262" s="2161" t="n"/>
    </row>
    <row r="4263" outlineLevel="3" ht="15.75" customHeight="1">
      <c r="A4263" s="10" t="n">
        <v>1</v>
      </c>
      <c r="B4263" s="10" t="inlineStr">
        <is>
          <t>Insumo</t>
        </is>
      </c>
      <c r="C4263" s="10" t="inlineStr">
        <is>
          <t>Escada de marinheiro</t>
        </is>
      </c>
      <c r="D4263" s="10" t="inlineStr">
        <is>
          <t>Escada de marinheiro</t>
        </is>
      </c>
      <c r="E4263" s="11">
        <f t="array" ref="E4263">_xlfn.XLOOKUP(D4263,Insumos!B:B,Insumos!C:$C)</f>
        <v/>
      </c>
      <c r="F4263" s="14" t="n">
        <v>1</v>
      </c>
      <c r="G4263" s="92">
        <f t="array" ref="G4263">IF(B4263="insumo",_xlfn.XLOOKUP($D4263,Insumos!$B$1:$B$996,Insumos!$D$1:$D$996),"")</f>
        <v/>
      </c>
      <c r="H4263" s="92" t="n">
        <v>2405</v>
      </c>
      <c r="I4263" s="2162" t="n">
        <v>1</v>
      </c>
      <c r="J4263" s="2162" t="n">
        <v>2405</v>
      </c>
      <c r="K4263" s="2162" t="n"/>
    </row>
    <row r="4264" outlineLevel="2" ht="12.75" customHeight="1">
      <c r="A4264" s="1071" t="n">
        <v>1</v>
      </c>
      <c r="B4264" s="1071" t="inlineStr">
        <is>
          <t>Serviço</t>
        </is>
      </c>
      <c r="C4264" s="1071" t="inlineStr">
        <is>
          <t>Guarda Corpo metálico (gradil) - fornecimento e instalação</t>
        </is>
      </c>
      <c r="D4264" s="1071" t="inlineStr">
        <is>
          <t>Guarda Corpo metálico (gradil) - fornecimento e instalação</t>
        </is>
      </c>
      <c r="E4264" s="1072" t="inlineStr">
        <is>
          <t>M2</t>
        </is>
      </c>
      <c r="F4264" s="1071" t="n"/>
      <c r="G4264" s="1073">
        <f t="array" ref="G4264">IF(B4264="insumo",_xlfn.XLOOKUP($D4264,Insumos!$B$1:$B$996,Insumos!$D$1:$D$996),"")</f>
        <v/>
      </c>
      <c r="H4264" s="1073" t="n">
        <v>600</v>
      </c>
      <c r="I4264" s="2163" t="n">
        <v>0</v>
      </c>
      <c r="J4264" s="2163" t="n">
        <v>0</v>
      </c>
      <c r="K4264" s="2163" t="n"/>
    </row>
    <row r="4265" outlineLevel="3" ht="12.75" customHeight="1">
      <c r="A4265" s="82" t="n">
        <v>1</v>
      </c>
      <c r="B4265" s="82" t="inlineStr">
        <is>
          <t>Insumo</t>
        </is>
      </c>
      <c r="C4265" s="82" t="inlineStr">
        <is>
          <t>Guarda Corpo metálico (gradil) - fornecimento e instalação</t>
        </is>
      </c>
      <c r="D4265" s="82" t="inlineStr">
        <is>
          <t>Guarda Corpo metálico (gradil) - fornecimento e instalação</t>
        </is>
      </c>
      <c r="E4265" s="11">
        <f t="array" ref="E4265">_xlfn.XLOOKUP(D4265,Insumos!B:B,Insumos!C:$C)</f>
        <v/>
      </c>
      <c r="F4265" s="2164" t="n">
        <v>1</v>
      </c>
      <c r="G4265" s="92">
        <f t="array" ref="G4265">IF(B4265="insumo",_xlfn.XLOOKUP($D4265,Insumos!$B$1:$B$996,Insumos!$D$1:$D$996),"")</f>
        <v/>
      </c>
      <c r="H4265" s="92" t="n">
        <v>600</v>
      </c>
      <c r="I4265" s="2165" t="n">
        <v>0</v>
      </c>
      <c r="J4265" s="2165" t="n">
        <v>0</v>
      </c>
      <c r="K4265" s="2165" t="n"/>
    </row>
    <row r="4266" outlineLevel="2" ht="12.75" customHeight="1">
      <c r="A4266" s="1071" t="n">
        <v>1</v>
      </c>
      <c r="B4266" s="1071" t="inlineStr">
        <is>
          <t>Serviço</t>
        </is>
      </c>
      <c r="C4266" s="1071" t="inlineStr">
        <is>
          <t>Guarda Corpo metálico - inox 304 escovado - fornecimento e instalação</t>
        </is>
      </c>
      <c r="D4266" s="1071" t="inlineStr">
        <is>
          <t>Guarda Corpo metálico - inox 304 escovado - fornecimento e instalação</t>
        </is>
      </c>
      <c r="E4266" s="1072" t="inlineStr">
        <is>
          <t>M2</t>
        </is>
      </c>
      <c r="F4266" s="1071" t="n"/>
      <c r="G4266" s="1073">
        <f t="array" ref="G4266">IF(B4266="insumo",_xlfn.XLOOKUP($D4266,Insumos!$B$1:$B$996,Insumos!$D$1:$D$996),"")</f>
        <v/>
      </c>
      <c r="H4266" s="1073" t="n">
        <v>1240</v>
      </c>
      <c r="I4266" s="2163" t="e">
        <v>#REF!</v>
      </c>
      <c r="J4266" s="2163" t="e">
        <v>#REF!</v>
      </c>
      <c r="K4266" s="2163" t="n"/>
    </row>
    <row r="4267" outlineLevel="3" ht="12.75" customHeight="1">
      <c r="A4267" s="82" t="n">
        <v>1</v>
      </c>
      <c r="B4267" s="82" t="inlineStr">
        <is>
          <t>Insumo</t>
        </is>
      </c>
      <c r="C4267" s="82" t="inlineStr">
        <is>
          <t>Guarda Corpo metálico - inox 304 escovado - fornecimento e instalação</t>
        </is>
      </c>
      <c r="D4267" s="82" t="inlineStr">
        <is>
          <t>Guarda Corpo metálico - inox 304 escovado - fornecimento e instalação</t>
        </is>
      </c>
      <c r="E4267" s="11">
        <f t="array" ref="E4267">_xlfn.XLOOKUP(D4267,Insumos!B:B,Insumos!C:$C)</f>
        <v/>
      </c>
      <c r="F4267" s="2164" t="n">
        <v>1</v>
      </c>
      <c r="G4267" s="92">
        <f t="array" ref="G4267">IF(B4267="insumo",_xlfn.XLOOKUP($D4267,Insumos!$B$1:$B$996,Insumos!$D$1:$D$996),"")</f>
        <v/>
      </c>
      <c r="H4267" s="92" t="n">
        <v>1240</v>
      </c>
      <c r="I4267" s="2165" t="e">
        <v>#REF!</v>
      </c>
      <c r="J4267" s="2165" t="e">
        <v>#REF!</v>
      </c>
      <c r="K4267" s="2165" t="n"/>
    </row>
    <row r="4268" outlineLevel="2" ht="15.75" customHeight="1">
      <c r="A4268" s="1067" t="n">
        <v>1</v>
      </c>
      <c r="B4268" s="1067" t="inlineStr">
        <is>
          <t>Serviço</t>
        </is>
      </c>
      <c r="C4268" s="1067" t="inlineStr">
        <is>
          <t>Escada marinheiro com gaiola de proteção, h=6 m</t>
        </is>
      </c>
      <c r="D4268" s="1067" t="inlineStr">
        <is>
          <t>Escada marinheiro com gaiola de proteção, h=6 m</t>
        </is>
      </c>
      <c r="E4268" s="1068" t="inlineStr">
        <is>
          <t>M2</t>
        </is>
      </c>
      <c r="F4268" s="1067" t="n"/>
      <c r="G4268" s="1069">
        <f t="array" ref="G4268">IF(B4268="insumo",_xlfn.XLOOKUP($D4268,Insumos!$B$1:$B$996,Insumos!$D$1:$D$996),"")</f>
        <v/>
      </c>
      <c r="H4268" s="1069" t="n">
        <v>6500</v>
      </c>
      <c r="I4268" s="2161" t="n">
        <v>0</v>
      </c>
      <c r="J4268" s="2161" t="n">
        <v>0</v>
      </c>
      <c r="K4268" s="2161" t="n"/>
    </row>
    <row r="4269" outlineLevel="3" ht="15.75" customHeight="1">
      <c r="A4269" s="10" t="n">
        <v>1</v>
      </c>
      <c r="B4269" s="10" t="inlineStr">
        <is>
          <t>Insumo</t>
        </is>
      </c>
      <c r="C4269" s="10" t="inlineStr">
        <is>
          <t>Escada marinheiro com gaiola de proteção, h=6 m</t>
        </is>
      </c>
      <c r="D4269" s="10" t="inlineStr">
        <is>
          <t>Escada marinheiro com gaiola de proteção, h=6 m</t>
        </is>
      </c>
      <c r="E4269" s="11">
        <f t="array" ref="E4269">_xlfn.XLOOKUP(D4269,Insumos!B:B,Insumos!C:$C)</f>
        <v/>
      </c>
      <c r="F4269" s="14" t="n">
        <v>1</v>
      </c>
      <c r="G4269" s="92">
        <f t="array" ref="G4269">IF(B4269="insumo",_xlfn.XLOOKUP($D4269,Insumos!$B$1:$B$996,Insumos!$D$1:$D$996),"")</f>
        <v/>
      </c>
      <c r="H4269" s="92" t="n">
        <v>6500</v>
      </c>
      <c r="I4269" s="2162" t="n">
        <v>0</v>
      </c>
      <c r="J4269" s="2162" t="n">
        <v>0</v>
      </c>
      <c r="K4269" s="2162" t="n"/>
    </row>
    <row r="4270" outlineLevel="2" ht="15.75" customHeight="1">
      <c r="A4270" s="1067" t="n">
        <v>1</v>
      </c>
      <c r="B4270" s="1067" t="inlineStr">
        <is>
          <t>Serviço</t>
        </is>
      </c>
      <c r="C4270" s="1067" t="inlineStr">
        <is>
          <t>Gradil metálico, h=0,9cm</t>
        </is>
      </c>
      <c r="D4270" s="1067" t="inlineStr">
        <is>
          <t>Gradil metálico, h=0,9cm</t>
        </is>
      </c>
      <c r="E4270" s="1068" t="inlineStr">
        <is>
          <t>M2</t>
        </is>
      </c>
      <c r="F4270" s="1067" t="n"/>
      <c r="G4270" s="1069">
        <f t="array" ref="G4270">IF(B4270="insumo",_xlfn.XLOOKUP($D4270,Insumos!$B$1:$B$996,Insumos!$D$1:$D$996),"")</f>
        <v/>
      </c>
      <c r="H4270" s="1069" t="n">
        <v>568.926724137931</v>
      </c>
      <c r="I4270" s="2161" t="n">
        <v>0</v>
      </c>
      <c r="J4270" s="2161" t="n">
        <v>0</v>
      </c>
      <c r="K4270" s="2161" t="n"/>
    </row>
    <row r="4271" outlineLevel="3" ht="15.75" customHeight="1">
      <c r="A4271" s="10" t="n">
        <v>2</v>
      </c>
      <c r="B4271" s="10" t="inlineStr">
        <is>
          <t>Insumo</t>
        </is>
      </c>
      <c r="C4271" s="10" t="inlineStr">
        <is>
          <t>Gradil metálico, h=0,9cm</t>
        </is>
      </c>
      <c r="D4271" s="10" t="inlineStr">
        <is>
          <t>Gradil metálico</t>
        </is>
      </c>
      <c r="E4271" s="11">
        <f t="array" ref="E4271">_xlfn.XLOOKUP(D4271,Insumos!B:B,Insumos!C:$C)</f>
        <v/>
      </c>
      <c r="F4271" s="14" t="n">
        <v>1</v>
      </c>
      <c r="G4271" s="92">
        <f t="array" ref="G4271">IF(B4271="insumo",_xlfn.XLOOKUP($D4271,Insumos!$B$1:$B$996,Insumos!$D$1:$D$996),"")</f>
        <v/>
      </c>
      <c r="H4271" s="92" t="n">
        <v>568.926724137931</v>
      </c>
      <c r="I4271" s="2162" t="n">
        <v>0</v>
      </c>
      <c r="J4271" s="2162" t="n">
        <v>0</v>
      </c>
      <c r="K4271" s="2162" t="n"/>
    </row>
    <row r="4272" outlineLevel="1" ht="15.75" customHeight="1">
      <c r="A4272" s="1090" t="n">
        <v>6</v>
      </c>
      <c r="B4272" s="1090" t="inlineStr">
        <is>
          <t>Subetapa</t>
        </is>
      </c>
      <c r="C4272" s="1090" t="inlineStr">
        <is>
          <t>Gradil metálico, h=0,9cm</t>
        </is>
      </c>
      <c r="D4272" s="1090" t="inlineStr">
        <is>
          <t>MÃO DE OBRA</t>
        </is>
      </c>
      <c r="E4272" s="1091" t="n"/>
      <c r="F4272" s="2160" t="n"/>
      <c r="G4272" s="1091" t="n"/>
      <c r="H4272" s="1091" t="n">
        <v>0</v>
      </c>
      <c r="I4272" s="2160" t="n">
        <v>0</v>
      </c>
      <c r="J4272" s="2160" t="n">
        <v>0</v>
      </c>
      <c r="K4272" s="2160" t="n"/>
    </row>
    <row r="4273" outlineLevel="2" ht="15.75" customHeight="1">
      <c r="A4273" s="1067" t="n">
        <v>1</v>
      </c>
      <c r="B4273" s="1067" t="inlineStr">
        <is>
          <t>Serviço</t>
        </is>
      </c>
      <c r="C4273" s="1067" t="inlineStr">
        <is>
          <t>Mão de obra para instalação de portas corta-fogo</t>
        </is>
      </c>
      <c r="D4273" s="1067" t="inlineStr">
        <is>
          <t>Mão de obra para instalação de portas corta-fogo</t>
        </is>
      </c>
      <c r="E4273" s="1068" t="inlineStr">
        <is>
          <t>M2</t>
        </is>
      </c>
      <c r="F4273" s="1067" t="n"/>
      <c r="G4273" s="1069">
        <f t="array" ref="G4273">IF(B4273="insumo",_xlfn.XLOOKUP($D4273,Insumos!$B$1:$B$996,Insumos!$D$1:$D$996),"")</f>
        <v/>
      </c>
      <c r="H4273" s="1069" t="n">
        <v>300</v>
      </c>
      <c r="I4273" s="2161" t="n">
        <v>92</v>
      </c>
      <c r="J4273" s="2161" t="n">
        <v>27600</v>
      </c>
      <c r="K4273" s="2161" t="n"/>
    </row>
    <row r="4274" outlineLevel="3" ht="15.75" customHeight="1">
      <c r="A4274" s="10" t="n">
        <v>1</v>
      </c>
      <c r="B4274" s="10" t="inlineStr">
        <is>
          <t>Insumo</t>
        </is>
      </c>
      <c r="C4274" s="10" t="inlineStr">
        <is>
          <t>Mão de obra para instalação de portas corta-fogo</t>
        </is>
      </c>
      <c r="D4274" s="10" t="inlineStr">
        <is>
          <t>Mão de obra para instalação de portas corta-fogo</t>
        </is>
      </c>
      <c r="E4274" s="11">
        <f t="array" ref="E4274">_xlfn.XLOOKUP(D4274,Insumos!B:B,Insumos!C:$C)</f>
        <v/>
      </c>
      <c r="F4274" s="14" t="n">
        <v>1</v>
      </c>
      <c r="G4274" s="92">
        <f t="array" ref="G4274">IF(B4274="insumo",_xlfn.XLOOKUP($D4274,Insumos!$B$1:$B$996,Insumos!$D$1:$D$996),"")</f>
        <v/>
      </c>
      <c r="H4274" s="92" t="n">
        <v>300</v>
      </c>
      <c r="I4274" s="2162" t="n">
        <v>92</v>
      </c>
      <c r="J4274" s="2162" t="n">
        <v>27600</v>
      </c>
      <c r="K4274" s="2162" t="n"/>
    </row>
    <row r="4275" outlineLevel="2" ht="15.75" customHeight="1">
      <c r="A4275" s="1067" t="n">
        <v>1</v>
      </c>
      <c r="B4275" s="1067" t="inlineStr">
        <is>
          <t>Serviço</t>
        </is>
      </c>
      <c r="C4275" s="1067" t="inlineStr">
        <is>
          <t>Mão de obra para instalação de portas de madeira</t>
        </is>
      </c>
      <c r="D4275" s="1067" t="inlineStr">
        <is>
          <t>Mão de obra para instalação de portas de madeira</t>
        </is>
      </c>
      <c r="E4275" s="1068" t="inlineStr">
        <is>
          <t>M2</t>
        </is>
      </c>
      <c r="F4275" s="1075" t="n"/>
      <c r="G4275" s="1069">
        <f t="array" ref="G4275">IF(B4275="insumo",_xlfn.XLOOKUP($D4275,Insumos!$B$1:$B$996,Insumos!$D$1:$D$996),"")</f>
        <v/>
      </c>
      <c r="H4275" s="1069" t="n">
        <v>300</v>
      </c>
      <c r="I4275" s="2161" t="n">
        <v>432</v>
      </c>
      <c r="J4275" s="2161" t="n">
        <v>129600</v>
      </c>
      <c r="K4275" s="2161" t="n"/>
    </row>
    <row r="4276" outlineLevel="3" ht="15.75" customHeight="1">
      <c r="A4276" s="10" t="n">
        <v>1</v>
      </c>
      <c r="B4276" s="10" t="inlineStr">
        <is>
          <t>Insumo</t>
        </is>
      </c>
      <c r="C4276" s="10" t="inlineStr">
        <is>
          <t>Mão de obra para instalação de portas de madeira</t>
        </is>
      </c>
      <c r="D4276" s="10" t="inlineStr">
        <is>
          <t>Mão de obra para instalação de portas de madeira</t>
        </is>
      </c>
      <c r="E4276" s="11">
        <f t="array" ref="E4276">_xlfn.XLOOKUP(D4276,Insumos!B:B,Insumos!C:$C)</f>
        <v/>
      </c>
      <c r="F4276" s="14" t="n">
        <v>1</v>
      </c>
      <c r="G4276" s="92">
        <f t="array" ref="G4276">IF(B4276="insumo",_xlfn.XLOOKUP($D4276,Insumos!$B$1:$B$996,Insumos!$D$1:$D$996),"")</f>
        <v/>
      </c>
      <c r="H4276" s="92" t="n">
        <v>300</v>
      </c>
      <c r="I4276" s="2162" t="n">
        <v>432</v>
      </c>
      <c r="J4276" s="2162" t="n">
        <v>129600</v>
      </c>
      <c r="K4276" s="2162" t="n"/>
    </row>
    <row r="4277" ht="15.75" customHeight="1">
      <c r="A4277" s="7" t="n">
        <v>1</v>
      </c>
      <c r="B4277" s="7" t="inlineStr">
        <is>
          <t>Etapa</t>
        </is>
      </c>
      <c r="C4277" s="7" t="inlineStr">
        <is>
          <t>Mão de obra para instalação de portas de madeira</t>
        </is>
      </c>
      <c r="D4277" s="7" t="inlineStr">
        <is>
          <t>FACHADA</t>
        </is>
      </c>
      <c r="E4277" s="8" t="n"/>
      <c r="F4277" s="2159" t="n"/>
      <c r="G4277" s="91">
        <f t="array" ref="G4277">IF(B4277="insumo",_xlfn.XLOOKUP($D4277,Insumos!$B$1:$B$996,Insumos!$D$1:$D$996),"")</f>
        <v/>
      </c>
      <c r="H4277" s="91" t="n">
        <v>0</v>
      </c>
      <c r="I4277" s="2159" t="n">
        <v>0</v>
      </c>
      <c r="J4277" s="2159" t="n">
        <v>0</v>
      </c>
      <c r="K4277" s="2159" t="n"/>
    </row>
    <row r="4278" outlineLevel="1" ht="15.75" customHeight="1">
      <c r="A4278" s="1090" t="n">
        <v>1</v>
      </c>
      <c r="B4278" s="1090" t="inlineStr">
        <is>
          <t>Subetapa</t>
        </is>
      </c>
      <c r="C4278" s="1090" t="inlineStr">
        <is>
          <t>Mão de obra para instalação de portas de madeira</t>
        </is>
      </c>
      <c r="D4278" s="1090" t="inlineStr">
        <is>
          <t>ARGAMASSADOS</t>
        </is>
      </c>
      <c r="E4278" s="1091" t="n"/>
      <c r="F4278" s="2160" t="n"/>
      <c r="G4278" s="1091" t="n"/>
      <c r="H4278" s="1091" t="n">
        <v>0</v>
      </c>
      <c r="I4278" s="2160" t="n">
        <v>0</v>
      </c>
      <c r="J4278" s="2160" t="n">
        <v>0</v>
      </c>
      <c r="K4278" s="2160" t="n"/>
    </row>
    <row r="4279" outlineLevel="2" ht="15.75" customHeight="1">
      <c r="A4279" s="1067" t="n">
        <v>1</v>
      </c>
      <c r="B4279" s="1067" t="inlineStr">
        <is>
          <t>Serviço</t>
        </is>
      </c>
      <c r="C4279" s="1067" t="inlineStr">
        <is>
          <t>Regularização de Paredes externas</t>
        </is>
      </c>
      <c r="D4279" s="1067" t="inlineStr">
        <is>
          <t>Regularização de Paredes externas</t>
        </is>
      </c>
      <c r="E4279" s="1068" t="inlineStr">
        <is>
          <t>M2</t>
        </is>
      </c>
      <c r="F4279" s="1067" t="n"/>
      <c r="G4279" s="1069">
        <f t="array" ref="G4279">IF(B4279="insumo",_xlfn.XLOOKUP($D4279,Insumos!$B$1:$B$996,Insumos!$D$1:$D$996),"")</f>
        <v/>
      </c>
      <c r="H4279" s="1069" t="n">
        <v>3.15602333333333</v>
      </c>
      <c r="I4279" s="2161" t="n">
        <v>0</v>
      </c>
      <c r="J4279" s="2161" t="n">
        <v>0</v>
      </c>
      <c r="K4279" s="2161" t="n"/>
    </row>
    <row r="4280" outlineLevel="3" ht="15.75" customHeight="1">
      <c r="A4280" s="10" t="n">
        <v>32</v>
      </c>
      <c r="B4280" s="10" t="inlineStr">
        <is>
          <t>Insumo</t>
        </is>
      </c>
      <c r="C4280" s="10" t="inlineStr">
        <is>
          <t>Regularização de Paredes externas</t>
        </is>
      </c>
      <c r="D4280" s="10" t="inlineStr">
        <is>
          <t>Argamassa usninada para contrapiso</t>
        </is>
      </c>
      <c r="E4280" s="11">
        <f t="array" ref="E4280">_xlfn.XLOOKUP(D4280,Insumos!B:B,Insumos!C:$C)</f>
        <v/>
      </c>
      <c r="F4280" s="14" t="n">
        <v>0.005500000000000001</v>
      </c>
      <c r="G4280" s="92">
        <f t="array" ref="G4280">IF(B4280="insumo",_xlfn.XLOOKUP($D4280,Insumos!$B$1:$B$996,Insumos!$D$1:$D$996),"")</f>
        <v/>
      </c>
      <c r="H4280" s="92" t="n">
        <v>3.025</v>
      </c>
      <c r="I4280" s="2162" t="n">
        <v>0</v>
      </c>
      <c r="J4280" s="2162" t="n">
        <v>0</v>
      </c>
      <c r="K4280" s="2162" t="n"/>
    </row>
    <row r="4281" outlineLevel="3" ht="15.75" customHeight="1">
      <c r="A4281" s="10" t="n">
        <v>41</v>
      </c>
      <c r="B4281" s="10" t="inlineStr">
        <is>
          <t>Insumo</t>
        </is>
      </c>
      <c r="C4281" s="10" t="inlineStr">
        <is>
          <t>Regularização de Paredes externas</t>
        </is>
      </c>
      <c r="D4281" s="10" t="inlineStr">
        <is>
          <t>Aditivo Adesivo Liquido Para Argamassas De Revestimentos Cimenticios</t>
        </is>
      </c>
      <c r="E4281" s="11">
        <f t="array" ref="E4281">_xlfn.XLOOKUP(D4281,Insumos!B:B,Insumos!C:$C)</f>
        <v/>
      </c>
      <c r="F4281" s="14" t="n">
        <v>0.003500000000000001</v>
      </c>
      <c r="G4281" s="92">
        <f t="array" ref="G4281">IF(B4281="insumo",_xlfn.XLOOKUP($D4281,Insumos!$B$1:$B$996,Insumos!$D$1:$D$996),"")</f>
        <v/>
      </c>
      <c r="H4281" s="92" t="n">
        <v>0.06769</v>
      </c>
      <c r="I4281" s="2162" t="n">
        <v>0</v>
      </c>
      <c r="J4281" s="2162" t="n">
        <v>0</v>
      </c>
      <c r="K4281" s="2162" t="n"/>
    </row>
    <row r="4282" outlineLevel="3" ht="15.75" customHeight="1">
      <c r="A4282" s="10" t="n">
        <v>62</v>
      </c>
      <c r="B4282" s="10" t="inlineStr">
        <is>
          <t>Insumo</t>
        </is>
      </c>
      <c r="C4282" s="10" t="inlineStr">
        <is>
          <t>Regularização de Paredes externas</t>
        </is>
      </c>
      <c r="D4282" s="10" t="inlineStr">
        <is>
          <t>Cimento Portland Composto CP II-32</t>
        </is>
      </c>
      <c r="E4282" s="11">
        <f t="array" ref="E4282">_xlfn.XLOOKUP(D4282,Insumos!B:B,Insumos!C:$C)</f>
        <v/>
      </c>
      <c r="F4282" s="14" t="n">
        <v>0.08333333333333334</v>
      </c>
      <c r="G4282" s="92">
        <f t="array" ref="G4282">IF(B4282="insumo",_xlfn.XLOOKUP($D4282,Insumos!$B$1:$B$996,Insumos!$D$1:$D$996),"")</f>
        <v/>
      </c>
      <c r="H4282" s="92" t="n">
        <v>0.0633333333333333</v>
      </c>
      <c r="I4282" s="2162" t="n">
        <v>0</v>
      </c>
      <c r="J4282" s="2162" t="n">
        <v>0</v>
      </c>
      <c r="K4282" s="2162" t="n"/>
    </row>
    <row r="4283" outlineLevel="2" ht="15.75" customHeight="1">
      <c r="A4283" s="1067" t="n">
        <v>1</v>
      </c>
      <c r="B4283" s="1067" t="inlineStr">
        <is>
          <t>Serviço</t>
        </is>
      </c>
      <c r="C4283" s="1067" t="inlineStr">
        <is>
          <t>Chapisco externo de argamassa pré-fabricada adesiva de cimento colante - aplicação rolada em paredes externas</t>
        </is>
      </c>
      <c r="D4283" s="1067" t="inlineStr">
        <is>
          <t>Chapisco externo de argamassa pré-fabricada adesiva de cimento colante - aplicação rolada em paredes externas</t>
        </is>
      </c>
      <c r="E4283" s="1068" t="inlineStr">
        <is>
          <t>M2</t>
        </is>
      </c>
      <c r="F4283" s="1067" t="n"/>
      <c r="G4283" s="1069">
        <f t="array" ref="G4283">IF(B4283="insumo",_xlfn.XLOOKUP($D4283,Insumos!$B$1:$B$996,Insumos!$D$1:$D$996),"")</f>
        <v/>
      </c>
      <c r="H4283" s="1069" t="n">
        <v>10.11778</v>
      </c>
      <c r="I4283" s="2161" t="e">
        <v>#REF!</v>
      </c>
      <c r="J4283" s="2161" t="e">
        <v>#REF!</v>
      </c>
      <c r="K4283" s="2161" t="n"/>
    </row>
    <row r="4284" outlineLevel="3" ht="15.75" customHeight="1">
      <c r="A4284" s="10" t="n">
        <v>191</v>
      </c>
      <c r="B4284" s="10" t="inlineStr">
        <is>
          <t>Insumo</t>
        </is>
      </c>
      <c r="C4284" s="10" t="inlineStr">
        <is>
          <t>Chapisco externo de argamassa pré-fabricada adesiva de cimento colante - aplicação rolada em paredes externas</t>
        </is>
      </c>
      <c r="D4284" s="10" t="inlineStr">
        <is>
          <t>Argamassa ACIII</t>
        </is>
      </c>
      <c r="E4284" s="11">
        <f t="array" ref="E4284">_xlfn.XLOOKUP(D4284,Insumos!B:B,Insumos!C:$C)</f>
        <v/>
      </c>
      <c r="F4284" s="14" t="n">
        <v>6.34</v>
      </c>
      <c r="G4284" s="92">
        <f t="array" ref="G4284">IF(B4284="insumo",_xlfn.XLOOKUP($D4284,Insumos!$B$1:$B$996,Insumos!$D$1:$D$996),"")</f>
        <v/>
      </c>
      <c r="H4284" s="92" t="n">
        <v>6.74893</v>
      </c>
      <c r="I4284" s="2162" t="e">
        <v>#REF!</v>
      </c>
      <c r="J4284" s="2162" t="e">
        <v>#REF!</v>
      </c>
      <c r="K4284" s="2162" t="n"/>
    </row>
    <row r="4285" outlineLevel="3" ht="15.75" customHeight="1">
      <c r="A4285" s="10" t="n">
        <v>4</v>
      </c>
      <c r="B4285" s="10" t="inlineStr">
        <is>
          <t>Insumo</t>
        </is>
      </c>
      <c r="C4285" s="10" t="inlineStr">
        <is>
          <t>Chapisco externo de argamassa pré-fabricada adesiva de cimento colante - aplicação rolada em paredes externas</t>
        </is>
      </c>
      <c r="D4285" s="10" t="inlineStr">
        <is>
          <t xml:space="preserve">Aditivo Bianco Adesivo Argamassa Chapisco </t>
        </is>
      </c>
      <c r="E4285" s="11">
        <f t="array" ref="E4285">_xlfn.XLOOKUP(D4285,Insumos!B:B,Insumos!C:$C)</f>
        <v/>
      </c>
      <c r="F4285" s="14" t="n">
        <v>0.3</v>
      </c>
      <c r="G4285" s="92">
        <f t="array" ref="G4285">IF(B4285="insumo",_xlfn.XLOOKUP($D4285,Insumos!$B$1:$B$996,Insumos!$D$1:$D$996),"")</f>
        <v/>
      </c>
      <c r="H4285" s="92" t="n">
        <v>3.36885</v>
      </c>
      <c r="I4285" s="2162" t="e">
        <v>#REF!</v>
      </c>
      <c r="J4285" s="2162" t="e">
        <v>#REF!</v>
      </c>
      <c r="K4285" s="2162" t="n"/>
    </row>
    <row r="4286" outlineLevel="2" ht="15.75" customHeight="1">
      <c r="A4286" s="1067" t="n">
        <v>1</v>
      </c>
      <c r="B4286" s="1067" t="inlineStr">
        <is>
          <t>Serviço</t>
        </is>
      </c>
      <c r="C4286" s="1067" t="inlineStr">
        <is>
          <t>Chapisco externo aplicado em estruturas de concreto, de argamassa ACIII, com desempenadeira dentada</t>
        </is>
      </c>
      <c r="D4286" s="1067" t="inlineStr">
        <is>
          <t>Chapisco externo aplicado em estruturas de concreto, de argamassa ACIII, com desempenadeira dentada</t>
        </is>
      </c>
      <c r="E4286" s="1068" t="inlineStr">
        <is>
          <t>M2</t>
        </is>
      </c>
      <c r="F4286" s="1067" t="n"/>
      <c r="G4286" s="1069">
        <f t="array" ref="G4286">IF(B4286="insumo",_xlfn.XLOOKUP($D4286,Insumos!$B$1:$B$996,Insumos!$D$1:$D$996),"")</f>
        <v/>
      </c>
      <c r="H4286" s="1069" t="n">
        <v>5.3225</v>
      </c>
      <c r="I4286" s="2161" t="n">
        <v>0</v>
      </c>
      <c r="J4286" s="2161" t="n">
        <v>0</v>
      </c>
      <c r="K4286" s="2161" t="n"/>
    </row>
    <row r="4287" outlineLevel="3" ht="15.75" customHeight="1">
      <c r="A4287" s="10" t="n">
        <v>191</v>
      </c>
      <c r="B4287" s="10" t="inlineStr">
        <is>
          <t>Insumo</t>
        </is>
      </c>
      <c r="C4287" s="10" t="inlineStr">
        <is>
          <t>Chapisco externo aplicado em estruturas de concreto, de argamassa ACIII, com desempenadeira dentada</t>
        </is>
      </c>
      <c r="D4287" s="10" t="inlineStr">
        <is>
          <t>Argamassa ACIII</t>
        </is>
      </c>
      <c r="E4287" s="11">
        <f t="array" ref="E4287">_xlfn.XLOOKUP(D4287,Insumos!B:B,Insumos!C:$C)</f>
        <v/>
      </c>
      <c r="F4287" s="14" t="n">
        <v>5</v>
      </c>
      <c r="G4287" s="92">
        <f t="array" ref="G4287">IF(B4287="insumo",_xlfn.XLOOKUP($D4287,Insumos!$B$1:$B$996,Insumos!$D$1:$D$996),"")</f>
        <v/>
      </c>
      <c r="H4287" s="92" t="n">
        <v>5.3225</v>
      </c>
      <c r="I4287" s="2162" t="n">
        <v>0</v>
      </c>
      <c r="J4287" s="2162" t="n">
        <v>0</v>
      </c>
      <c r="K4287" s="2162" t="n"/>
    </row>
    <row r="4288" outlineLevel="2" ht="15.75" customHeight="1">
      <c r="A4288" s="1067" t="n">
        <v>1</v>
      </c>
      <c r="B4288" s="1067" t="inlineStr">
        <is>
          <t>Serviço</t>
        </is>
      </c>
      <c r="C4288" s="1067" t="inlineStr">
        <is>
          <t>Chapisco externo de argamassa preparada em obra de cimento e areia - traço 1:4 - aplicação em paredes externas</t>
        </is>
      </c>
      <c r="D4288" s="1067" t="inlineStr">
        <is>
          <t>Chapisco externo de argamassa preparada em obra de cimento e areia - traço 1:4 - aplicação em paredes externas</t>
        </is>
      </c>
      <c r="E4288" s="1068" t="inlineStr">
        <is>
          <t>M2</t>
        </is>
      </c>
      <c r="F4288" s="1067" t="n"/>
      <c r="G4288" s="1069">
        <f t="array" ref="G4288">IF(B4288="insumo",_xlfn.XLOOKUP($D4288,Insumos!$B$1:$B$996,Insumos!$D$1:$D$996),"")</f>
        <v/>
      </c>
      <c r="H4288" s="1069" t="n">
        <v>3.28945</v>
      </c>
      <c r="I4288" s="2161" t="e">
        <v>#REF!</v>
      </c>
      <c r="J4288" s="2161" t="e">
        <v>#REF!</v>
      </c>
      <c r="K4288" s="2161" t="n"/>
    </row>
    <row r="4289" outlineLevel="3" ht="15.75" customHeight="1">
      <c r="A4289" s="10" t="n">
        <v>2</v>
      </c>
      <c r="B4289" s="10" t="inlineStr">
        <is>
          <t>Insumo</t>
        </is>
      </c>
      <c r="C4289" s="15" t="inlineStr">
        <is>
          <t>Chapisco externo de argamassa preparada em obra de cimento e areia - traço 1:4 - aplicação em paredes externas</t>
        </is>
      </c>
      <c r="D4289" s="15" t="inlineStr">
        <is>
          <t xml:space="preserve">ARGAMASSA TRAÇO 1:4 (EM VOLUME DE CIMENTO E AREIA GROSSA ÚMIDA) PARA CHAPISCO CONVENCIONAL, PREPARO MANUAL. </t>
        </is>
      </c>
      <c r="E4289" s="11">
        <f t="array" ref="E4289">_xlfn.XLOOKUP(D4289,Insumos!B:B,Insumos!C:$C)</f>
        <v/>
      </c>
      <c r="F4289" s="14" t="n">
        <v>0.005</v>
      </c>
      <c r="G4289" s="92">
        <f t="array" ref="G4289">IF(B4289="insumo",_xlfn.XLOOKUP($D4289,Insumos!$B$1:$B$996,Insumos!$D$1:$D$996),"")</f>
        <v/>
      </c>
      <c r="H4289" s="92" t="n">
        <v>3.28945</v>
      </c>
      <c r="I4289" s="2162" t="e">
        <v>#REF!</v>
      </c>
      <c r="J4289" s="2162" t="e">
        <v>#REF!</v>
      </c>
      <c r="K4289" s="2162" t="n"/>
    </row>
    <row r="4290" outlineLevel="2" ht="15.75" customHeight="1">
      <c r="A4290" s="1067" t="n">
        <v>1</v>
      </c>
      <c r="B4290" s="1067" t="inlineStr">
        <is>
          <t>Serviço</t>
        </is>
      </c>
      <c r="C4290" s="1067" t="inlineStr">
        <is>
          <t>Chapisco externo aplicados em alvenaria, com argamassa estabilizada, aplicação convencional.</t>
        </is>
      </c>
      <c r="D4290" s="1067" t="inlineStr">
        <is>
          <t>Chapisco externo aplicados em alvenaria, com argamassa estabilizada, aplicação convencional.</t>
        </is>
      </c>
      <c r="E4290" s="1068" t="inlineStr">
        <is>
          <t>M2</t>
        </is>
      </c>
      <c r="F4290" s="1067" t="n"/>
      <c r="G4290" s="1069">
        <f t="array" ref="G4290">IF(B4290="insumo",_xlfn.XLOOKUP($D4290,Insumos!$B$1:$B$996,Insumos!$D$1:$D$996),"")</f>
        <v/>
      </c>
      <c r="H4290" s="1069" t="n">
        <v>2.659734</v>
      </c>
      <c r="I4290" s="2161" t="n">
        <v>0</v>
      </c>
      <c r="J4290" s="2161" t="n">
        <v>0</v>
      </c>
      <c r="K4290" s="2161" t="n"/>
    </row>
    <row r="4291" outlineLevel="3" ht="15.75" customHeight="1">
      <c r="A4291" s="10" t="n">
        <v>2</v>
      </c>
      <c r="B4291" s="10" t="inlineStr">
        <is>
          <t>Insumo</t>
        </is>
      </c>
      <c r="C4291" s="10" t="inlineStr">
        <is>
          <t>Chapisco externo aplicados em alvenaria, com argamassa estabilizada, aplicação convencional.</t>
        </is>
      </c>
      <c r="D4291" s="10" t="inlineStr">
        <is>
          <t xml:space="preserve">ARGAMASSA TRAÇO 1:5 (EM VOLUME DE CIMENTO E AREIA GROSSA ÚMIDA) PARA CHAPISCO CONVENCIONAL, PREPARO MANUAL. </t>
        </is>
      </c>
      <c r="E4291" s="11">
        <f t="array" ref="E4291">_xlfn.XLOOKUP(D4291,Insumos!B:B,Insumos!C:$C)</f>
        <v/>
      </c>
      <c r="F4291" s="14" t="n">
        <v>0.0042</v>
      </c>
      <c r="G4291" s="92">
        <f t="array" ref="G4291">IF(B4291="insumo",_xlfn.XLOOKUP($D4291,Insumos!$B$1:$B$996,Insumos!$D$1:$D$996),"")</f>
        <v/>
      </c>
      <c r="H4291" s="92" t="n">
        <v>2.659734</v>
      </c>
      <c r="I4291" s="2162" t="n">
        <v>0</v>
      </c>
      <c r="J4291" s="2162" t="n">
        <v>0</v>
      </c>
      <c r="K4291" s="2162" t="n"/>
    </row>
    <row r="4292" outlineLevel="2" ht="15.75" customHeight="1">
      <c r="A4292" s="1067" t="n">
        <v>1</v>
      </c>
      <c r="B4292" s="1067" t="inlineStr">
        <is>
          <t>Serviço</t>
        </is>
      </c>
      <c r="C4292" s="1067" t="inlineStr">
        <is>
          <t xml:space="preserve">Chapisco externo de argamassa estabilizada projetada, em alvenaria, paredes Externas  </t>
        </is>
      </c>
      <c r="D4292" s="1067" t="inlineStr">
        <is>
          <t xml:space="preserve">Chapisco externo de argamassa estabilizada projetada, em alvenaria, paredes Externas  </t>
        </is>
      </c>
      <c r="E4292" s="1068" t="inlineStr">
        <is>
          <t>M2</t>
        </is>
      </c>
      <c r="F4292" s="1067" t="n"/>
      <c r="G4292" s="1069">
        <f t="array" ref="G4292">IF(B4292="insumo",_xlfn.XLOOKUP($D4292,Insumos!$B$1:$B$996,Insumos!$D$1:$D$996),"")</f>
        <v/>
      </c>
      <c r="H4292" s="1069" t="n">
        <v>4</v>
      </c>
      <c r="I4292" s="2161" t="n">
        <v>0</v>
      </c>
      <c r="J4292" s="2161" t="n">
        <v>0</v>
      </c>
      <c r="K4292" s="2161" t="n"/>
    </row>
    <row r="4293" outlineLevel="3" ht="15.75" customHeight="1">
      <c r="A4293" s="10" t="n">
        <v>6</v>
      </c>
      <c r="B4293" s="10" t="inlineStr">
        <is>
          <t>Insumo</t>
        </is>
      </c>
      <c r="C4293" s="10" t="inlineStr">
        <is>
          <t xml:space="preserve">Chapisco externo de argamassa estabilizada projetada, em alvenaria, paredes Externas  </t>
        </is>
      </c>
      <c r="D4293" s="10" t="inlineStr">
        <is>
          <t>Argamassa industrializada para Para Chapisco Colante</t>
        </is>
      </c>
      <c r="E4293" s="11">
        <f t="array" ref="E4293">_xlfn.XLOOKUP(D4293,Insumos!B:B,Insumos!C:$C)</f>
        <v/>
      </c>
      <c r="F4293" s="14" t="n">
        <v>5</v>
      </c>
      <c r="G4293" s="92">
        <f t="array" ref="G4293">IF(B4293="insumo",_xlfn.XLOOKUP($D4293,Insumos!$B$1:$B$996,Insumos!$D$1:$D$996),"")</f>
        <v/>
      </c>
      <c r="H4293" s="92" t="n">
        <v>4</v>
      </c>
      <c r="I4293" s="2162" t="n">
        <v>0</v>
      </c>
      <c r="J4293" s="2162" t="n">
        <v>0</v>
      </c>
      <c r="K4293" s="2162" t="n"/>
    </row>
    <row r="4294" outlineLevel="2" ht="15.75" customHeight="1">
      <c r="A4294" s="1067" t="n">
        <v>1</v>
      </c>
      <c r="B4294" s="1067" t="inlineStr">
        <is>
          <t>Serviço</t>
        </is>
      </c>
      <c r="C4294" s="1067" t="inlineStr">
        <is>
          <t xml:space="preserve">Chapisco externo de argamassa estabilizada projetada, em alvenaria, Estrutura Externas </t>
        </is>
      </c>
      <c r="D4294" s="1067" t="inlineStr">
        <is>
          <t xml:space="preserve">Chapisco externo de argamassa estabilizada projetada, em alvenaria, Estrutura Externas </t>
        </is>
      </c>
      <c r="E4294" s="1068" t="inlineStr">
        <is>
          <t>M2</t>
        </is>
      </c>
      <c r="F4294" s="1067" t="n"/>
      <c r="G4294" s="1069">
        <f t="array" ref="G4294">IF(B4294="insumo",_xlfn.XLOOKUP($D4294,Insumos!$B$1:$B$996,Insumos!$D$1:$D$996),"")</f>
        <v/>
      </c>
      <c r="H4294" s="1069" t="n">
        <v>4</v>
      </c>
      <c r="I4294" s="2161" t="n">
        <v>0</v>
      </c>
      <c r="J4294" s="2161" t="n">
        <v>0</v>
      </c>
      <c r="K4294" s="2161" t="n"/>
    </row>
    <row r="4295" outlineLevel="3" ht="15.75" customHeight="1">
      <c r="A4295" s="10" t="n">
        <v>6</v>
      </c>
      <c r="B4295" s="10" t="inlineStr">
        <is>
          <t>Insumo</t>
        </is>
      </c>
      <c r="C4295" s="10" t="inlineStr">
        <is>
          <t xml:space="preserve">Chapisco externo de argamassa estabilizada projetada, em alvenaria, Estrutura Externas </t>
        </is>
      </c>
      <c r="D4295" s="10" t="inlineStr">
        <is>
          <t>Argamassa industrializada para Para Chapisco Colante</t>
        </is>
      </c>
      <c r="E4295" s="11">
        <f t="array" ref="E4295">_xlfn.XLOOKUP(D4295,Insumos!B:B,Insumos!C:$C)</f>
        <v/>
      </c>
      <c r="F4295" s="14" t="n">
        <v>5</v>
      </c>
      <c r="G4295" s="92">
        <f t="array" ref="G4295">IF(B4295="insumo",_xlfn.XLOOKUP($D4295,Insumos!$B$1:$B$996,Insumos!$D$1:$D$996),"")</f>
        <v/>
      </c>
      <c r="H4295" s="92" t="n">
        <v>4</v>
      </c>
      <c r="I4295" s="2162" t="n">
        <v>0</v>
      </c>
      <c r="J4295" s="2162" t="n">
        <v>0</v>
      </c>
      <c r="K4295" s="2162" t="n"/>
    </row>
    <row r="4296" outlineLevel="2" ht="15.75" customHeight="1">
      <c r="A4296" s="1067" t="n">
        <v>1</v>
      </c>
      <c r="B4296" s="1067" t="inlineStr">
        <is>
          <t>Serviço</t>
        </is>
      </c>
      <c r="C4296" s="1067" t="inlineStr">
        <is>
          <t>Massa unica para reboco Externas em argamassa estabilizada projetada, espessura 2,0cm, desempenado fino</t>
        </is>
      </c>
      <c r="D4296" s="1067" t="inlineStr">
        <is>
          <t>Massa unica para reboco Externas em argamassa estabilizada projetada, espessura 2,0cm, desempenado fino</t>
        </is>
      </c>
      <c r="E4296" s="1068" t="inlineStr">
        <is>
          <t>M2</t>
        </is>
      </c>
      <c r="F4296" s="1067" t="n"/>
      <c r="G4296" s="1069">
        <f t="array" ref="G4296">IF(B4296="insumo",_xlfn.XLOOKUP($D4296,Insumos!$B$1:$B$996,Insumos!$D$1:$D$996),"")</f>
        <v/>
      </c>
      <c r="H4296" s="1069" t="n">
        <v>19</v>
      </c>
      <c r="I4296" s="2161" t="n">
        <v>0</v>
      </c>
      <c r="J4296" s="2161" t="n">
        <v>0</v>
      </c>
      <c r="K4296" s="2161" t="n"/>
    </row>
    <row r="4297" outlineLevel="3" ht="15.75" customHeight="1">
      <c r="A4297" s="10" t="n">
        <v>3</v>
      </c>
      <c r="B4297" s="10" t="inlineStr">
        <is>
          <t>Insumo</t>
        </is>
      </c>
      <c r="C4297" s="10" t="inlineStr">
        <is>
          <t>Massa unica para reboco Externas em argamassa estabilizada projetada, espessura 2,0cm, desempenado fino</t>
        </is>
      </c>
      <c r="D4297" s="10" t="inlineStr">
        <is>
          <t>Argamassa industrializada para Para Reboco</t>
        </is>
      </c>
      <c r="E4297" s="11">
        <f t="array" ref="E4297">_xlfn.XLOOKUP(D4297,Insumos!B:B,Insumos!C:$C)</f>
        <v/>
      </c>
      <c r="F4297" s="14" t="n">
        <v>20</v>
      </c>
      <c r="G4297" s="92">
        <f t="array" ref="G4297">IF(B4297="insumo",_xlfn.XLOOKUP($D4297,Insumos!$B$1:$B$996,Insumos!$D$1:$D$996),"")</f>
        <v/>
      </c>
      <c r="H4297" s="92" t="n">
        <v>19</v>
      </c>
      <c r="I4297" s="2162" t="n">
        <v>0</v>
      </c>
      <c r="J4297" s="2162" t="n">
        <v>0</v>
      </c>
      <c r="K4297" s="2162" t="n"/>
    </row>
    <row r="4298" outlineLevel="2" ht="15.75" customHeight="1">
      <c r="A4298" s="1067" t="n">
        <v>1</v>
      </c>
      <c r="B4298" s="1067" t="inlineStr">
        <is>
          <t>Serviço</t>
        </is>
      </c>
      <c r="C4298" s="1067" t="inlineStr">
        <is>
          <t>Massa unica para reboco externo em Argamassa preparada em central / usinada, espessura de 35mm</t>
        </is>
      </c>
      <c r="D4298" s="1067" t="inlineStr">
        <is>
          <t>Massa unica para reboco externo em Argamassa preparada em central / usinada, espessura de 35mm</t>
        </is>
      </c>
      <c r="E4298" s="1068" t="inlineStr">
        <is>
          <t>M2</t>
        </is>
      </c>
      <c r="F4298" s="1067" t="n"/>
      <c r="G4298" s="1069">
        <f t="array" ref="G4298">IF(B4298="insumo",_xlfn.XLOOKUP($D4298,Insumos!$B$1:$B$996,Insumos!$D$1:$D$996),"")</f>
        <v/>
      </c>
      <c r="H4298" s="1069" t="n">
        <v>14.525</v>
      </c>
      <c r="I4298" s="2161" t="n">
        <v>0</v>
      </c>
      <c r="J4298" s="2161" t="n">
        <v>0</v>
      </c>
      <c r="K4298" s="2161" t="n"/>
    </row>
    <row r="4299" outlineLevel="3" ht="15.75" customHeight="1">
      <c r="A4299" s="10" t="n">
        <v>7</v>
      </c>
      <c r="B4299" s="10" t="inlineStr">
        <is>
          <t>Insumo</t>
        </is>
      </c>
      <c r="C4299" s="10" t="inlineStr">
        <is>
          <t>Massa unica para reboco externo em Argamassa preparada em central / usinada, espessura de 35mm</t>
        </is>
      </c>
      <c r="D4299" s="10" t="inlineStr">
        <is>
          <t>Argamassa Usinada para emboço/massa única</t>
        </is>
      </c>
      <c r="E4299" s="11">
        <f t="array" ref="E4299">_xlfn.XLOOKUP(D4299,Insumos!B:B,Insumos!C:$C)</f>
        <v/>
      </c>
      <c r="F4299" s="14">
        <f>0.035</f>
        <v/>
      </c>
      <c r="G4299" s="92">
        <f t="array" ref="G4299">IF(B4299="insumo",_xlfn.XLOOKUP($D4299,Insumos!$B$1:$B$996,Insumos!$D$1:$D$996),"")</f>
        <v/>
      </c>
      <c r="H4299" s="92" t="n">
        <v>14.525</v>
      </c>
      <c r="I4299" s="2162" t="n">
        <v>0</v>
      </c>
      <c r="J4299" s="2162" t="n">
        <v>0</v>
      </c>
      <c r="K4299" s="2162" t="n"/>
    </row>
    <row r="4300" outlineLevel="2" ht="15.75" customHeight="1">
      <c r="A4300" s="1067" t="n">
        <v>1</v>
      </c>
      <c r="B4300" s="1067" t="inlineStr">
        <is>
          <t>Serviço</t>
        </is>
      </c>
      <c r="C4300" s="1067" t="inlineStr">
        <is>
          <t>Massa unica para reboco externo em argamassa estabilizada, espessura de 2,5cm, com execução desempenado fino</t>
        </is>
      </c>
      <c r="D4300" s="1067" t="inlineStr">
        <is>
          <t>Massa unica para reboco externo em argamassa estabilizada, espessura de 2,5cm, com execução desempenado fino</t>
        </is>
      </c>
      <c r="E4300" s="1068" t="inlineStr">
        <is>
          <t>M2</t>
        </is>
      </c>
      <c r="F4300" s="1067" t="n"/>
      <c r="G4300" s="1069">
        <f t="array" ref="G4300">IF(B4300="insumo",_xlfn.XLOOKUP($D4300,Insumos!$B$1:$B$996,Insumos!$D$1:$D$996),"")</f>
        <v/>
      </c>
      <c r="H4300" s="1069" t="n">
        <v>10.89375</v>
      </c>
      <c r="I4300" s="2161" t="e">
        <v>#REF!</v>
      </c>
      <c r="J4300" s="2161" t="e">
        <v>#REF!</v>
      </c>
      <c r="K4300" s="2161" t="n"/>
    </row>
    <row r="4301" outlineLevel="3" ht="15.75" customHeight="1">
      <c r="A4301" s="10" t="n">
        <v>7</v>
      </c>
      <c r="B4301" s="10" t="inlineStr">
        <is>
          <t>Insumo</t>
        </is>
      </c>
      <c r="C4301" s="10" t="inlineStr">
        <is>
          <t>Massa unica para reboco externo em argamassa estabilizada, espessura de 2,5cm, com execução desempenado fino</t>
        </is>
      </c>
      <c r="D4301" s="10" t="inlineStr">
        <is>
          <t>Argamassa Usinada para emboço/massa única</t>
        </is>
      </c>
      <c r="E4301" s="11">
        <f t="array" ref="E4301">_xlfn.XLOOKUP(D4301,Insumos!B:B,Insumos!C:$C)</f>
        <v/>
      </c>
      <c r="F4301" s="14" t="n">
        <v>0.02625</v>
      </c>
      <c r="G4301" s="92">
        <f t="array" ref="G4301">IF(B4301="insumo",_xlfn.XLOOKUP($D4301,Insumos!$B$1:$B$996,Insumos!$D$1:$D$996),"")</f>
        <v/>
      </c>
      <c r="H4301" s="92" t="n">
        <v>10.89375</v>
      </c>
      <c r="I4301" s="2162" t="e">
        <v>#REF!</v>
      </c>
      <c r="J4301" s="2162" t="e">
        <v>#REF!</v>
      </c>
      <c r="K4301" s="2162" t="n"/>
    </row>
    <row r="4302" outlineLevel="2" ht="12.75" customHeight="1">
      <c r="A4302" s="1071" t="n">
        <v>1</v>
      </c>
      <c r="B4302" s="1071" t="inlineStr">
        <is>
          <t>Serviço</t>
        </is>
      </c>
      <c r="C4302" s="1071" t="inlineStr">
        <is>
          <t>Aplicação manual de gesso sarrafeado em paredes externas, espessura de 1,0cm, com execução de taliscas</t>
        </is>
      </c>
      <c r="D4302" s="1071" t="inlineStr">
        <is>
          <t>Aplicação manual de gesso sarrafeado em paredes externas, espessura de 1,0cm, com execução de taliscas</t>
        </is>
      </c>
      <c r="E4302" s="1072" t="inlineStr">
        <is>
          <t>M2</t>
        </is>
      </c>
      <c r="F4302" s="1071" t="n"/>
      <c r="G4302" s="1073">
        <f t="array" ref="G4302">IF(B4302="insumo",_xlfn.XLOOKUP($D4302,Insumos!$B$1:$B$996,Insumos!$D$1:$D$996),"")</f>
        <v/>
      </c>
      <c r="H4302" s="1073" t="n">
        <v>7.6832055</v>
      </c>
      <c r="I4302" s="2163" t="n">
        <v>0</v>
      </c>
      <c r="J4302" s="2163" t="n">
        <v>0</v>
      </c>
      <c r="K4302" s="2163" t="n"/>
    </row>
    <row r="4303" outlineLevel="3" ht="12.75" customHeight="1">
      <c r="A4303" s="82" t="n">
        <v>4</v>
      </c>
      <c r="B4303" s="82" t="inlineStr">
        <is>
          <t>Insumo</t>
        </is>
      </c>
      <c r="C4303" s="82" t="inlineStr">
        <is>
          <t>Aplicação manual de gesso sarrafeado em paredes externas, espessura de 1,0cm, com execução de taliscas</t>
        </is>
      </c>
      <c r="D4303" s="82" t="inlineStr">
        <is>
          <t xml:space="preserve">	GESSO EM PÓ PARA REVESTIMENTOS</t>
        </is>
      </c>
      <c r="E4303" s="11">
        <f t="array" ref="E4303">_xlfn.XLOOKUP(D4303,Insumos!B:B,Insumos!C:$C)</f>
        <v/>
      </c>
      <c r="F4303" s="2164">
        <f>17.07379</f>
        <v/>
      </c>
      <c r="G4303" s="92">
        <f t="array" ref="G4303">IF(B4303="insumo",_xlfn.XLOOKUP($D4303,Insumos!$B$1:$B$996,Insumos!$D$1:$D$996),"")</f>
        <v/>
      </c>
      <c r="H4303" s="92" t="n">
        <v>7.6832055</v>
      </c>
      <c r="I4303" s="2165" t="n">
        <v>0</v>
      </c>
      <c r="J4303" s="2165" t="n">
        <v>0</v>
      </c>
      <c r="K4303" s="2165" t="n"/>
    </row>
    <row r="4304" outlineLevel="2" ht="15.75" customHeight="1">
      <c r="A4304" s="1067" t="n">
        <v>1</v>
      </c>
      <c r="B4304" s="1067" t="inlineStr">
        <is>
          <t>Serviço</t>
        </is>
      </c>
      <c r="C4304" s="1067" t="inlineStr">
        <is>
          <t>Tela soldada para ligacao Emboço Fachadas</t>
        </is>
      </c>
      <c r="D4304" s="1067" t="inlineStr">
        <is>
          <t>Tela soldada para ligacao Emboço Fachadas</t>
        </is>
      </c>
      <c r="E4304" s="1068" t="inlineStr">
        <is>
          <t>UN</t>
        </is>
      </c>
      <c r="F4304" s="1067" t="n"/>
      <c r="G4304" s="1069">
        <f t="array" ref="G4304">IF(B4304="insumo",_xlfn.XLOOKUP($D4304,Insumos!$B$1:$B$996,Insumos!$D$1:$D$996),"")</f>
        <v/>
      </c>
      <c r="H4304" s="1069" t="n">
        <v>4.1072</v>
      </c>
      <c r="I4304" s="2161" t="n">
        <v>0</v>
      </c>
      <c r="J4304" s="2161" t="n">
        <v>0</v>
      </c>
      <c r="K4304" s="2161" t="n"/>
    </row>
    <row r="4305" outlineLevel="3" ht="15.75" customHeight="1">
      <c r="A4305" s="10" t="n">
        <v>2</v>
      </c>
      <c r="B4305" s="10" t="inlineStr">
        <is>
          <t>Insumo</t>
        </is>
      </c>
      <c r="C4305" s="10" t="inlineStr">
        <is>
          <t>Tela soldada para ligacao Emboço Fachadas</t>
        </is>
      </c>
      <c r="D4305" s="10" t="inlineStr">
        <is>
          <t>PINO DE ACO COM FURO, HASTE = 27 MM (ACAO DIRETA)</t>
        </is>
      </c>
      <c r="E4305" s="11">
        <f t="array" ref="E4305">_xlfn.XLOOKUP(D4305,Insumos!B:B,Insumos!C:$C)</f>
        <v/>
      </c>
      <c r="F4305" s="14" t="n">
        <v>2</v>
      </c>
      <c r="G4305" s="92">
        <f t="array" ref="G4305">IF(B4305="insumo",_xlfn.XLOOKUP($D4305,Insumos!$B$1:$B$996,Insumos!$D$1:$D$996),"")</f>
        <v/>
      </c>
      <c r="H4305" s="92" t="n">
        <v>0.8672</v>
      </c>
      <c r="I4305" s="2162" t="n">
        <v>0</v>
      </c>
      <c r="J4305" s="2162" t="n">
        <v>0</v>
      </c>
      <c r="K4305" s="2162" t="n"/>
    </row>
    <row r="4306" outlineLevel="3" ht="15.75" customHeight="1">
      <c r="A4306" s="10" t="n">
        <v>2</v>
      </c>
      <c r="B4306" s="10" t="inlineStr">
        <is>
          <t>Insumo</t>
        </is>
      </c>
      <c r="C4306" s="10" t="inlineStr">
        <is>
          <t>Tela soldada para ligacao Emboço Fachadas</t>
        </is>
      </c>
      <c r="D4306" s="10" t="inlineStr">
        <is>
          <t>TELA DE ACO SOLDADA GALVANIZADA/ZINCADA PARA ALVENARIA, FIO D = *1,20 A 1,70* MM, MALHA 15 X 15 MM, (C X L) *50 X 17,5* CM</t>
        </is>
      </c>
      <c r="E4306" s="11">
        <f t="array" ref="E4306">_xlfn.XLOOKUP(D4306,Insumos!B:B,Insumos!C:$C)</f>
        <v/>
      </c>
      <c r="F4306" s="14" t="n">
        <v>1</v>
      </c>
      <c r="G4306" s="92">
        <f t="array" ref="G4306">IF(B4306="insumo",_xlfn.XLOOKUP($D4306,Insumos!$B$1:$B$996,Insumos!$D$1:$D$996),"")</f>
        <v/>
      </c>
      <c r="H4306" s="92" t="n">
        <v>2.5</v>
      </c>
      <c r="I4306" s="2162" t="n">
        <v>0</v>
      </c>
      <c r="J4306" s="2162" t="n">
        <v>0</v>
      </c>
      <c r="K4306" s="2162" t="n"/>
    </row>
    <row r="4307" outlineLevel="3" ht="15.75" customHeight="1">
      <c r="A4307" s="10" t="n">
        <v>2</v>
      </c>
      <c r="B4307" s="10" t="inlineStr">
        <is>
          <t>Insumo</t>
        </is>
      </c>
      <c r="C4307" s="10" t="inlineStr">
        <is>
          <t>Tela soldada para ligacao Emboço Fachadas</t>
        </is>
      </c>
      <c r="D4307" s="10" t="inlineStr">
        <is>
          <t>CARTUCHO/MUNIÇÃO FINCAPINO 22</t>
        </is>
      </c>
      <c r="E4307" s="11">
        <f t="array" ref="E4307">_xlfn.XLOOKUP(D4307,Insumos!B:B,Insumos!C:$C)</f>
        <v/>
      </c>
      <c r="F4307" s="14" t="n">
        <v>2</v>
      </c>
      <c r="G4307" s="92">
        <f t="array" ref="G4307">IF(B4307="insumo",_xlfn.XLOOKUP($D4307,Insumos!$B$1:$B$996,Insumos!$D$1:$D$996),"")</f>
        <v/>
      </c>
      <c r="H4307" s="92" t="n">
        <v>0.74</v>
      </c>
      <c r="I4307" s="2162" t="n">
        <v>0</v>
      </c>
      <c r="J4307" s="2162" t="n">
        <v>0</v>
      </c>
      <c r="K4307" s="2162" t="n"/>
    </row>
    <row r="4308" outlineLevel="2" ht="15.75" customHeight="1">
      <c r="A4308" s="1067" t="n">
        <v>1</v>
      </c>
      <c r="B4308" s="1067" t="inlineStr">
        <is>
          <t>Serviço</t>
        </is>
      </c>
      <c r="C4308" s="1067" t="inlineStr">
        <is>
          <t>Junta de movimentação em emboço</t>
        </is>
      </c>
      <c r="D4308" s="1067" t="inlineStr">
        <is>
          <t>Junta de movimentação em emboço</t>
        </is>
      </c>
      <c r="E4308" s="1068" t="inlineStr">
        <is>
          <t>M2</t>
        </is>
      </c>
      <c r="F4308" s="1067" t="n"/>
      <c r="G4308" s="1069">
        <f t="array" ref="G4308">IF(B4308="insumo",_xlfn.XLOOKUP($D4308,Insumos!$B$1:$B$996,Insumos!$D$1:$D$996),"")</f>
        <v/>
      </c>
      <c r="H4308" s="1069" t="n">
        <v>3.79</v>
      </c>
      <c r="I4308" s="2161" t="n">
        <v>0</v>
      </c>
      <c r="J4308" s="2161" t="n">
        <v>0</v>
      </c>
      <c r="K4308" s="2161" t="n"/>
    </row>
    <row r="4309" outlineLevel="3" ht="15.75" customHeight="1">
      <c r="A4309" s="10" t="n">
        <v>1</v>
      </c>
      <c r="B4309" s="10" t="inlineStr">
        <is>
          <t>Insumo</t>
        </is>
      </c>
      <c r="C4309" s="10" t="inlineStr">
        <is>
          <t>Junta de movimentação em emboço</t>
        </is>
      </c>
      <c r="D4309" s="10" t="inlineStr">
        <is>
          <t>Espuma Tarugo Corpo de Apoio Tarucel 15mm (delimitador de profundidade)</t>
        </is>
      </c>
      <c r="E4309" s="11">
        <f t="array" ref="E4309">_xlfn.XLOOKUP(D4309,Insumos!B:B,Insumos!C:$C)</f>
        <v/>
      </c>
      <c r="F4309" s="14" t="n">
        <v>1</v>
      </c>
      <c r="G4309" s="92">
        <f t="array" ref="G4309">IF(B4309="insumo",_xlfn.XLOOKUP($D4309,Insumos!$B$1:$B$996,Insumos!$D$1:$D$996),"")</f>
        <v/>
      </c>
      <c r="H4309" s="92" t="n">
        <v>1.72</v>
      </c>
      <c r="I4309" s="2162" t="n">
        <v>0</v>
      </c>
      <c r="J4309" s="2162" t="n">
        <v>0</v>
      </c>
      <c r="K4309" s="2162" t="n"/>
    </row>
    <row r="4310" outlineLevel="3" ht="15.75" customHeight="1">
      <c r="A4310" s="10" t="n">
        <v>10</v>
      </c>
      <c r="B4310" s="10" t="inlineStr">
        <is>
          <t>Insumo</t>
        </is>
      </c>
      <c r="C4310" s="10" t="inlineStr">
        <is>
          <t>Junta de movimentação em emboço</t>
        </is>
      </c>
      <c r="D4310" s="10" t="inlineStr">
        <is>
          <t>SELANTE ELASTICO MONOCOMPONENTE A BASE DE POLIURETANO (PU) PARA JUNTAS DIVERSAS</t>
        </is>
      </c>
      <c r="E4310" s="11">
        <f t="array" ref="E4310">_xlfn.XLOOKUP(D4310,Insumos!B:B,Insumos!C:$C)</f>
        <v/>
      </c>
      <c r="F4310" s="14" t="n">
        <v>0.1</v>
      </c>
      <c r="G4310" s="92">
        <f t="array" ref="G4310">IF(B4310="insumo",_xlfn.XLOOKUP($D4310,Insumos!$B$1:$B$996,Insumos!$D$1:$D$996),"")</f>
        <v/>
      </c>
      <c r="H4310" s="92" t="n">
        <v>2.07</v>
      </c>
      <c r="I4310" s="2162" t="n">
        <v>0</v>
      </c>
      <c r="J4310" s="2162" t="n">
        <v>0</v>
      </c>
      <c r="K4310" s="2162" t="n"/>
    </row>
    <row r="4311" outlineLevel="2" ht="15.75" customHeight="1">
      <c r="A4311" s="1067" t="n">
        <v>1</v>
      </c>
      <c r="B4311" s="1067" t="inlineStr">
        <is>
          <t>Serviço</t>
        </is>
      </c>
      <c r="C4311" s="1067" t="inlineStr">
        <is>
          <t>Moldura em EPS fachada - m³</t>
        </is>
      </c>
      <c r="D4311" s="1067" t="inlineStr">
        <is>
          <t>Moldura em EPS fachada - m³</t>
        </is>
      </c>
      <c r="E4311" s="1068" t="inlineStr">
        <is>
          <t>M3</t>
        </is>
      </c>
      <c r="F4311" s="1067" t="n"/>
      <c r="G4311" s="1069">
        <f t="array" ref="G4311">IF(B4311="insumo",_xlfn.XLOOKUP($D4311,Insumos!$B$1:$B$996,Insumos!$D$1:$D$996),"")</f>
        <v/>
      </c>
      <c r="H4311" s="1069" t="n">
        <v>1586.77201515152</v>
      </c>
      <c r="I4311" s="2161" t="n">
        <v>0</v>
      </c>
      <c r="J4311" s="2161" t="n">
        <v>0</v>
      </c>
      <c r="K4311" s="2161" t="n"/>
    </row>
    <row r="4312" outlineLevel="3" ht="15.75" customHeight="1">
      <c r="A4312" s="10" t="n">
        <v>5</v>
      </c>
      <c r="B4312" s="10" t="inlineStr">
        <is>
          <t>Insumo</t>
        </is>
      </c>
      <c r="C4312" s="10" t="inlineStr">
        <is>
          <t>Moldura em EPS fachada - m³</t>
        </is>
      </c>
      <c r="D4312" s="10" t="inlineStr">
        <is>
          <t>Moldura EPS - m³</t>
        </is>
      </c>
      <c r="E4312" s="11">
        <f t="array" ref="E4312">_xlfn.XLOOKUP(D4312,Insumos!B:B,Insumos!C:$C)</f>
        <v/>
      </c>
      <c r="F4312" s="14" t="n">
        <v>1.1</v>
      </c>
      <c r="G4312" s="92">
        <f t="array" ref="G4312">IF(B4312="insumo",_xlfn.XLOOKUP($D4312,Insumos!$B$1:$B$996,Insumos!$D$1:$D$996),"")</f>
        <v/>
      </c>
      <c r="H4312" s="92" t="n">
        <v>1515.15151515152</v>
      </c>
      <c r="I4312" s="2162" t="n">
        <v>0</v>
      </c>
      <c r="J4312" s="2162" t="n">
        <v>0</v>
      </c>
      <c r="K4312" s="2162" t="n"/>
    </row>
    <row r="4313" outlineLevel="3" ht="15.75" customHeight="1">
      <c r="A4313" s="10" t="n">
        <v>191</v>
      </c>
      <c r="B4313" s="10" t="inlineStr">
        <is>
          <t>Insumo</t>
        </is>
      </c>
      <c r="C4313" s="10" t="inlineStr">
        <is>
          <t>Moldura em EPS fachada - m³</t>
        </is>
      </c>
      <c r="D4313" s="10" t="inlineStr">
        <is>
          <t>Argamassa ACIII</t>
        </is>
      </c>
      <c r="E4313" s="11">
        <f t="array" ref="E4313">_xlfn.XLOOKUP(D4313,Insumos!B:B,Insumos!C:$C)</f>
        <v/>
      </c>
      <c r="F4313" s="14" t="n">
        <v>9</v>
      </c>
      <c r="G4313" s="92">
        <f t="array" ref="G4313">IF(B4313="insumo",_xlfn.XLOOKUP($D4313,Insumos!$B$1:$B$996,Insumos!$D$1:$D$996),"")</f>
        <v/>
      </c>
      <c r="H4313" s="92" t="n">
        <v>9.580500000000001</v>
      </c>
      <c r="I4313" s="2162" t="n">
        <v>0</v>
      </c>
      <c r="J4313" s="2162" t="n">
        <v>0</v>
      </c>
      <c r="K4313" s="2162" t="n"/>
    </row>
    <row r="4314" outlineLevel="3" ht="15.75" customHeight="1">
      <c r="A4314" s="10" t="n">
        <v>1</v>
      </c>
      <c r="B4314" s="10" t="inlineStr">
        <is>
          <t>Insumo</t>
        </is>
      </c>
      <c r="C4314" s="10" t="inlineStr">
        <is>
          <t>Moldura em EPS fachada - m³</t>
        </is>
      </c>
      <c r="D4314" s="10" t="inlineStr">
        <is>
          <t>Presilha de fixação Painel Wall EspaçoFix</t>
        </is>
      </c>
      <c r="E4314" s="11">
        <f t="array" ref="E4314">_xlfn.XLOOKUP(D4314,Insumos!B:B,Insumos!C:$C)</f>
        <v/>
      </c>
      <c r="F4314" s="14" t="n">
        <v>12</v>
      </c>
      <c r="G4314" s="92">
        <f t="array" ref="G4314">IF(B4314="insumo",_xlfn.XLOOKUP($D4314,Insumos!$B$1:$B$996,Insumos!$D$1:$D$996),"")</f>
        <v/>
      </c>
      <c r="H4314" s="92" t="n">
        <v>62.04</v>
      </c>
      <c r="I4314" s="2162" t="n">
        <v>0</v>
      </c>
      <c r="J4314" s="2162" t="n">
        <v>0</v>
      </c>
      <c r="K4314" s="2162" t="n"/>
    </row>
    <row r="4315" outlineLevel="2" ht="15.75" customHeight="1">
      <c r="A4315" s="1067" t="n">
        <v>1</v>
      </c>
      <c r="B4315" s="1067" t="inlineStr">
        <is>
          <t>Serviço</t>
        </is>
      </c>
      <c r="C4315" s="1067" t="inlineStr">
        <is>
          <t>Moldura em EPS fachada - Material e Mão de obra</t>
        </is>
      </c>
      <c r="D4315" s="1067" t="inlineStr">
        <is>
          <t>Moldura em EPS fachada - Material e Mão de obra</t>
        </is>
      </c>
      <c r="E4315" s="1068" t="inlineStr">
        <is>
          <t>M2</t>
        </is>
      </c>
      <c r="F4315" s="1067" t="n"/>
      <c r="G4315" s="1069">
        <f t="array" ref="G4315">IF(B4315="insumo",_xlfn.XLOOKUP($D4315,Insumos!$B$1:$B$996,Insumos!$D$1:$D$996),"")</f>
        <v/>
      </c>
      <c r="H4315" s="1069" t="n">
        <v>412.932984848485</v>
      </c>
      <c r="I4315" s="2161" t="e">
        <v>#REF!</v>
      </c>
      <c r="J4315" s="2161" t="e">
        <v>#REF!</v>
      </c>
      <c r="K4315" s="2161" t="n"/>
    </row>
    <row r="4316" outlineLevel="3" ht="15.75" customHeight="1">
      <c r="A4316" s="10" t="n">
        <v>5</v>
      </c>
      <c r="B4316" s="10" t="inlineStr">
        <is>
          <t>Insumo</t>
        </is>
      </c>
      <c r="C4316" s="10" t="inlineStr">
        <is>
          <t>Moldura em EPS fachada - Material e Mão de obra</t>
        </is>
      </c>
      <c r="D4316" s="10" t="inlineStr">
        <is>
          <t>Moldura EPS - m³</t>
        </is>
      </c>
      <c r="E4316" s="11">
        <f t="array" ref="E4316">_xlfn.XLOOKUP(D4316,Insumos!B:B,Insumos!C:$C)</f>
        <v/>
      </c>
      <c r="F4316" s="14">
        <f>1.1/10</f>
        <v/>
      </c>
      <c r="G4316" s="92">
        <f t="array" ref="G4316">IF(B4316="insumo",_xlfn.XLOOKUP($D4316,Insumos!$B$1:$B$996,Insumos!$D$1:$D$996),"")</f>
        <v/>
      </c>
      <c r="H4316" s="92" t="n">
        <v>151.515151515152</v>
      </c>
      <c r="I4316" s="2162" t="e">
        <v>#REF!</v>
      </c>
      <c r="J4316" s="2162" t="e">
        <v>#REF!</v>
      </c>
      <c r="K4316" s="2162" t="n"/>
    </row>
    <row r="4317" outlineLevel="3" ht="15.75" customHeight="1">
      <c r="A4317" s="10" t="n">
        <v>191</v>
      </c>
      <c r="B4317" s="10" t="inlineStr">
        <is>
          <t>Insumo</t>
        </is>
      </c>
      <c r="C4317" s="10" t="inlineStr">
        <is>
          <t>Moldura em EPS fachada - Material e Mão de obra</t>
        </is>
      </c>
      <c r="D4317" s="10" t="inlineStr">
        <is>
          <t>Argamassa ACIII</t>
        </is>
      </c>
      <c r="E4317" s="11">
        <f t="array" ref="E4317">_xlfn.XLOOKUP(D4317,Insumos!B:B,Insumos!C:$C)</f>
        <v/>
      </c>
      <c r="F4317" s="14" t="n">
        <v>9</v>
      </c>
      <c r="G4317" s="92">
        <f t="array" ref="G4317">IF(B4317="insumo",_xlfn.XLOOKUP($D4317,Insumos!$B$1:$B$996,Insumos!$D$1:$D$996),"")</f>
        <v/>
      </c>
      <c r="H4317" s="92" t="n">
        <v>9.580500000000001</v>
      </c>
      <c r="I4317" s="2162" t="e">
        <v>#REF!</v>
      </c>
      <c r="J4317" s="2162" t="e">
        <v>#REF!</v>
      </c>
      <c r="K4317" s="2162" t="n"/>
    </row>
    <row r="4318" outlineLevel="3" ht="15.75" customHeight="1">
      <c r="A4318" s="10" t="n">
        <v>4</v>
      </c>
      <c r="B4318" s="10" t="inlineStr">
        <is>
          <t>Insumo</t>
        </is>
      </c>
      <c r="C4318" s="10" t="inlineStr">
        <is>
          <t>Moldura em EPS fachada - Material e Mão de obra</t>
        </is>
      </c>
      <c r="D4318" s="10" t="inlineStr">
        <is>
          <t>Massa cimentícia armada</t>
        </is>
      </c>
      <c r="E4318" s="11">
        <f t="array" ref="E4318">_xlfn.XLOOKUP(D4318,Insumos!B:B,Insumos!C:$C)</f>
        <v/>
      </c>
      <c r="F4318" s="14" t="n">
        <v>5</v>
      </c>
      <c r="G4318" s="92">
        <f t="array" ref="G4318">IF(B4318="insumo",_xlfn.XLOOKUP($D4318,Insumos!$B$1:$B$996,Insumos!$D$1:$D$996),"")</f>
        <v/>
      </c>
      <c r="H4318" s="92" t="n">
        <v>91.6333333333333</v>
      </c>
      <c r="I4318" s="2162" t="e">
        <v>#REF!</v>
      </c>
      <c r="J4318" s="2162" t="e">
        <v>#REF!</v>
      </c>
      <c r="K4318" s="2162" t="n"/>
    </row>
    <row r="4319" outlineLevel="3" ht="15.75" customHeight="1">
      <c r="A4319" s="10" t="n">
        <v>5</v>
      </c>
      <c r="B4319" s="10" t="inlineStr">
        <is>
          <t>Insumo</t>
        </is>
      </c>
      <c r="C4319" s="10" t="inlineStr">
        <is>
          <t>Moldura em EPS fachada - Material e Mão de obra</t>
        </is>
      </c>
      <c r="D4319" s="10" t="inlineStr">
        <is>
          <t>Tela de Fibra de Vidro</t>
        </is>
      </c>
      <c r="E4319" s="11">
        <f t="array" ref="E4319">_xlfn.XLOOKUP(D4319,Insumos!B:B,Insumos!C:$C)</f>
        <v/>
      </c>
      <c r="F4319" s="14" t="n">
        <v>1.1</v>
      </c>
      <c r="G4319" s="92">
        <f t="array" ref="G4319">IF(B4319="insumo",_xlfn.XLOOKUP($D4319,Insumos!$B$1:$B$996,Insumos!$D$1:$D$996),"")</f>
        <v/>
      </c>
      <c r="H4319" s="92" t="n">
        <v>8.91</v>
      </c>
      <c r="I4319" s="2162" t="e">
        <v>#REF!</v>
      </c>
      <c r="J4319" s="2162" t="e">
        <v>#REF!</v>
      </c>
      <c r="K4319" s="2162" t="n"/>
    </row>
    <row r="4320" outlineLevel="3" ht="15.75" customHeight="1">
      <c r="A4320" s="10" t="n">
        <v>31</v>
      </c>
      <c r="B4320" s="10" t="inlineStr">
        <is>
          <t>Insumo</t>
        </is>
      </c>
      <c r="C4320" s="10" t="inlineStr">
        <is>
          <t>Moldura em EPS fachada - Material e Mão de obra</t>
        </is>
      </c>
      <c r="D4320" s="10" t="inlineStr">
        <is>
          <t>Selador acrilico opaco premium interno/externo</t>
        </is>
      </c>
      <c r="E4320" s="11">
        <f t="array" ref="E4320">_xlfn.XLOOKUP(D4320,Insumos!B:B,Insumos!C:$C)</f>
        <v/>
      </c>
      <c r="F4320" s="14" t="n">
        <v>0.2</v>
      </c>
      <c r="G4320" s="92">
        <f t="array" ref="G4320">IF(B4320="insumo",_xlfn.XLOOKUP($D4320,Insumos!$B$1:$B$996,Insumos!$D$1:$D$996),"")</f>
        <v/>
      </c>
      <c r="H4320" s="92" t="n">
        <v>1.294</v>
      </c>
      <c r="I4320" s="2162" t="e">
        <v>#REF!</v>
      </c>
      <c r="J4320" s="2162" t="e">
        <v>#REF!</v>
      </c>
      <c r="K4320" s="2162" t="n"/>
    </row>
    <row r="4321" outlineLevel="3" ht="15.75" customHeight="1">
      <c r="A4321" s="10" t="n">
        <v>1</v>
      </c>
      <c r="B4321" s="10" t="inlineStr">
        <is>
          <t>Insumo</t>
        </is>
      </c>
      <c r="C4321" s="10" t="inlineStr">
        <is>
          <t>Moldura em EPS fachada - Material e Mão de obra</t>
        </is>
      </c>
      <c r="D4321" s="10" t="inlineStr">
        <is>
          <t>Mão de obra para execução de m2 de moldura de eps</t>
        </is>
      </c>
      <c r="E4321" s="11">
        <f t="array" ref="E4321">_xlfn.XLOOKUP(D4321,Insumos!B:B,Insumos!C:$C)</f>
        <v/>
      </c>
      <c r="F4321" s="14" t="n">
        <v>1</v>
      </c>
      <c r="G4321" s="92">
        <f t="array" ref="G4321">IF(B4321="insumo",_xlfn.XLOOKUP($D4321,Insumos!$B$1:$B$996,Insumos!$D$1:$D$996),"")</f>
        <v/>
      </c>
      <c r="H4321" s="92" t="n">
        <v>150</v>
      </c>
      <c r="I4321" s="2162" t="e">
        <v>#REF!</v>
      </c>
      <c r="J4321" s="2162" t="e">
        <v>#REF!</v>
      </c>
      <c r="K4321" s="2162" t="n"/>
    </row>
    <row r="4322" outlineLevel="1" ht="15.75" customHeight="1">
      <c r="A4322" s="1090" t="n">
        <v>1</v>
      </c>
      <c r="B4322" s="1090" t="inlineStr">
        <is>
          <t>Subetapa</t>
        </is>
      </c>
      <c r="C4322" s="1090" t="inlineStr">
        <is>
          <t>Moldura em EPS fachada - Material e Mão de obra</t>
        </is>
      </c>
      <c r="D4322" s="1090" t="inlineStr">
        <is>
          <t>REVESTIMENTO CERAMICO E PORCELANATO</t>
        </is>
      </c>
      <c r="E4322" s="1091" t="n"/>
      <c r="F4322" s="2160" t="n"/>
      <c r="G4322" s="1091" t="n"/>
      <c r="H4322" s="1091" t="n">
        <v>0</v>
      </c>
      <c r="I4322" s="2160" t="n">
        <v>0</v>
      </c>
      <c r="J4322" s="2160" t="n">
        <v>0</v>
      </c>
      <c r="K4322" s="2160" t="n"/>
    </row>
    <row r="4323" outlineLevel="2" ht="15.75" customHeight="1">
      <c r="A4323" s="1067" t="n">
        <v>1</v>
      </c>
      <c r="B4323" s="1067" t="inlineStr">
        <is>
          <t>Serviço</t>
        </is>
      </c>
      <c r="C4323" s="1067" t="inlineStr">
        <is>
          <t>Revestimento em cerâmica, rejunte acrilico, aplicação em Fachada</t>
        </is>
      </c>
      <c r="D4323" s="1067" t="inlineStr">
        <is>
          <t>Revestimento em cerâmica, rejunte acrilico, aplicação em Fachada</t>
        </is>
      </c>
      <c r="E4323" s="1068" t="inlineStr">
        <is>
          <t>M2</t>
        </is>
      </c>
      <c r="F4323" s="1067" t="n"/>
      <c r="G4323" s="1069">
        <f t="array" ref="G4323">IF(B4323="insumo",_xlfn.XLOOKUP($D4323,Insumos!$B$1:$B$996,Insumos!$D$1:$D$996),"")</f>
        <v/>
      </c>
      <c r="H4323" s="1069" t="n">
        <v>28.4506</v>
      </c>
      <c r="I4323" s="2161" t="n">
        <v>0</v>
      </c>
      <c r="J4323" s="2161" t="n">
        <v>0</v>
      </c>
      <c r="K4323" s="2161" t="n"/>
    </row>
    <row r="4324" outlineLevel="3" ht="15.75" customHeight="1">
      <c r="A4324" s="10" t="n">
        <v>1</v>
      </c>
      <c r="B4324" s="10" t="inlineStr">
        <is>
          <t>Insumo</t>
        </is>
      </c>
      <c r="C4324" s="10" t="inlineStr">
        <is>
          <t>Revestimento em cerâmica, rejunte acrilico, aplicação em Fachada</t>
        </is>
      </c>
      <c r="D4324" s="10" t="inlineStr">
        <is>
          <t>Piso Firenze Texas Gray Área Externa Classe A 60 x 60 Cm</t>
        </is>
      </c>
      <c r="E4324" s="11">
        <f t="array" ref="E4324">_xlfn.XLOOKUP(D4324,Insumos!B:B,Insumos!C:$C)</f>
        <v/>
      </c>
      <c r="F4324" s="14" t="n">
        <v>1.1</v>
      </c>
      <c r="G4324" s="92">
        <f t="array" ref="G4324">IF(B4324="insumo",_xlfn.XLOOKUP($D4324,Insumos!$B$1:$B$996,Insumos!$D$1:$D$996),"")</f>
        <v/>
      </c>
      <c r="H4324" s="92" t="n">
        <v>18.7</v>
      </c>
      <c r="I4324" s="2162" t="n">
        <v>0</v>
      </c>
      <c r="J4324" s="2162" t="n">
        <v>0</v>
      </c>
      <c r="K4324" s="2162" t="n"/>
    </row>
    <row r="4325" outlineLevel="3" ht="15.75" customHeight="1">
      <c r="A4325" s="10" t="n">
        <v>191</v>
      </c>
      <c r="B4325" s="10" t="inlineStr">
        <is>
          <t>Insumo</t>
        </is>
      </c>
      <c r="C4325" s="10" t="inlineStr">
        <is>
          <t>Revestimento em cerâmica, rejunte acrilico, aplicação em Fachada</t>
        </is>
      </c>
      <c r="D4325" s="10" t="inlineStr">
        <is>
          <t>Argamassa ACIII</t>
        </is>
      </c>
      <c r="E4325" s="11">
        <f t="array" ref="E4325">_xlfn.XLOOKUP(D4325,Insumos!B:B,Insumos!C:$C)</f>
        <v/>
      </c>
      <c r="F4325" s="14" t="n">
        <v>8.800000000000001</v>
      </c>
      <c r="G4325" s="92">
        <f t="array" ref="G4325">IF(B4325="insumo",_xlfn.XLOOKUP($D4325,Insumos!$B$1:$B$996,Insumos!$D$1:$D$996),"")</f>
        <v/>
      </c>
      <c r="H4325" s="92" t="n">
        <v>9.367599999999999</v>
      </c>
      <c r="I4325" s="2162" t="n">
        <v>0</v>
      </c>
      <c r="J4325" s="2162" t="n">
        <v>0</v>
      </c>
      <c r="K4325" s="2162" t="n"/>
    </row>
    <row r="4326" outlineLevel="3" ht="15.75" customHeight="1">
      <c r="A4326" s="10" t="n">
        <v>142</v>
      </c>
      <c r="B4326" s="10" t="inlineStr">
        <is>
          <t>Insumo</t>
        </is>
      </c>
      <c r="C4326" s="10" t="inlineStr">
        <is>
          <t>Revestimento em cerâmica, rejunte acrilico, aplicação em Fachada</t>
        </is>
      </c>
      <c r="D4326" s="10" t="inlineStr">
        <is>
          <t>Espeçador junta piso 2mm</t>
        </is>
      </c>
      <c r="E4326" s="11">
        <f t="array" ref="E4326">_xlfn.XLOOKUP(D4326,Insumos!B:B,Insumos!C:$C)</f>
        <v/>
      </c>
      <c r="F4326" s="14" t="n">
        <v>2</v>
      </c>
      <c r="G4326" s="92">
        <f t="array" ref="G4326">IF(B4326="insumo",_xlfn.XLOOKUP($D4326,Insumos!$B$1:$B$996,Insumos!$D$1:$D$996),"")</f>
        <v/>
      </c>
      <c r="H4326" s="92" t="n">
        <v>0.16</v>
      </c>
      <c r="I4326" s="2162" t="n">
        <v>0</v>
      </c>
      <c r="J4326" s="2162" t="n">
        <v>0</v>
      </c>
      <c r="K4326" s="2162" t="n"/>
    </row>
    <row r="4327" outlineLevel="3" ht="15.75" customHeight="1">
      <c r="A4327" s="10" t="n">
        <v>101</v>
      </c>
      <c r="B4327" s="10" t="inlineStr">
        <is>
          <t>Insumo</t>
        </is>
      </c>
      <c r="C4327" s="10" t="inlineStr">
        <is>
          <t>Revestimento em cerâmica, rejunte acrilico, aplicação em Fachada</t>
        </is>
      </c>
      <c r="D4327" s="10" t="inlineStr">
        <is>
          <t>Rejunte Cimentício</t>
        </is>
      </c>
      <c r="E4327" s="11">
        <f t="array" ref="E4327">_xlfn.XLOOKUP(D4327,Insumos!B:B,Insumos!C:$C)</f>
        <v/>
      </c>
      <c r="F4327" s="14" t="n">
        <v>0.02</v>
      </c>
      <c r="G4327" s="92">
        <f t="array" ref="G4327">IF(B4327="insumo",_xlfn.XLOOKUP($D4327,Insumos!$B$1:$B$996,Insumos!$D$1:$D$996),"")</f>
        <v/>
      </c>
      <c r="H4327" s="92" t="n">
        <v>0.223</v>
      </c>
      <c r="I4327" s="2162" t="n">
        <v>0</v>
      </c>
      <c r="J4327" s="2162" t="n">
        <v>0</v>
      </c>
      <c r="K4327" s="2162" t="n"/>
    </row>
    <row r="4328" outlineLevel="2" ht="15.75" customHeight="1">
      <c r="A4328" s="1067" t="n">
        <v>1</v>
      </c>
      <c r="B4328" s="1067" t="inlineStr">
        <is>
          <t>Serviço</t>
        </is>
      </c>
      <c r="C4328" s="1067" t="inlineStr">
        <is>
          <t xml:space="preserve">Revestimento em Pastilhas Cerâmicas Para Fachada com Junta de 3mm </t>
        </is>
      </c>
      <c r="D4328" s="1067" t="inlineStr">
        <is>
          <t xml:space="preserve">Revestimento em Pastilhas Cerâmicas Para Fachada com Junta de 3mm </t>
        </is>
      </c>
      <c r="E4328" s="1068" t="inlineStr">
        <is>
          <t>M2</t>
        </is>
      </c>
      <c r="F4328" s="1067" t="n"/>
      <c r="G4328" s="1069">
        <f t="array" ref="G4328">IF(B4328="insumo",_xlfn.XLOOKUP($D4328,Insumos!$B$1:$B$996,Insumos!$D$1:$D$996),"")</f>
        <v/>
      </c>
      <c r="H4328" s="1069" t="n">
        <v>156.1655</v>
      </c>
      <c r="I4328" s="2161" t="n">
        <v>0</v>
      </c>
      <c r="J4328" s="2161" t="n">
        <v>0</v>
      </c>
      <c r="K4328" s="2161" t="n"/>
    </row>
    <row r="4329" outlineLevel="3" ht="15.75" customHeight="1">
      <c r="A4329" s="10" t="n">
        <v>3</v>
      </c>
      <c r="B4329" s="10" t="inlineStr">
        <is>
          <t>Insumo</t>
        </is>
      </c>
      <c r="C4329" s="10" t="inlineStr">
        <is>
          <t xml:space="preserve">Revestimento em Pastilhas Cerâmicas Para Fachada com Junta de 3mm </t>
        </is>
      </c>
      <c r="D4329" s="10" t="inlineStr">
        <is>
          <t>Revestimento Pastilha 14,5x14,5cm</t>
        </is>
      </c>
      <c r="E4329" s="11">
        <f t="array" ref="E4329">_xlfn.XLOOKUP(D4329,Insumos!B:B,Insumos!C:$C)</f>
        <v/>
      </c>
      <c r="F4329" s="14" t="n">
        <v>1.1</v>
      </c>
      <c r="G4329" s="92">
        <f t="array" ref="G4329">IF(B4329="insumo",_xlfn.XLOOKUP($D4329,Insumos!$B$1:$B$996,Insumos!$D$1:$D$996),"")</f>
        <v/>
      </c>
      <c r="H4329" s="92" t="n">
        <v>140.69</v>
      </c>
      <c r="I4329" s="2162" t="n">
        <v>0</v>
      </c>
      <c r="J4329" s="2162" t="n">
        <v>0</v>
      </c>
      <c r="K4329" s="2162" t="n"/>
    </row>
    <row r="4330" outlineLevel="3" ht="15.75" customHeight="1">
      <c r="A4330" s="10" t="n">
        <v>191</v>
      </c>
      <c r="B4330" s="10" t="inlineStr">
        <is>
          <t>Insumo</t>
        </is>
      </c>
      <c r="C4330" s="10" t="inlineStr">
        <is>
          <t xml:space="preserve">Revestimento em Pastilhas Cerâmicas Para Fachada com Junta de 3mm </t>
        </is>
      </c>
      <c r="D4330" s="10" t="inlineStr">
        <is>
          <t>Argamassa ACIII</t>
        </is>
      </c>
      <c r="E4330" s="11">
        <f t="array" ref="E4330">_xlfn.XLOOKUP(D4330,Insumos!B:B,Insumos!C:$C)</f>
        <v/>
      </c>
      <c r="F4330" s="14" t="n">
        <v>9</v>
      </c>
      <c r="G4330" s="92">
        <f t="array" ref="G4330">IF(B4330="insumo",_xlfn.XLOOKUP($D4330,Insumos!$B$1:$B$996,Insumos!$D$1:$D$996),"")</f>
        <v/>
      </c>
      <c r="H4330" s="92" t="n">
        <v>9.580500000000001</v>
      </c>
      <c r="I4330" s="2162" t="n">
        <v>0</v>
      </c>
      <c r="J4330" s="2162" t="n">
        <v>0</v>
      </c>
      <c r="K4330" s="2162" t="n"/>
    </row>
    <row r="4331" outlineLevel="3" ht="15.75" customHeight="1">
      <c r="A4331" s="10" t="n">
        <v>142</v>
      </c>
      <c r="B4331" s="10" t="inlineStr">
        <is>
          <t>Insumo</t>
        </is>
      </c>
      <c r="C4331" s="10" t="inlineStr">
        <is>
          <t xml:space="preserve">Revestimento em Pastilhas Cerâmicas Para Fachada com Junta de 3mm </t>
        </is>
      </c>
      <c r="D4331" s="10" t="inlineStr">
        <is>
          <t>Espeçador junta piso 2mm</t>
        </is>
      </c>
      <c r="E4331" s="11">
        <f t="array" ref="E4331">_xlfn.XLOOKUP(D4331,Insumos!B:B,Insumos!C:$C)</f>
        <v/>
      </c>
      <c r="F4331" s="14" t="n">
        <v>4</v>
      </c>
      <c r="G4331" s="92">
        <f t="array" ref="G4331">IF(B4331="insumo",_xlfn.XLOOKUP($D4331,Insumos!$B$1:$B$996,Insumos!$D$1:$D$996),"")</f>
        <v/>
      </c>
      <c r="H4331" s="92" t="n">
        <v>0.32</v>
      </c>
      <c r="I4331" s="2162" t="n">
        <v>0</v>
      </c>
      <c r="J4331" s="2162" t="n">
        <v>0</v>
      </c>
      <c r="K4331" s="2162" t="n"/>
    </row>
    <row r="4332" outlineLevel="3" ht="15.75" customHeight="1">
      <c r="A4332" s="10" t="n">
        <v>101</v>
      </c>
      <c r="B4332" s="10" t="inlineStr">
        <is>
          <t>Insumo</t>
        </is>
      </c>
      <c r="C4332" s="10" t="inlineStr">
        <is>
          <t xml:space="preserve">Revestimento em Pastilhas Cerâmicas Para Fachada com Junta de 3mm </t>
        </is>
      </c>
      <c r="D4332" s="10" t="inlineStr">
        <is>
          <t>Rejunte Cimentício</t>
        </is>
      </c>
      <c r="E4332" s="11">
        <f t="array" ref="E4332">_xlfn.XLOOKUP(D4332,Insumos!B:B,Insumos!C:$C)</f>
        <v/>
      </c>
      <c r="F4332" s="14" t="n">
        <v>0.5</v>
      </c>
      <c r="G4332" s="92">
        <f t="array" ref="G4332">IF(B4332="insumo",_xlfn.XLOOKUP($D4332,Insumos!$B$1:$B$996,Insumos!$D$1:$D$996),"")</f>
        <v/>
      </c>
      <c r="H4332" s="92" t="n">
        <v>5.575</v>
      </c>
      <c r="I4332" s="2162" t="n">
        <v>0</v>
      </c>
      <c r="J4332" s="2162" t="n">
        <v>0</v>
      </c>
      <c r="K4332" s="2162" t="n"/>
    </row>
    <row r="4333" outlineLevel="2" ht="15.75" customHeight="1">
      <c r="A4333" s="1067" t="n">
        <v>1</v>
      </c>
      <c r="B4333" s="1067" t="inlineStr">
        <is>
          <t>Serviço</t>
        </is>
      </c>
      <c r="C4333" s="1067" t="inlineStr">
        <is>
          <t>Revestimento em Porcelanato amadeirado, rejunte cimentício, aplicação em Fachada</t>
        </is>
      </c>
      <c r="D4333" s="1067" t="inlineStr">
        <is>
          <t>Revestimento em Porcelanato amadeirado, rejunte cimentício, aplicação em Fachada</t>
        </is>
      </c>
      <c r="E4333" s="1068" t="inlineStr">
        <is>
          <t>M2</t>
        </is>
      </c>
      <c r="F4333" s="1067" t="n"/>
      <c r="G4333" s="1069">
        <f t="array" ref="G4333">IF(B4333="insumo",_xlfn.XLOOKUP($D4333,Insumos!$B$1:$B$996,Insumos!$D$1:$D$996),"")</f>
        <v/>
      </c>
      <c r="H4333" s="1069" t="n">
        <v>136.3545</v>
      </c>
      <c r="I4333" s="2161" t="n">
        <v>0</v>
      </c>
      <c r="J4333" s="2161" t="n">
        <v>0</v>
      </c>
      <c r="K4333" s="2161" t="n"/>
    </row>
    <row r="4334" outlineLevel="3" ht="15.75" customHeight="1">
      <c r="A4334" s="10" t="n">
        <v>2</v>
      </c>
      <c r="B4334" s="10" t="inlineStr">
        <is>
          <t>Insumo</t>
        </is>
      </c>
      <c r="C4334" s="10" t="inlineStr">
        <is>
          <t>Revestimento em Porcelanato amadeirado, rejunte cimentício, aplicação em Fachada</t>
        </is>
      </c>
      <c r="D4334" s="10" t="inlineStr">
        <is>
          <t>Porcelanato Amadeirado Acetinado 19x117cm</t>
        </is>
      </c>
      <c r="E4334" s="11">
        <f t="array" ref="E4334">_xlfn.XLOOKUP(D4334,Insumos!B:B,Insumos!C:$C)</f>
        <v/>
      </c>
      <c r="F4334" s="14" t="n">
        <v>1.1</v>
      </c>
      <c r="G4334" s="92">
        <f t="array" ref="G4334">IF(B4334="insumo",_xlfn.XLOOKUP($D4334,Insumos!$B$1:$B$996,Insumos!$D$1:$D$996),"")</f>
        <v/>
      </c>
      <c r="H4334" s="92" t="n">
        <v>120.879</v>
      </c>
      <c r="I4334" s="2162" t="n">
        <v>0</v>
      </c>
      <c r="J4334" s="2162" t="n">
        <v>0</v>
      </c>
      <c r="K4334" s="2162" t="n"/>
    </row>
    <row r="4335" outlineLevel="3" ht="15.75" customHeight="1">
      <c r="A4335" s="10" t="n">
        <v>191</v>
      </c>
      <c r="B4335" s="10" t="inlineStr">
        <is>
          <t>Insumo</t>
        </is>
      </c>
      <c r="C4335" s="10" t="inlineStr">
        <is>
          <t>Revestimento em Porcelanato amadeirado, rejunte cimentício, aplicação em Fachada</t>
        </is>
      </c>
      <c r="D4335" s="10" t="inlineStr">
        <is>
          <t>Argamassa ACIII</t>
        </is>
      </c>
      <c r="E4335" s="11">
        <f t="array" ref="E4335">_xlfn.XLOOKUP(D4335,Insumos!B:B,Insumos!C:$C)</f>
        <v/>
      </c>
      <c r="F4335" s="14" t="n">
        <v>9</v>
      </c>
      <c r="G4335" s="92">
        <f t="array" ref="G4335">IF(B4335="insumo",_xlfn.XLOOKUP($D4335,Insumos!$B$1:$B$996,Insumos!$D$1:$D$996),"")</f>
        <v/>
      </c>
      <c r="H4335" s="92" t="n">
        <v>9.580500000000001</v>
      </c>
      <c r="I4335" s="2162" t="n">
        <v>0</v>
      </c>
      <c r="J4335" s="2162" t="n">
        <v>0</v>
      </c>
      <c r="K4335" s="2162" t="n"/>
    </row>
    <row r="4336" outlineLevel="3" ht="15.75" customHeight="1">
      <c r="A4336" s="10" t="n">
        <v>142</v>
      </c>
      <c r="B4336" s="10" t="inlineStr">
        <is>
          <t>Insumo</t>
        </is>
      </c>
      <c r="C4336" s="10" t="inlineStr">
        <is>
          <t>Revestimento em Porcelanato amadeirado, rejunte cimentício, aplicação em Fachada</t>
        </is>
      </c>
      <c r="D4336" s="10" t="inlineStr">
        <is>
          <t>Espeçador junta piso 2mm</t>
        </is>
      </c>
      <c r="E4336" s="11">
        <f t="array" ref="E4336">_xlfn.XLOOKUP(D4336,Insumos!B:B,Insumos!C:$C)</f>
        <v/>
      </c>
      <c r="F4336" s="14" t="n">
        <v>4</v>
      </c>
      <c r="G4336" s="92">
        <f t="array" ref="G4336">IF(B4336="insumo",_xlfn.XLOOKUP($D4336,Insumos!$B$1:$B$996,Insumos!$D$1:$D$996),"")</f>
        <v/>
      </c>
      <c r="H4336" s="92" t="n">
        <v>0.32</v>
      </c>
      <c r="I4336" s="2162" t="n">
        <v>0</v>
      </c>
      <c r="J4336" s="2162" t="n">
        <v>0</v>
      </c>
      <c r="K4336" s="2162" t="n"/>
    </row>
    <row r="4337" outlineLevel="3" ht="15.75" customHeight="1">
      <c r="A4337" s="10" t="n">
        <v>101</v>
      </c>
      <c r="B4337" s="10" t="inlineStr">
        <is>
          <t>Insumo</t>
        </is>
      </c>
      <c r="C4337" s="10" t="inlineStr">
        <is>
          <t>Revestimento em Porcelanato amadeirado, rejunte cimentício, aplicação em Fachada</t>
        </is>
      </c>
      <c r="D4337" s="10" t="inlineStr">
        <is>
          <t>Rejunte Cimentício</t>
        </is>
      </c>
      <c r="E4337" s="11">
        <f t="array" ref="E4337">_xlfn.XLOOKUP(D4337,Insumos!B:B,Insumos!C:$C)</f>
        <v/>
      </c>
      <c r="F4337" s="14" t="n">
        <v>0.5</v>
      </c>
      <c r="G4337" s="92">
        <f t="array" ref="G4337">IF(B4337="insumo",_xlfn.XLOOKUP($D4337,Insumos!$B$1:$B$996,Insumos!$D$1:$D$996),"")</f>
        <v/>
      </c>
      <c r="H4337" s="92" t="n">
        <v>5.575</v>
      </c>
      <c r="I4337" s="2162" t="n">
        <v>0</v>
      </c>
      <c r="J4337" s="2162" t="n">
        <v>0</v>
      </c>
      <c r="K4337" s="2162" t="n"/>
    </row>
    <row r="4338" outlineLevel="2" ht="15.75" customHeight="1">
      <c r="A4338" s="1067" t="n">
        <v>1</v>
      </c>
      <c r="B4338" s="1067" t="inlineStr">
        <is>
          <t>Serviço</t>
        </is>
      </c>
      <c r="C4338" s="1067" t="inlineStr">
        <is>
          <t>Revestimento em Porcelanato Portinari Natura OFW - 100 x 100 cm , rejunte cimentício, aplicação em Fachada</t>
        </is>
      </c>
      <c r="D4338" s="1067" t="inlineStr">
        <is>
          <t>Revestimento em Porcelanato Portinari Natura OFW - 100 x 100 cm , rejunte cimentício, aplicação em Fachada</t>
        </is>
      </c>
      <c r="E4338" s="1068" t="inlineStr">
        <is>
          <t>M2</t>
        </is>
      </c>
      <c r="F4338" s="1067" t="n"/>
      <c r="G4338" s="1069">
        <f t="array" ref="G4338">IF(B4338="insumo",_xlfn.XLOOKUP($D4338,Insumos!$B$1:$B$996,Insumos!$D$1:$D$996),"")</f>
        <v/>
      </c>
      <c r="H4338" s="1069" t="n">
        <v>420.0756</v>
      </c>
      <c r="I4338" s="2161" t="n">
        <v>0</v>
      </c>
      <c r="J4338" s="2161" t="n">
        <v>0</v>
      </c>
      <c r="K4338" s="2161" t="n"/>
    </row>
    <row r="4339" outlineLevel="3" ht="15.75" customHeight="1">
      <c r="A4339" s="10" t="n">
        <v>1</v>
      </c>
      <c r="B4339" s="10" t="inlineStr">
        <is>
          <t>Insumo</t>
        </is>
      </c>
      <c r="C4339" s="10" t="inlineStr">
        <is>
          <t>Revestimento em Porcelanato Portinari Natura OFW - 100 x 100 cm , rejunte cimentício, aplicação em Fachada</t>
        </is>
      </c>
      <c r="D4339" s="10" t="inlineStr">
        <is>
          <t>Porcelanato Natural Portinari Neutral OFW "A" 100x100cm</t>
        </is>
      </c>
      <c r="E4339" s="11">
        <f t="array" ref="E4339">_xlfn.XLOOKUP(D4339,Insumos!B:B,Insumos!C:$C)</f>
        <v/>
      </c>
      <c r="F4339" s="14" t="n">
        <v>1.1</v>
      </c>
      <c r="G4339" s="92">
        <f t="array" ref="G4339">IF(B4339="insumo",_xlfn.XLOOKUP($D4339,Insumos!$B$1:$B$996,Insumos!$D$1:$D$996),"")</f>
        <v/>
      </c>
      <c r="H4339" s="92" t="n">
        <v>410.19</v>
      </c>
      <c r="I4339" s="2162" t="n">
        <v>0</v>
      </c>
      <c r="J4339" s="2162" t="n">
        <v>0</v>
      </c>
      <c r="K4339" s="2162" t="n"/>
    </row>
    <row r="4340" outlineLevel="3" ht="15.75" customHeight="1">
      <c r="A4340" s="10" t="n">
        <v>191</v>
      </c>
      <c r="B4340" s="10" t="inlineStr">
        <is>
          <t>Insumo</t>
        </is>
      </c>
      <c r="C4340" s="10" t="inlineStr">
        <is>
          <t>Revestimento em Porcelanato Portinari Natura OFW - 100 x 100 cm , rejunte cimentício, aplicação em Fachada</t>
        </is>
      </c>
      <c r="D4340" s="10" t="inlineStr">
        <is>
          <t>Argamassa ACIII</t>
        </is>
      </c>
      <c r="E4340" s="11">
        <f t="array" ref="E4340">_xlfn.XLOOKUP(D4340,Insumos!B:B,Insumos!C:$C)</f>
        <v/>
      </c>
      <c r="F4340" s="14" t="n">
        <v>8.800000000000001</v>
      </c>
      <c r="G4340" s="92">
        <f t="array" ref="G4340">IF(B4340="insumo",_xlfn.XLOOKUP($D4340,Insumos!$B$1:$B$996,Insumos!$D$1:$D$996),"")</f>
        <v/>
      </c>
      <c r="H4340" s="92" t="n">
        <v>9.367599999999999</v>
      </c>
      <c r="I4340" s="2162" t="n">
        <v>0</v>
      </c>
      <c r="J4340" s="2162" t="n">
        <v>0</v>
      </c>
      <c r="K4340" s="2162" t="n"/>
    </row>
    <row r="4341" outlineLevel="3" ht="15.75" customHeight="1">
      <c r="A4341" s="10" t="n">
        <v>142</v>
      </c>
      <c r="B4341" s="10" t="inlineStr">
        <is>
          <t>Insumo</t>
        </is>
      </c>
      <c r="C4341" s="10" t="inlineStr">
        <is>
          <t>Revestimento em Porcelanato Portinari Natura OFW - 100 x 100 cm , rejunte cimentício, aplicação em Fachada</t>
        </is>
      </c>
      <c r="D4341" s="10" t="inlineStr">
        <is>
          <t>Espeçador junta piso 2mm</t>
        </is>
      </c>
      <c r="E4341" s="11">
        <f t="array" ref="E4341">_xlfn.XLOOKUP(D4341,Insumos!B:B,Insumos!C:$C)</f>
        <v/>
      </c>
      <c r="F4341" s="14" t="n">
        <v>1</v>
      </c>
      <c r="G4341" s="92">
        <f t="array" ref="G4341">IF(B4341="insumo",_xlfn.XLOOKUP($D4341,Insumos!$B$1:$B$996,Insumos!$D$1:$D$996),"")</f>
        <v/>
      </c>
      <c r="H4341" s="92" t="n">
        <v>0.08</v>
      </c>
      <c r="I4341" s="2162" t="n">
        <v>0</v>
      </c>
      <c r="J4341" s="2162" t="n">
        <v>0</v>
      </c>
      <c r="K4341" s="2162" t="n"/>
    </row>
    <row r="4342" outlineLevel="3" ht="15.75" customHeight="1">
      <c r="A4342" s="10" t="n">
        <v>22</v>
      </c>
      <c r="B4342" s="10" t="inlineStr">
        <is>
          <t>Insumo</t>
        </is>
      </c>
      <c r="C4342" s="10" t="inlineStr">
        <is>
          <t>Revestimento em Porcelanato Portinari Natura OFW - 100 x 100 cm , rejunte cimentício, aplicação em Fachada</t>
        </is>
      </c>
      <c r="D4342" s="10" t="inlineStr">
        <is>
          <t>Rejunte Acrilico</t>
        </is>
      </c>
      <c r="E4342" s="11">
        <f t="array" ref="E4342">_xlfn.XLOOKUP(D4342,Insumos!B:B,Insumos!C:$C)</f>
        <v/>
      </c>
      <c r="F4342" s="14" t="n">
        <v>0.01</v>
      </c>
      <c r="G4342" s="92">
        <f t="array" ref="G4342">IF(B4342="insumo",_xlfn.XLOOKUP($D4342,Insumos!$B$1:$B$996,Insumos!$D$1:$D$996),"")</f>
        <v/>
      </c>
      <c r="H4342" s="92" t="n">
        <v>0.438</v>
      </c>
      <c r="I4342" s="2162" t="n">
        <v>0</v>
      </c>
      <c r="J4342" s="2162" t="n">
        <v>0</v>
      </c>
      <c r="K4342" s="2162" t="n"/>
    </row>
    <row r="4343" outlineLevel="2" ht="15.75" customHeight="1">
      <c r="A4343" s="1067" t="n">
        <v>1</v>
      </c>
      <c r="B4343" s="1067" t="inlineStr">
        <is>
          <t>Serviço</t>
        </is>
      </c>
      <c r="C4343" s="1067" t="inlineStr">
        <is>
          <t>Revestimento em Porcelanato amadeirado, rejunte acrilico, aplicação em Fachada</t>
        </is>
      </c>
      <c r="D4343" s="1067" t="inlineStr">
        <is>
          <t>Revestimento em Porcelanato amadeirado, rejunte acrilico, aplicação em Fachada</t>
        </is>
      </c>
      <c r="E4343" s="1068" t="inlineStr">
        <is>
          <t>M2</t>
        </is>
      </c>
      <c r="F4343" s="1067" t="n"/>
      <c r="G4343" s="1069">
        <f t="array" ref="G4343">IF(B4343="insumo",_xlfn.XLOOKUP($D4343,Insumos!$B$1:$B$996,Insumos!$D$1:$D$996),"")</f>
        <v/>
      </c>
      <c r="H4343" s="1069" t="n">
        <v>191.2506</v>
      </c>
      <c r="I4343" s="2161" t="n">
        <v>0</v>
      </c>
      <c r="J4343" s="2161" t="n">
        <v>0</v>
      </c>
      <c r="K4343" s="2161" t="n"/>
    </row>
    <row r="4344" outlineLevel="3" ht="15.75" customHeight="1">
      <c r="A4344" s="10" t="n">
        <v>1</v>
      </c>
      <c r="B4344" s="10" t="inlineStr">
        <is>
          <t>Insumo</t>
        </is>
      </c>
      <c r="C4344" s="10" t="inlineStr">
        <is>
          <t>Revestimento em Porcelanato amadeirado, rejunte acrilico, aplicação em Fachada</t>
        </is>
      </c>
      <c r="D4344" s="10" t="inlineStr">
        <is>
          <t>Porcelanato Canela Dourada Retificado Natural 20x120</t>
        </is>
      </c>
      <c r="E4344" s="11">
        <f t="array" ref="E4344">_xlfn.XLOOKUP(D4344,Insumos!B:B,Insumos!C:$C)</f>
        <v/>
      </c>
      <c r="F4344" s="14" t="n">
        <v>1.1</v>
      </c>
      <c r="G4344" s="92">
        <f t="array" ref="G4344">IF(B4344="insumo",_xlfn.XLOOKUP($D4344,Insumos!$B$1:$B$996,Insumos!$D$1:$D$996),"")</f>
        <v/>
      </c>
      <c r="H4344" s="92" t="n">
        <v>181.5</v>
      </c>
      <c r="I4344" s="2162" t="n">
        <v>0</v>
      </c>
      <c r="J4344" s="2162" t="n">
        <v>0</v>
      </c>
      <c r="K4344" s="2162" t="n"/>
    </row>
    <row r="4345" outlineLevel="3" ht="15.75" customHeight="1">
      <c r="A4345" s="10" t="n">
        <v>191</v>
      </c>
      <c r="B4345" s="10" t="inlineStr">
        <is>
          <t>Insumo</t>
        </is>
      </c>
      <c r="C4345" s="10" t="inlineStr">
        <is>
          <t>Revestimento em Porcelanato amadeirado, rejunte acrilico, aplicação em Fachada</t>
        </is>
      </c>
      <c r="D4345" s="10" t="inlineStr">
        <is>
          <t>Argamassa ACIII</t>
        </is>
      </c>
      <c r="E4345" s="11">
        <f t="array" ref="E4345">_xlfn.XLOOKUP(D4345,Insumos!B:B,Insumos!C:$C)</f>
        <v/>
      </c>
      <c r="F4345" s="14" t="n">
        <v>8.800000000000001</v>
      </c>
      <c r="G4345" s="92">
        <f t="array" ref="G4345">IF(B4345="insumo",_xlfn.XLOOKUP($D4345,Insumos!$B$1:$B$996,Insumos!$D$1:$D$996),"")</f>
        <v/>
      </c>
      <c r="H4345" s="92" t="n">
        <v>9.367599999999999</v>
      </c>
      <c r="I4345" s="2162" t="n">
        <v>0</v>
      </c>
      <c r="J4345" s="2162" t="n">
        <v>0</v>
      </c>
      <c r="K4345" s="2162" t="n"/>
    </row>
    <row r="4346" outlineLevel="3" ht="15.75" customHeight="1">
      <c r="A4346" s="10" t="n">
        <v>142</v>
      </c>
      <c r="B4346" s="10" t="inlineStr">
        <is>
          <t>Insumo</t>
        </is>
      </c>
      <c r="C4346" s="10" t="inlineStr">
        <is>
          <t>Revestimento em Porcelanato amadeirado, rejunte acrilico, aplicação em Fachada</t>
        </is>
      </c>
      <c r="D4346" s="10" t="inlineStr">
        <is>
          <t>Espeçador junta piso 2mm</t>
        </is>
      </c>
      <c r="E4346" s="11">
        <f t="array" ref="E4346">_xlfn.XLOOKUP(D4346,Insumos!B:B,Insumos!C:$C)</f>
        <v/>
      </c>
      <c r="F4346" s="14" t="n">
        <v>2</v>
      </c>
      <c r="G4346" s="92">
        <f t="array" ref="G4346">IF(B4346="insumo",_xlfn.XLOOKUP($D4346,Insumos!$B$1:$B$996,Insumos!$D$1:$D$996),"")</f>
        <v/>
      </c>
      <c r="H4346" s="92" t="n">
        <v>0.16</v>
      </c>
      <c r="I4346" s="2162" t="n">
        <v>0</v>
      </c>
      <c r="J4346" s="2162" t="n">
        <v>0</v>
      </c>
      <c r="K4346" s="2162" t="n"/>
    </row>
    <row r="4347" outlineLevel="3" ht="15.75" customHeight="1">
      <c r="A4347" s="10" t="n">
        <v>101</v>
      </c>
      <c r="B4347" s="10" t="inlineStr">
        <is>
          <t>Insumo</t>
        </is>
      </c>
      <c r="C4347" s="10" t="inlineStr">
        <is>
          <t>Revestimento em Porcelanato amadeirado, rejunte acrilico, aplicação em Fachada</t>
        </is>
      </c>
      <c r="D4347" s="10" t="inlineStr">
        <is>
          <t>Rejunte Cimentício</t>
        </is>
      </c>
      <c r="E4347" s="11">
        <f t="array" ref="E4347">_xlfn.XLOOKUP(D4347,Insumos!B:B,Insumos!C:$C)</f>
        <v/>
      </c>
      <c r="F4347" s="14" t="n">
        <v>0.02</v>
      </c>
      <c r="G4347" s="92">
        <f t="array" ref="G4347">IF(B4347="insumo",_xlfn.XLOOKUP($D4347,Insumos!$B$1:$B$996,Insumos!$D$1:$D$996),"")</f>
        <v/>
      </c>
      <c r="H4347" s="92" t="n">
        <v>0.223</v>
      </c>
      <c r="I4347" s="2162" t="n">
        <v>0</v>
      </c>
      <c r="J4347" s="2162" t="n">
        <v>0</v>
      </c>
      <c r="K4347" s="2162" t="n"/>
    </row>
    <row r="4348" outlineLevel="2" ht="15.75" customHeight="1">
      <c r="A4348" s="1067" t="n">
        <v>1</v>
      </c>
      <c r="B4348" s="1067" t="inlineStr">
        <is>
          <t>Serviço</t>
        </is>
      </c>
      <c r="C4348" s="1067" t="inlineStr">
        <is>
          <t>Revestimento em Porcelanato Portobello - 30 x 30 cm , rejunte acrilico, aplicação em Fachada</t>
        </is>
      </c>
      <c r="D4348" s="1067" t="inlineStr">
        <is>
          <t>Revestimento em Porcelanato Portobello - 30 x 30 cm , rejunte acrilico, aplicação em Fachada</t>
        </is>
      </c>
      <c r="E4348" s="1068" t="inlineStr">
        <is>
          <t>M2</t>
        </is>
      </c>
      <c r="F4348" s="1067" t="n"/>
      <c r="G4348" s="1069">
        <f t="array" ref="G4348">IF(B4348="insumo",_xlfn.XLOOKUP($D4348,Insumos!$B$1:$B$996,Insumos!$D$1:$D$996),"")</f>
        <v/>
      </c>
      <c r="H4348" s="1069" t="n">
        <v>93.1306</v>
      </c>
      <c r="I4348" s="2161" t="n">
        <v>0</v>
      </c>
      <c r="J4348" s="2161" t="n">
        <v>0</v>
      </c>
      <c r="K4348" s="2161" t="n"/>
    </row>
    <row r="4349" outlineLevel="3" ht="15.75" customHeight="1">
      <c r="A4349" s="10" t="n">
        <v>1</v>
      </c>
      <c r="B4349" s="10" t="inlineStr">
        <is>
          <t>Insumo</t>
        </is>
      </c>
      <c r="C4349" s="10" t="inlineStr">
        <is>
          <t>Revestimento em Porcelanato Portobello - 30 x 30 cm , rejunte acrilico, aplicação em Fachada</t>
        </is>
      </c>
      <c r="D4349" s="10" t="inlineStr">
        <is>
          <t xml:space="preserve">Porcelanato A 30x30 </t>
        </is>
      </c>
      <c r="E4349" s="11">
        <f t="array" ref="E4349">_xlfn.XLOOKUP(D4349,Insumos!B:B,Insumos!C:$C)</f>
        <v/>
      </c>
      <c r="F4349" s="14" t="n">
        <v>1.1</v>
      </c>
      <c r="G4349" s="92">
        <f t="array" ref="G4349">IF(B4349="insumo",_xlfn.XLOOKUP($D4349,Insumos!$B$1:$B$996,Insumos!$D$1:$D$996),"")</f>
        <v/>
      </c>
      <c r="H4349" s="92" t="n">
        <v>83.38</v>
      </c>
      <c r="I4349" s="2162" t="n">
        <v>0</v>
      </c>
      <c r="J4349" s="2162" t="n">
        <v>0</v>
      </c>
      <c r="K4349" s="2162" t="n"/>
    </row>
    <row r="4350" outlineLevel="3" ht="15.75" customHeight="1">
      <c r="A4350" s="10" t="n">
        <v>191</v>
      </c>
      <c r="B4350" s="10" t="inlineStr">
        <is>
          <t>Insumo</t>
        </is>
      </c>
      <c r="C4350" s="10" t="inlineStr">
        <is>
          <t>Revestimento em Porcelanato Portobello - 30 x 30 cm , rejunte acrilico, aplicação em Fachada</t>
        </is>
      </c>
      <c r="D4350" s="10" t="inlineStr">
        <is>
          <t>Argamassa ACIII</t>
        </is>
      </c>
      <c r="E4350" s="11">
        <f t="array" ref="E4350">_xlfn.XLOOKUP(D4350,Insumos!B:B,Insumos!C:$C)</f>
        <v/>
      </c>
      <c r="F4350" s="14" t="n">
        <v>8.800000000000001</v>
      </c>
      <c r="G4350" s="92">
        <f t="array" ref="G4350">IF(B4350="insumo",_xlfn.XLOOKUP($D4350,Insumos!$B$1:$B$996,Insumos!$D$1:$D$996),"")</f>
        <v/>
      </c>
      <c r="H4350" s="92" t="n">
        <v>9.367599999999999</v>
      </c>
      <c r="I4350" s="2162" t="n">
        <v>0</v>
      </c>
      <c r="J4350" s="2162" t="n">
        <v>0</v>
      </c>
      <c r="K4350" s="2162" t="n"/>
    </row>
    <row r="4351" outlineLevel="3" ht="15.75" customHeight="1">
      <c r="A4351" s="10" t="n">
        <v>142</v>
      </c>
      <c r="B4351" s="10" t="inlineStr">
        <is>
          <t>Insumo</t>
        </is>
      </c>
      <c r="C4351" s="10" t="inlineStr">
        <is>
          <t>Revestimento em Porcelanato Portobello - 30 x 30 cm , rejunte acrilico, aplicação em Fachada</t>
        </is>
      </c>
      <c r="D4351" s="10" t="inlineStr">
        <is>
          <t>Espeçador junta piso 2mm</t>
        </is>
      </c>
      <c r="E4351" s="11">
        <f t="array" ref="E4351">_xlfn.XLOOKUP(D4351,Insumos!B:B,Insumos!C:$C)</f>
        <v/>
      </c>
      <c r="F4351" s="14" t="n">
        <v>2</v>
      </c>
      <c r="G4351" s="92">
        <f t="array" ref="G4351">IF(B4351="insumo",_xlfn.XLOOKUP($D4351,Insumos!$B$1:$B$996,Insumos!$D$1:$D$996),"")</f>
        <v/>
      </c>
      <c r="H4351" s="92" t="n">
        <v>0.16</v>
      </c>
      <c r="I4351" s="2162" t="n">
        <v>0</v>
      </c>
      <c r="J4351" s="2162" t="n">
        <v>0</v>
      </c>
      <c r="K4351" s="2162" t="n"/>
    </row>
    <row r="4352" outlineLevel="3" ht="15.75" customHeight="1">
      <c r="A4352" s="10" t="n">
        <v>101</v>
      </c>
      <c r="B4352" s="10" t="inlineStr">
        <is>
          <t>Insumo</t>
        </is>
      </c>
      <c r="C4352" s="10" t="inlineStr">
        <is>
          <t>Revestimento em Porcelanato Portobello - 30 x 30 cm , rejunte acrilico, aplicação em Fachada</t>
        </is>
      </c>
      <c r="D4352" s="10" t="inlineStr">
        <is>
          <t>Rejunte Cimentício</t>
        </is>
      </c>
      <c r="E4352" s="11">
        <f t="array" ref="E4352">_xlfn.XLOOKUP(D4352,Insumos!B:B,Insumos!C:$C)</f>
        <v/>
      </c>
      <c r="F4352" s="14" t="n">
        <v>0.02</v>
      </c>
      <c r="G4352" s="92">
        <f t="array" ref="G4352">IF(B4352="insumo",_xlfn.XLOOKUP($D4352,Insumos!$B$1:$B$996,Insumos!$D$1:$D$996),"")</f>
        <v/>
      </c>
      <c r="H4352" s="92" t="n">
        <v>0.223</v>
      </c>
      <c r="I4352" s="2162" t="n">
        <v>0</v>
      </c>
      <c r="J4352" s="2162" t="n">
        <v>0</v>
      </c>
      <c r="K4352" s="2162" t="n"/>
    </row>
    <row r="4353" outlineLevel="2" ht="15.75" customHeight="1">
      <c r="A4353" s="1067" t="n">
        <v>1</v>
      </c>
      <c r="B4353" s="1067" t="inlineStr">
        <is>
          <t>Serviço</t>
        </is>
      </c>
      <c r="C4353" s="1067" t="inlineStr">
        <is>
          <t>Revestimento em Porcelanato bege, rejunte acrilico, aplicação em Fachada</t>
        </is>
      </c>
      <c r="D4353" s="1067" t="inlineStr">
        <is>
          <t>Revestimento em Porcelanato bege, rejunte acrilico, aplicação em Fachada</t>
        </is>
      </c>
      <c r="E4353" s="1068" t="inlineStr">
        <is>
          <t>M2</t>
        </is>
      </c>
      <c r="F4353" s="1067" t="n"/>
      <c r="G4353" s="1069">
        <f t="array" ref="G4353">IF(B4353="insumo",_xlfn.XLOOKUP($D4353,Insumos!$B$1:$B$996,Insumos!$D$1:$D$996),"")</f>
        <v/>
      </c>
      <c r="H4353" s="1069" t="n">
        <v>99.95059999999999</v>
      </c>
      <c r="I4353" s="2161" t="n">
        <v>0</v>
      </c>
      <c r="J4353" s="2161" t="n">
        <v>0</v>
      </c>
      <c r="K4353" s="2161" t="n"/>
    </row>
    <row r="4354" outlineLevel="3" ht="15.75" customHeight="1">
      <c r="A4354" s="10" t="n">
        <v>5</v>
      </c>
      <c r="B4354" s="10" t="inlineStr">
        <is>
          <t>Insumo</t>
        </is>
      </c>
      <c r="C4354" s="10" t="inlineStr">
        <is>
          <t>Revestimento em Porcelanato bege, rejunte acrilico, aplicação em Fachada</t>
        </is>
      </c>
      <c r="D4354" s="10" t="inlineStr">
        <is>
          <t xml:space="preserve">Porcelanato A 90x90 Polido </t>
        </is>
      </c>
      <c r="E4354" s="11">
        <f t="array" ref="E4354">_xlfn.XLOOKUP(D4354,Insumos!B:B,Insumos!C:$C)</f>
        <v/>
      </c>
      <c r="F4354" s="14" t="n">
        <v>1.1</v>
      </c>
      <c r="G4354" s="92">
        <f t="array" ref="G4354">IF(B4354="insumo",_xlfn.XLOOKUP($D4354,Insumos!$B$1:$B$996,Insumos!$D$1:$D$996),"")</f>
        <v/>
      </c>
      <c r="H4354" s="92" t="n">
        <v>90.2</v>
      </c>
      <c r="I4354" s="2162" t="n">
        <v>0</v>
      </c>
      <c r="J4354" s="2162" t="n">
        <v>0</v>
      </c>
      <c r="K4354" s="2162" t="n"/>
    </row>
    <row r="4355" outlineLevel="3" ht="15.75" customHeight="1">
      <c r="A4355" s="10" t="n">
        <v>191</v>
      </c>
      <c r="B4355" s="10" t="inlineStr">
        <is>
          <t>Insumo</t>
        </is>
      </c>
      <c r="C4355" s="10" t="inlineStr">
        <is>
          <t>Revestimento em Porcelanato bege, rejunte acrilico, aplicação em Fachada</t>
        </is>
      </c>
      <c r="D4355" s="10" t="inlineStr">
        <is>
          <t>Argamassa ACIII</t>
        </is>
      </c>
      <c r="E4355" s="11">
        <f t="array" ref="E4355">_xlfn.XLOOKUP(D4355,Insumos!B:B,Insumos!C:$C)</f>
        <v/>
      </c>
      <c r="F4355" s="14" t="n">
        <v>8.800000000000001</v>
      </c>
      <c r="G4355" s="92">
        <f t="array" ref="G4355">IF(B4355="insumo",_xlfn.XLOOKUP($D4355,Insumos!$B$1:$B$996,Insumos!$D$1:$D$996),"")</f>
        <v/>
      </c>
      <c r="H4355" s="92" t="n">
        <v>9.367599999999999</v>
      </c>
      <c r="I4355" s="2162" t="n">
        <v>0</v>
      </c>
      <c r="J4355" s="2162" t="n">
        <v>0</v>
      </c>
      <c r="K4355" s="2162" t="n"/>
    </row>
    <row r="4356" outlineLevel="3" ht="15.75" customHeight="1">
      <c r="A4356" s="10" t="n">
        <v>142</v>
      </c>
      <c r="B4356" s="10" t="inlineStr">
        <is>
          <t>Insumo</t>
        </is>
      </c>
      <c r="C4356" s="10" t="inlineStr">
        <is>
          <t>Revestimento em Porcelanato bege, rejunte acrilico, aplicação em Fachada</t>
        </is>
      </c>
      <c r="D4356" s="10" t="inlineStr">
        <is>
          <t>Espeçador junta piso 2mm</t>
        </is>
      </c>
      <c r="E4356" s="11">
        <f t="array" ref="E4356">_xlfn.XLOOKUP(D4356,Insumos!B:B,Insumos!C:$C)</f>
        <v/>
      </c>
      <c r="F4356" s="14" t="n">
        <v>2</v>
      </c>
      <c r="G4356" s="92">
        <f t="array" ref="G4356">IF(B4356="insumo",_xlfn.XLOOKUP($D4356,Insumos!$B$1:$B$996,Insumos!$D$1:$D$996),"")</f>
        <v/>
      </c>
      <c r="H4356" s="92" t="n">
        <v>0.16</v>
      </c>
      <c r="I4356" s="2162" t="n">
        <v>0</v>
      </c>
      <c r="J4356" s="2162" t="n">
        <v>0</v>
      </c>
      <c r="K4356" s="2162" t="n"/>
    </row>
    <row r="4357" outlineLevel="3" ht="15.75" customHeight="1">
      <c r="A4357" s="10" t="n">
        <v>101</v>
      </c>
      <c r="B4357" s="10" t="inlineStr">
        <is>
          <t>Insumo</t>
        </is>
      </c>
      <c r="C4357" s="10" t="inlineStr">
        <is>
          <t>Revestimento em Porcelanato bege, rejunte acrilico, aplicação em Fachada</t>
        </is>
      </c>
      <c r="D4357" s="10" t="inlineStr">
        <is>
          <t>Rejunte Cimentício</t>
        </is>
      </c>
      <c r="E4357" s="11">
        <f t="array" ref="E4357">_xlfn.XLOOKUP(D4357,Insumos!B:B,Insumos!C:$C)</f>
        <v/>
      </c>
      <c r="F4357" s="14" t="n">
        <v>0.02</v>
      </c>
      <c r="G4357" s="92">
        <f t="array" ref="G4357">IF(B4357="insumo",_xlfn.XLOOKUP($D4357,Insumos!$B$1:$B$996,Insumos!$D$1:$D$996),"")</f>
        <v/>
      </c>
      <c r="H4357" s="92" t="n">
        <v>0.223</v>
      </c>
      <c r="I4357" s="2162" t="n">
        <v>0</v>
      </c>
      <c r="J4357" s="2162" t="n">
        <v>0</v>
      </c>
      <c r="K4357" s="2162" t="n"/>
    </row>
    <row r="4358" outlineLevel="2" ht="15.75" customHeight="1">
      <c r="A4358" s="1067" t="n">
        <v>1</v>
      </c>
      <c r="B4358" s="1067" t="inlineStr">
        <is>
          <t>Serviço</t>
        </is>
      </c>
      <c r="C4358" s="1067" t="inlineStr">
        <is>
          <t>Acabamento em Porcelanato 1,20x60 para fachada ventilada</t>
        </is>
      </c>
      <c r="D4358" s="1067" t="inlineStr">
        <is>
          <t>Acabamento em Porcelanato 1,20x60 para fachada ventilada</t>
        </is>
      </c>
      <c r="E4358" s="1068" t="inlineStr">
        <is>
          <t>M2</t>
        </is>
      </c>
      <c r="F4358" s="1067" t="n"/>
      <c r="G4358" s="1069">
        <f t="array" ref="G4358">IF(B4358="insumo",_xlfn.XLOOKUP($D4358,Insumos!$B$1:$B$996,Insumos!$D$1:$D$996),"")</f>
        <v/>
      </c>
      <c r="H4358" s="1069" t="n">
        <v>332.39</v>
      </c>
      <c r="I4358" s="2161" t="n">
        <v>0</v>
      </c>
      <c r="J4358" s="2161" t="n">
        <v>0</v>
      </c>
      <c r="K4358" s="2161" t="n"/>
    </row>
    <row r="4359" outlineLevel="3" ht="15.75" customHeight="1">
      <c r="A4359" s="10" t="n">
        <v>1</v>
      </c>
      <c r="B4359" s="10" t="inlineStr">
        <is>
          <t>Insumo</t>
        </is>
      </c>
      <c r="C4359" s="10" t="inlineStr">
        <is>
          <t>Acabamento em Porcelanato 1,20x60 para fachada ventilada</t>
        </is>
      </c>
      <c r="D4359" s="10" t="inlineStr">
        <is>
          <t>PAINEL PORCELANATO MATERIA CALCARIO AC 60X120 CM, com
aplicação de Tela de Fibra de Vidro.</t>
        </is>
      </c>
      <c r="E4359" s="11">
        <f t="array" ref="E4359">_xlfn.XLOOKUP(D4359,Insumos!B:B,Insumos!C:$C)</f>
        <v/>
      </c>
      <c r="F4359" s="14" t="n">
        <v>1</v>
      </c>
      <c r="G4359" s="92">
        <f t="array" ref="G4359">IF(B4359="insumo",_xlfn.XLOOKUP($D4359,Insumos!$B$1:$B$996,Insumos!$D$1:$D$996),"")</f>
        <v/>
      </c>
      <c r="H4359" s="92" t="n">
        <v>246.84</v>
      </c>
      <c r="I4359" s="2162" t="n">
        <v>0</v>
      </c>
      <c r="J4359" s="2162" t="n">
        <v>0</v>
      </c>
      <c r="K4359" s="2162" t="n"/>
    </row>
    <row r="4360" outlineLevel="3" ht="15.75" customHeight="1">
      <c r="A4360" s="10" t="n">
        <v>1</v>
      </c>
      <c r="B4360" s="10" t="inlineStr">
        <is>
          <t>Insumo</t>
        </is>
      </c>
      <c r="C4360" s="15" t="inlineStr">
        <is>
          <t>Acabamento em Porcelanato 1,20x60 para fachada ventilada</t>
        </is>
      </c>
      <c r="D4360" s="15" t="inlineStr">
        <is>
          <t>TECNOLOGIA CLEANTEC EV</t>
        </is>
      </c>
      <c r="E4360" s="11">
        <f t="array" ref="E4360">_xlfn.XLOOKUP(D4360,Insumos!B:B,Insumos!C:$C)</f>
        <v/>
      </c>
      <c r="F4360" s="14" t="n">
        <v>1</v>
      </c>
      <c r="G4360" s="92">
        <f t="array" ref="G4360">IF(B4360="insumo",_xlfn.XLOOKUP($D4360,Insumos!$B$1:$B$996,Insumos!$D$1:$D$996),"")</f>
        <v/>
      </c>
      <c r="H4360" s="92" t="n">
        <v>85.55</v>
      </c>
      <c r="I4360" s="2162" t="n">
        <v>0</v>
      </c>
      <c r="J4360" s="2162" t="n">
        <v>0</v>
      </c>
      <c r="K4360" s="2162" t="n"/>
    </row>
    <row r="4361" outlineLevel="2" ht="15.75" customHeight="1">
      <c r="A4361" s="1067" t="n">
        <v>1</v>
      </c>
      <c r="B4361" s="1067" t="inlineStr">
        <is>
          <t>Serviço</t>
        </is>
      </c>
      <c r="C4361" s="1067" t="inlineStr">
        <is>
          <t>Revestimento em Cerâmico Tijolinho, aplicação em Fachada</t>
        </is>
      </c>
      <c r="D4361" s="1067" t="inlineStr">
        <is>
          <t>Revestimento em Cerâmico Tijolinho, aplicação em Fachada</t>
        </is>
      </c>
      <c r="E4361" s="1068" t="inlineStr">
        <is>
          <t>M2</t>
        </is>
      </c>
      <c r="F4361" s="1067" t="n"/>
      <c r="G4361" s="1069">
        <f t="array" ref="G4361">IF(B4361="insumo",_xlfn.XLOOKUP($D4361,Insumos!$B$1:$B$996,Insumos!$D$1:$D$996),"")</f>
        <v/>
      </c>
      <c r="H4361" s="1069" t="n">
        <v>139.4565</v>
      </c>
      <c r="I4361" s="2161" t="n">
        <v>0</v>
      </c>
      <c r="J4361" s="2161" t="n">
        <v>0</v>
      </c>
      <c r="K4361" s="2161" t="n"/>
    </row>
    <row r="4362" outlineLevel="3" ht="15.75" customHeight="1">
      <c r="A4362" s="10" t="n">
        <v>1</v>
      </c>
      <c r="B4362" s="10" t="inlineStr">
        <is>
          <t>Insumo</t>
        </is>
      </c>
      <c r="C4362" s="10" t="inlineStr">
        <is>
          <t>Revestimento em Cerâmico Tijolinho, aplicação em Fachada</t>
        </is>
      </c>
      <c r="D4362" s="10" t="inlineStr">
        <is>
          <t>REVESTIMENTO CERÂMICO DE TIJOLINHO</t>
        </is>
      </c>
      <c r="E4362" s="11">
        <f t="array" ref="E4362">_xlfn.XLOOKUP(D4362,Insumos!B:B,Insumos!C:$C)</f>
        <v/>
      </c>
      <c r="F4362" s="14" t="n">
        <v>1.1</v>
      </c>
      <c r="G4362" s="92">
        <f t="array" ref="G4362">IF(B4362="insumo",_xlfn.XLOOKUP($D4362,Insumos!$B$1:$B$996,Insumos!$D$1:$D$996),"")</f>
        <v/>
      </c>
      <c r="H4362" s="92" t="n">
        <v>123.981</v>
      </c>
      <c r="I4362" s="2162" t="n">
        <v>0</v>
      </c>
      <c r="J4362" s="2162" t="n">
        <v>0</v>
      </c>
      <c r="K4362" s="2162" t="n"/>
    </row>
    <row r="4363" outlineLevel="3" ht="15.75" customHeight="1">
      <c r="A4363" s="10" t="n">
        <v>191</v>
      </c>
      <c r="B4363" s="10" t="inlineStr">
        <is>
          <t>Insumo</t>
        </is>
      </c>
      <c r="C4363" s="10" t="inlineStr">
        <is>
          <t>Revestimento em Cerâmico Tijolinho, aplicação em Fachada</t>
        </is>
      </c>
      <c r="D4363" s="10" t="inlineStr">
        <is>
          <t>Argamassa ACIII</t>
        </is>
      </c>
      <c r="E4363" s="11">
        <f t="array" ref="E4363">_xlfn.XLOOKUP(D4363,Insumos!B:B,Insumos!C:$C)</f>
        <v/>
      </c>
      <c r="F4363" s="14" t="n">
        <v>9</v>
      </c>
      <c r="G4363" s="92">
        <f t="array" ref="G4363">IF(B4363="insumo",_xlfn.XLOOKUP($D4363,Insumos!$B$1:$B$996,Insumos!$D$1:$D$996),"")</f>
        <v/>
      </c>
      <c r="H4363" s="92" t="n">
        <v>9.580500000000001</v>
      </c>
      <c r="I4363" s="2162" t="n">
        <v>0</v>
      </c>
      <c r="J4363" s="2162" t="n">
        <v>0</v>
      </c>
      <c r="K4363" s="2162" t="n"/>
    </row>
    <row r="4364" outlineLevel="3" ht="15.75" customHeight="1">
      <c r="A4364" s="10" t="n">
        <v>142</v>
      </c>
      <c r="B4364" s="10" t="inlineStr">
        <is>
          <t>Insumo</t>
        </is>
      </c>
      <c r="C4364" s="10" t="inlineStr">
        <is>
          <t>Revestimento em Cerâmico Tijolinho, aplicação em Fachada</t>
        </is>
      </c>
      <c r="D4364" s="10" t="inlineStr">
        <is>
          <t>Espeçador junta piso 2mm</t>
        </is>
      </c>
      <c r="E4364" s="11">
        <f t="array" ref="E4364">_xlfn.XLOOKUP(D4364,Insumos!B:B,Insumos!C:$C)</f>
        <v/>
      </c>
      <c r="F4364" s="14" t="n">
        <v>4</v>
      </c>
      <c r="G4364" s="92">
        <f t="array" ref="G4364">IF(B4364="insumo",_xlfn.XLOOKUP($D4364,Insumos!$B$1:$B$996,Insumos!$D$1:$D$996),"")</f>
        <v/>
      </c>
      <c r="H4364" s="92" t="n">
        <v>0.32</v>
      </c>
      <c r="I4364" s="2162" t="n">
        <v>0</v>
      </c>
      <c r="J4364" s="2162" t="n">
        <v>0</v>
      </c>
      <c r="K4364" s="2162" t="n"/>
    </row>
    <row r="4365" outlineLevel="3" ht="15.75" customHeight="1">
      <c r="A4365" s="10" t="n">
        <v>101</v>
      </c>
      <c r="B4365" s="10" t="inlineStr">
        <is>
          <t>Insumo</t>
        </is>
      </c>
      <c r="C4365" s="10" t="inlineStr">
        <is>
          <t>Revestimento em Cerâmico Tijolinho, aplicação em Fachada</t>
        </is>
      </c>
      <c r="D4365" s="10" t="inlineStr">
        <is>
          <t>Rejunte Cimentício</t>
        </is>
      </c>
      <c r="E4365" s="11">
        <f t="array" ref="E4365">_xlfn.XLOOKUP(D4365,Insumos!B:B,Insumos!C:$C)</f>
        <v/>
      </c>
      <c r="F4365" s="14" t="n">
        <v>0.5</v>
      </c>
      <c r="G4365" s="92">
        <f t="array" ref="G4365">IF(B4365="insumo",_xlfn.XLOOKUP($D4365,Insumos!$B$1:$B$996,Insumos!$D$1:$D$996),"")</f>
        <v/>
      </c>
      <c r="H4365" s="92" t="n">
        <v>5.575</v>
      </c>
      <c r="I4365" s="2162" t="n">
        <v>0</v>
      </c>
      <c r="J4365" s="2162" t="n">
        <v>0</v>
      </c>
      <c r="K4365" s="2162" t="n"/>
    </row>
    <row r="4366" outlineLevel="2" ht="15.75" customHeight="1">
      <c r="A4366" s="1067" t="n">
        <v>1</v>
      </c>
      <c r="B4366" s="1067" t="inlineStr">
        <is>
          <t>Serviço</t>
        </is>
      </c>
      <c r="C4366" s="1067" t="inlineStr">
        <is>
          <t>Revestimento em Fachadas,  Porcelanato Superquadra Cru 60X120 Nat Ret</t>
        </is>
      </c>
      <c r="D4366" s="1067" t="inlineStr">
        <is>
          <t>Revestimento em Fachadas,  Porcelanato Superquadra Cru 60X120 Nat Ret</t>
        </is>
      </c>
      <c r="E4366" s="1068" t="inlineStr">
        <is>
          <t>M2</t>
        </is>
      </c>
      <c r="F4366" s="1067" t="n"/>
      <c r="G4366" s="1069">
        <f t="array" ref="G4366">IF(B4366="insumo",_xlfn.XLOOKUP($D4366,Insumos!$B$1:$B$996,Insumos!$D$1:$D$996),"")</f>
        <v/>
      </c>
      <c r="H4366" s="1069" t="n">
        <v>136.5726</v>
      </c>
      <c r="I4366" s="2161" t="n">
        <v>0</v>
      </c>
      <c r="J4366" s="2161" t="n">
        <v>0</v>
      </c>
      <c r="K4366" s="2161" t="n"/>
    </row>
    <row r="4367" outlineLevel="3" ht="15.75" customHeight="1">
      <c r="A4367" s="10" t="n">
        <v>3</v>
      </c>
      <c r="B4367" s="10" t="inlineStr">
        <is>
          <t>Insumo</t>
        </is>
      </c>
      <c r="C4367" s="10" t="inlineStr">
        <is>
          <t>Revestimento em Fachadas,  Porcelanato Superquadra Cru 60X120 Nat Ret</t>
        </is>
      </c>
      <c r="D4367" s="10" t="inlineStr">
        <is>
          <t>Porcelanato Superquadra Cru 60X120 Nat Ret</t>
        </is>
      </c>
      <c r="E4367" s="11">
        <f t="array" ref="E4367">_xlfn.XLOOKUP(D4367,Insumos!B:B,Insumos!C:$C)</f>
        <v/>
      </c>
      <c r="F4367" s="14" t="n">
        <v>1.1</v>
      </c>
      <c r="G4367" s="92">
        <f t="array" ref="G4367">IF(B4367="insumo",_xlfn.XLOOKUP($D4367,Insumos!$B$1:$B$996,Insumos!$D$1:$D$996),"")</f>
        <v/>
      </c>
      <c r="H4367" s="92" t="n">
        <v>121.55</v>
      </c>
      <c r="I4367" s="2162" t="n">
        <v>0</v>
      </c>
      <c r="J4367" s="2162" t="n">
        <v>0</v>
      </c>
      <c r="K4367" s="2162" t="n"/>
    </row>
    <row r="4368" outlineLevel="3" ht="15.75" customHeight="1">
      <c r="A4368" s="10" t="n">
        <v>191</v>
      </c>
      <c r="B4368" s="10" t="inlineStr">
        <is>
          <t>Insumo</t>
        </is>
      </c>
      <c r="C4368" s="10" t="inlineStr">
        <is>
          <t>Revestimento em Fachadas,  Porcelanato Superquadra Cru 60X120 Nat Ret</t>
        </is>
      </c>
      <c r="D4368" s="10" t="inlineStr">
        <is>
          <t>Argamassa ACIII</t>
        </is>
      </c>
      <c r="E4368" s="11">
        <f t="array" ref="E4368">_xlfn.XLOOKUP(D4368,Insumos!B:B,Insumos!C:$C)</f>
        <v/>
      </c>
      <c r="F4368" s="14" t="n">
        <v>8.800000000000001</v>
      </c>
      <c r="G4368" s="92">
        <f t="array" ref="G4368">IF(B4368="insumo",_xlfn.XLOOKUP($D4368,Insumos!$B$1:$B$996,Insumos!$D$1:$D$996),"")</f>
        <v/>
      </c>
      <c r="H4368" s="92" t="n">
        <v>9.367599999999999</v>
      </c>
      <c r="I4368" s="2162" t="n">
        <v>0</v>
      </c>
      <c r="J4368" s="2162" t="n">
        <v>0</v>
      </c>
      <c r="K4368" s="2162" t="n"/>
    </row>
    <row r="4369" outlineLevel="3" ht="15.75" customHeight="1">
      <c r="A4369" s="10" t="n">
        <v>142</v>
      </c>
      <c r="B4369" s="10" t="inlineStr">
        <is>
          <t>Insumo</t>
        </is>
      </c>
      <c r="C4369" s="10" t="inlineStr">
        <is>
          <t>Revestimento em Fachadas,  Porcelanato Superquadra Cru 60X120 Nat Ret</t>
        </is>
      </c>
      <c r="D4369" s="10" t="inlineStr">
        <is>
          <t>Espeçador junta piso 2mm</t>
        </is>
      </c>
      <c r="E4369" s="11">
        <f t="array" ref="E4369">_xlfn.XLOOKUP(D4369,Insumos!B:B,Insumos!C:$C)</f>
        <v/>
      </c>
      <c r="F4369" s="14" t="n">
        <v>1</v>
      </c>
      <c r="G4369" s="92">
        <f t="array" ref="G4369">IF(B4369="insumo",_xlfn.XLOOKUP($D4369,Insumos!$B$1:$B$996,Insumos!$D$1:$D$996),"")</f>
        <v/>
      </c>
      <c r="H4369" s="92" t="n">
        <v>0.08</v>
      </c>
      <c r="I4369" s="2162" t="n">
        <v>0</v>
      </c>
      <c r="J4369" s="2162" t="n">
        <v>0</v>
      </c>
      <c r="K4369" s="2162" t="n"/>
    </row>
    <row r="4370" outlineLevel="3" ht="15.75" customHeight="1">
      <c r="A4370" s="10" t="n">
        <v>101</v>
      </c>
      <c r="B4370" s="10" t="inlineStr">
        <is>
          <t>Insumo</t>
        </is>
      </c>
      <c r="C4370" s="10" t="inlineStr">
        <is>
          <t>Revestimento em Fachadas,  Porcelanato Superquadra Cru 60X120 Nat Ret</t>
        </is>
      </c>
      <c r="D4370" s="10" t="inlineStr">
        <is>
          <t>Rejunte Cimentício</t>
        </is>
      </c>
      <c r="E4370" s="11">
        <f t="array" ref="E4370">_xlfn.XLOOKUP(D4370,Insumos!B:B,Insumos!C:$C)</f>
        <v/>
      </c>
      <c r="F4370" s="14" t="n">
        <v>0.5</v>
      </c>
      <c r="G4370" s="92">
        <f t="array" ref="G4370">IF(B4370="insumo",_xlfn.XLOOKUP($D4370,Insumos!$B$1:$B$996,Insumos!$D$1:$D$996),"")</f>
        <v/>
      </c>
      <c r="H4370" s="92" t="n">
        <v>5.575</v>
      </c>
      <c r="I4370" s="2162" t="n">
        <v>0</v>
      </c>
      <c r="J4370" s="2162" t="n">
        <v>0</v>
      </c>
      <c r="K4370" s="2162" t="n"/>
    </row>
    <row r="4371" outlineLevel="2" ht="15.75" customHeight="1">
      <c r="A4371" s="1067" t="n">
        <v>1</v>
      </c>
      <c r="B4371" s="1067" t="inlineStr">
        <is>
          <t>Serviço</t>
        </is>
      </c>
      <c r="C4371" s="1067" t="inlineStr">
        <is>
          <t>Revestimento em Fachadas Ventilada,  Porcelanato Superquadra Cru 60X120 Nat Ret</t>
        </is>
      </c>
      <c r="D4371" s="1067" t="inlineStr">
        <is>
          <t>Revestimento em Fachadas Ventilada,  Porcelanato Superquadra Cru 60X120 Nat Ret</t>
        </is>
      </c>
      <c r="E4371" s="1068" t="inlineStr">
        <is>
          <t>M2</t>
        </is>
      </c>
      <c r="F4371" s="1067" t="n"/>
      <c r="G4371" s="1069">
        <f t="array" ref="G4371">IF(B4371="insumo",_xlfn.XLOOKUP($D4371,Insumos!$B$1:$B$996,Insumos!$D$1:$D$996),"")</f>
        <v/>
      </c>
      <c r="H4371" s="1069" t="n">
        <v>121.55</v>
      </c>
      <c r="I4371" s="2161" t="n">
        <v>0</v>
      </c>
      <c r="J4371" s="2161" t="n">
        <v>0</v>
      </c>
      <c r="K4371" s="2161" t="n"/>
    </row>
    <row r="4372" outlineLevel="3" ht="15.75" customHeight="1">
      <c r="A4372" s="10" t="n">
        <v>3</v>
      </c>
      <c r="B4372" s="10" t="inlineStr">
        <is>
          <t>Insumo</t>
        </is>
      </c>
      <c r="C4372" s="10" t="inlineStr">
        <is>
          <t>Revestimento em Fachadas Ventilada,  Porcelanato Superquadra Cru 60X120 Nat Ret</t>
        </is>
      </c>
      <c r="D4372" s="10" t="inlineStr">
        <is>
          <t>Porcelanato Superquadra Cru 60X120 Nat Ret</t>
        </is>
      </c>
      <c r="E4372" s="11">
        <f t="array" ref="E4372">_xlfn.XLOOKUP(D4372,Insumos!B:B,Insumos!C:$C)</f>
        <v/>
      </c>
      <c r="F4372" s="14" t="n">
        <v>1.1</v>
      </c>
      <c r="G4372" s="92">
        <f t="array" ref="G4372">IF(B4372="insumo",_xlfn.XLOOKUP($D4372,Insumos!$B$1:$B$996,Insumos!$D$1:$D$996),"")</f>
        <v/>
      </c>
      <c r="H4372" s="92" t="n">
        <v>121.55</v>
      </c>
      <c r="I4372" s="2162" t="n">
        <v>0</v>
      </c>
      <c r="J4372" s="2162" t="n">
        <v>0</v>
      </c>
      <c r="K4372" s="2162" t="n"/>
    </row>
    <row r="4373" outlineLevel="2" ht="12.75" customHeight="1">
      <c r="A4373" s="1071" t="n">
        <v>1</v>
      </c>
      <c r="B4373" s="1071" t="inlineStr">
        <is>
          <t>Serviço</t>
        </is>
      </c>
      <c r="C4373" s="1071" t="inlineStr">
        <is>
          <t>Revestimento externo de porcelanato villagers 82x141,5 retificado externo</t>
        </is>
      </c>
      <c r="D4373" s="1071" t="inlineStr">
        <is>
          <t>Revestimento externo de porcelanato villagers 82x141,5 retificado externo</t>
        </is>
      </c>
      <c r="E4373" s="1072" t="inlineStr">
        <is>
          <t>M2</t>
        </is>
      </c>
      <c r="F4373" s="1071" t="n"/>
      <c r="G4373" s="1073">
        <f t="array" ref="G4373">IF(B4373="insumo",_xlfn.XLOOKUP($D4373,Insumos!$B$1:$B$996,Insumos!$D$1:$D$996),"")</f>
        <v/>
      </c>
      <c r="H4373" s="1073" t="n">
        <v>202.3856</v>
      </c>
      <c r="I4373" s="2163" t="n">
        <v>0</v>
      </c>
      <c r="J4373" s="2163" t="n">
        <v>0</v>
      </c>
      <c r="K4373" s="2163" t="n"/>
    </row>
    <row r="4374" outlineLevel="3" ht="12.75" customHeight="1">
      <c r="A4374" s="82" t="n">
        <v>1</v>
      </c>
      <c r="B4374" s="82" t="inlineStr">
        <is>
          <t>Insumo</t>
        </is>
      </c>
      <c r="C4374" s="82" t="inlineStr">
        <is>
          <t>Revestimento externo de porcelanato villagers 82x141,5 retificado externo</t>
        </is>
      </c>
      <c r="D4374" s="82" t="inlineStr">
        <is>
          <t>porcelanato villagers 82x141,5 retificado externo</t>
        </is>
      </c>
      <c r="E4374" s="11">
        <f t="array" ref="E4374">_xlfn.XLOOKUP(D4374,Insumos!B:B,Insumos!C:$C)</f>
        <v/>
      </c>
      <c r="F4374" s="2164" t="n">
        <v>1.1</v>
      </c>
      <c r="G4374" s="92">
        <f t="array" ref="G4374">IF(B4374="insumo",_xlfn.XLOOKUP($D4374,Insumos!$B$1:$B$996,Insumos!$D$1:$D$996),"")</f>
        <v/>
      </c>
      <c r="H4374" s="92" t="n">
        <v>192.5</v>
      </c>
      <c r="I4374" s="2165" t="n">
        <v>0</v>
      </c>
      <c r="J4374" s="2165" t="n">
        <v>0</v>
      </c>
      <c r="K4374" s="2165" t="n"/>
    </row>
    <row r="4375" outlineLevel="3" ht="12.75" customHeight="1">
      <c r="A4375" s="82" t="n">
        <v>191</v>
      </c>
      <c r="B4375" s="82" t="inlineStr">
        <is>
          <t>Insumo</t>
        </is>
      </c>
      <c r="C4375" s="82" t="inlineStr">
        <is>
          <t>Revestimento externo de porcelanato villagers 82x141,5 retificado externo</t>
        </is>
      </c>
      <c r="D4375" s="82" t="inlineStr">
        <is>
          <t>Argamassa ACIII</t>
        </is>
      </c>
      <c r="E4375" s="11">
        <f t="array" ref="E4375">_xlfn.XLOOKUP(D4375,Insumos!B:B,Insumos!C:$C)</f>
        <v/>
      </c>
      <c r="F4375" s="2164" t="n">
        <v>8.800000000000001</v>
      </c>
      <c r="G4375" s="92">
        <f t="array" ref="G4375">IF(B4375="insumo",_xlfn.XLOOKUP($D4375,Insumos!$B$1:$B$996,Insumos!$D$1:$D$996),"")</f>
        <v/>
      </c>
      <c r="H4375" s="92" t="n">
        <v>9.367599999999999</v>
      </c>
      <c r="I4375" s="2165" t="n">
        <v>0</v>
      </c>
      <c r="J4375" s="2165" t="n">
        <v>0</v>
      </c>
      <c r="K4375" s="2165" t="n"/>
    </row>
    <row r="4376" outlineLevel="3" ht="12.75" customHeight="1">
      <c r="A4376" s="82" t="n">
        <v>142</v>
      </c>
      <c r="B4376" s="82" t="inlineStr">
        <is>
          <t>Insumo</t>
        </is>
      </c>
      <c r="C4376" s="82" t="inlineStr">
        <is>
          <t>Revestimento externo de porcelanato villagers 82x141,5 retificado externo</t>
        </is>
      </c>
      <c r="D4376" s="82" t="inlineStr">
        <is>
          <t>Espeçador junta piso 2mm</t>
        </is>
      </c>
      <c r="E4376" s="11">
        <f t="array" ref="E4376">_xlfn.XLOOKUP(D4376,Insumos!B:B,Insumos!C:$C)</f>
        <v/>
      </c>
      <c r="F4376" s="2164" t="n">
        <v>1</v>
      </c>
      <c r="G4376" s="92">
        <f t="array" ref="G4376">IF(B4376="insumo",_xlfn.XLOOKUP($D4376,Insumos!$B$1:$B$996,Insumos!$D$1:$D$996),"")</f>
        <v/>
      </c>
      <c r="H4376" s="92" t="n">
        <v>0.08</v>
      </c>
      <c r="I4376" s="2165" t="n">
        <v>0</v>
      </c>
      <c r="J4376" s="2165" t="n">
        <v>0</v>
      </c>
      <c r="K4376" s="2165" t="n"/>
    </row>
    <row r="4377" outlineLevel="3" ht="12.75" customHeight="1">
      <c r="A4377" s="82" t="n">
        <v>22</v>
      </c>
      <c r="B4377" s="82" t="inlineStr">
        <is>
          <t>Insumo</t>
        </is>
      </c>
      <c r="C4377" s="82" t="inlineStr">
        <is>
          <t>Revestimento externo de porcelanato villagers 82x141,5 retificado externo</t>
        </is>
      </c>
      <c r="D4377" s="82" t="inlineStr">
        <is>
          <t>Rejunte acrilico</t>
        </is>
      </c>
      <c r="E4377" s="11">
        <f t="array" ref="E4377">_xlfn.XLOOKUP(D4377,Insumos!B:B,Insumos!C:$C)</f>
        <v/>
      </c>
      <c r="F4377" s="2164" t="n">
        <v>0.01</v>
      </c>
      <c r="G4377" s="92">
        <f t="array" ref="G4377">IF(B4377="insumo",_xlfn.XLOOKUP($D4377,Insumos!$B$1:$B$996,Insumos!$D$1:$D$996),"")</f>
        <v/>
      </c>
      <c r="H4377" s="92" t="n">
        <v>0.438</v>
      </c>
      <c r="I4377" s="2165" t="n">
        <v>0</v>
      </c>
      <c r="J4377" s="2165" t="n">
        <v>0</v>
      </c>
      <c r="K4377" s="2165" t="n"/>
    </row>
    <row r="4378" outlineLevel="2" ht="12.75" customHeight="1">
      <c r="A4378" s="1071" t="n">
        <v>1</v>
      </c>
      <c r="B4378" s="1071" t="inlineStr">
        <is>
          <t>Serviço</t>
        </is>
      </c>
      <c r="C4378" s="1071" t="inlineStr">
        <is>
          <t>Revestimento externo de porcelanato painel kyoto, 60 x120cm com Junta de 2mm</t>
        </is>
      </c>
      <c r="D4378" s="1071" t="inlineStr">
        <is>
          <t>Revestimento externo de porcelanato painel kyoto, 60 x120cm com Junta de 2mm</t>
        </is>
      </c>
      <c r="E4378" s="1072" t="inlineStr">
        <is>
          <t>M2</t>
        </is>
      </c>
      <c r="F4378" s="1071" t="n"/>
      <c r="G4378" s="1073">
        <f t="array" ref="G4378">IF(B4378="insumo",_xlfn.XLOOKUP($D4378,Insumos!$B$1:$B$996,Insumos!$D$1:$D$996),"")</f>
        <v/>
      </c>
      <c r="H4378" s="1073" t="n">
        <v>172.0256</v>
      </c>
      <c r="I4378" s="2163" t="e">
        <v>#REF!</v>
      </c>
      <c r="J4378" s="2163" t="e">
        <v>#REF!</v>
      </c>
      <c r="K4378" s="2163" t="n"/>
    </row>
    <row r="4379" outlineLevel="3" ht="12.75" customHeight="1">
      <c r="A4379" s="82" t="n">
        <v>3</v>
      </c>
      <c r="B4379" s="82" t="inlineStr">
        <is>
          <t>Insumo</t>
        </is>
      </c>
      <c r="C4379" s="82" t="inlineStr">
        <is>
          <t>Revestimento externo de porcelanato painel kyoto, 60 x120cm com Junta de 2mm</t>
        </is>
      </c>
      <c r="D4379" s="10" t="inlineStr">
        <is>
          <t xml:space="preserve">Porcelanato Painel Kyoto - PAINEL KYOTO FENDI AC 60X120 CM </t>
        </is>
      </c>
      <c r="E4379" s="11">
        <f t="array" ref="E4379">_xlfn.XLOOKUP(D4379,Insumos!B:B,Insumos!C:$C)</f>
        <v/>
      </c>
      <c r="F4379" s="2164" t="n">
        <v>1.1</v>
      </c>
      <c r="G4379" s="92">
        <f t="array" ref="G4379">IF(B4379="insumo",_xlfn.XLOOKUP($D4379,Insumos!$B$1:$B$996,Insumos!$D$1:$D$996),"")</f>
        <v/>
      </c>
      <c r="H4379" s="92" t="n">
        <v>162.14</v>
      </c>
      <c r="I4379" s="2165" t="e">
        <v>#REF!</v>
      </c>
      <c r="J4379" s="2165" t="e">
        <v>#REF!</v>
      </c>
      <c r="K4379" s="2165" t="n"/>
    </row>
    <row r="4380" outlineLevel="3" ht="12.75" customHeight="1">
      <c r="A4380" s="82" t="n">
        <v>191</v>
      </c>
      <c r="B4380" s="82" t="inlineStr">
        <is>
          <t>Insumo</t>
        </is>
      </c>
      <c r="C4380" s="82" t="inlineStr">
        <is>
          <t>Revestimento externo de porcelanato painel kyoto, 60 x120cm com Junta de 2mm</t>
        </is>
      </c>
      <c r="D4380" s="82" t="inlineStr">
        <is>
          <t>Argamassa ACIII</t>
        </is>
      </c>
      <c r="E4380" s="11">
        <f t="array" ref="E4380">_xlfn.XLOOKUP(D4380,Insumos!B:B,Insumos!C:$C)</f>
        <v/>
      </c>
      <c r="F4380" s="2164" t="n">
        <v>8.800000000000001</v>
      </c>
      <c r="G4380" s="92">
        <f t="array" ref="G4380">IF(B4380="insumo",_xlfn.XLOOKUP($D4380,Insumos!$B$1:$B$996,Insumos!$D$1:$D$996),"")</f>
        <v/>
      </c>
      <c r="H4380" s="92" t="n">
        <v>9.367599999999999</v>
      </c>
      <c r="I4380" s="2165" t="e">
        <v>#REF!</v>
      </c>
      <c r="J4380" s="2165" t="e">
        <v>#REF!</v>
      </c>
      <c r="K4380" s="2165" t="n"/>
    </row>
    <row r="4381" outlineLevel="3" ht="12.75" customHeight="1">
      <c r="A4381" s="82" t="n">
        <v>142</v>
      </c>
      <c r="B4381" s="82" t="inlineStr">
        <is>
          <t>Insumo</t>
        </is>
      </c>
      <c r="C4381" s="82" t="inlineStr">
        <is>
          <t>Revestimento externo de porcelanato painel kyoto, 60 x120cm com Junta de 2mm</t>
        </is>
      </c>
      <c r="D4381" s="82" t="inlineStr">
        <is>
          <t>Espeçador junta piso 2mm</t>
        </is>
      </c>
      <c r="E4381" s="11">
        <f t="array" ref="E4381">_xlfn.XLOOKUP(D4381,Insumos!B:B,Insumos!C:$C)</f>
        <v/>
      </c>
      <c r="F4381" s="2164" t="n">
        <v>1</v>
      </c>
      <c r="G4381" s="92">
        <f t="array" ref="G4381">IF(B4381="insumo",_xlfn.XLOOKUP($D4381,Insumos!$B$1:$B$996,Insumos!$D$1:$D$996),"")</f>
        <v/>
      </c>
      <c r="H4381" s="92" t="n">
        <v>0.08</v>
      </c>
      <c r="I4381" s="2165" t="e">
        <v>#REF!</v>
      </c>
      <c r="J4381" s="2165" t="e">
        <v>#REF!</v>
      </c>
      <c r="K4381" s="2165" t="n"/>
    </row>
    <row r="4382" outlineLevel="3" ht="12.75" customHeight="1">
      <c r="A4382" s="82" t="n">
        <v>22</v>
      </c>
      <c r="B4382" s="82" t="inlineStr">
        <is>
          <t>Insumo</t>
        </is>
      </c>
      <c r="C4382" s="82" t="inlineStr">
        <is>
          <t>Revestimento externo de porcelanato painel kyoto, 60 x120cm com Junta de 2mm</t>
        </is>
      </c>
      <c r="D4382" s="82" t="inlineStr">
        <is>
          <t>Rejunte acrilico</t>
        </is>
      </c>
      <c r="E4382" s="11">
        <f t="array" ref="E4382">_xlfn.XLOOKUP(D4382,Insumos!B:B,Insumos!C:$C)</f>
        <v/>
      </c>
      <c r="F4382" s="2164" t="n">
        <v>0.01</v>
      </c>
      <c r="G4382" s="92">
        <f t="array" ref="G4382">IF(B4382="insumo",_xlfn.XLOOKUP($D4382,Insumos!$B$1:$B$996,Insumos!$D$1:$D$996),"")</f>
        <v/>
      </c>
      <c r="H4382" s="92" t="n">
        <v>0.438</v>
      </c>
      <c r="I4382" s="2165" t="e">
        <v>#REF!</v>
      </c>
      <c r="J4382" s="2165" t="e">
        <v>#REF!</v>
      </c>
      <c r="K4382" s="2165" t="n"/>
    </row>
    <row r="4383" outlineLevel="2" ht="12.75" customHeight="1">
      <c r="A4383" s="1071" t="n">
        <v>1</v>
      </c>
      <c r="B4383" s="1071" t="inlineStr">
        <is>
          <t>Serviço</t>
        </is>
      </c>
      <c r="C4383" s="1071" t="inlineStr">
        <is>
          <t>Revestimento externo de Cerâmica extrudada Brick Tile, 60x15cm com Junta de 2mm</t>
        </is>
      </c>
      <c r="D4383" s="1071" t="inlineStr">
        <is>
          <t>Revestimento externo de Cerâmica extrudada Brick Tile, 60x15cm com Junta de 2mm</t>
        </is>
      </c>
      <c r="E4383" s="1072" t="inlineStr">
        <is>
          <t>M2</t>
        </is>
      </c>
      <c r="F4383" s="1071" t="n"/>
      <c r="G4383" s="1073">
        <f t="array" ref="G4383">IF(B4383="insumo",_xlfn.XLOOKUP($D4383,Insumos!$B$1:$B$996,Insumos!$D$1:$D$996),"")</f>
        <v/>
      </c>
      <c r="H4383" s="1073" t="n">
        <v>443.2856</v>
      </c>
      <c r="I4383" s="2163" t="e">
        <v>#REF!</v>
      </c>
      <c r="J4383" s="2163" t="e">
        <v>#REF!</v>
      </c>
      <c r="K4383" s="2163" t="n"/>
    </row>
    <row r="4384" outlineLevel="3" ht="12.75" customHeight="1">
      <c r="A4384" s="82" t="n">
        <v>3</v>
      </c>
      <c r="B4384" s="82" t="inlineStr">
        <is>
          <t>Insumo</t>
        </is>
      </c>
      <c r="C4384" s="82" t="inlineStr">
        <is>
          <t>Revestimento externo de Cerâmica extrudada Brick Tile, 60x15cm com Junta de 2mm</t>
        </is>
      </c>
      <c r="D4384" s="10" t="inlineStr">
        <is>
          <t>Cerâmica Extrudada - Cerâmica Extrudada para Fachada Ventilada tijolo a vista, Modelo Faveton BRICK TILE, medida máxima de 600x150x16mm</t>
        </is>
      </c>
      <c r="E4384" s="11">
        <f t="array" ref="E4384">_xlfn.XLOOKUP(D4384,Insumos!B:B,Insumos!C:$C)</f>
        <v/>
      </c>
      <c r="F4384" s="2164" t="n">
        <v>1.1</v>
      </c>
      <c r="G4384" s="92">
        <f t="array" ref="G4384">IF(B4384="insumo",_xlfn.XLOOKUP($D4384,Insumos!$B$1:$B$996,Insumos!$D$1:$D$996),"")</f>
        <v/>
      </c>
      <c r="H4384" s="92" t="n">
        <v>433.4</v>
      </c>
      <c r="I4384" s="2165" t="e">
        <v>#REF!</v>
      </c>
      <c r="J4384" s="2165" t="e">
        <v>#REF!</v>
      </c>
      <c r="K4384" s="2165" t="n"/>
    </row>
    <row r="4385" outlineLevel="3" ht="12.75" customHeight="1">
      <c r="A4385" s="82" t="n">
        <v>191</v>
      </c>
      <c r="B4385" s="82" t="inlineStr">
        <is>
          <t>Insumo</t>
        </is>
      </c>
      <c r="C4385" s="82" t="inlineStr">
        <is>
          <t>Revestimento externo de Cerâmica extrudada Brick Tile, 60x15cm com Junta de 2mm</t>
        </is>
      </c>
      <c r="D4385" s="82" t="inlineStr">
        <is>
          <t>Argamassa ACIII</t>
        </is>
      </c>
      <c r="E4385" s="11">
        <f t="array" ref="E4385">_xlfn.XLOOKUP(D4385,Insumos!B:B,Insumos!C:$C)</f>
        <v/>
      </c>
      <c r="F4385" s="2164" t="n">
        <v>8.800000000000001</v>
      </c>
      <c r="G4385" s="92">
        <f t="array" ref="G4385">IF(B4385="insumo",_xlfn.XLOOKUP($D4385,Insumos!$B$1:$B$996,Insumos!$D$1:$D$996),"")</f>
        <v/>
      </c>
      <c r="H4385" s="92" t="n">
        <v>9.367599999999999</v>
      </c>
      <c r="I4385" s="2165" t="e">
        <v>#REF!</v>
      </c>
      <c r="J4385" s="2165" t="e">
        <v>#REF!</v>
      </c>
      <c r="K4385" s="2165" t="n"/>
    </row>
    <row r="4386" outlineLevel="3" ht="12.75" customHeight="1">
      <c r="A4386" s="82" t="n">
        <v>142</v>
      </c>
      <c r="B4386" s="82" t="inlineStr">
        <is>
          <t>Insumo</t>
        </is>
      </c>
      <c r="C4386" s="82" t="inlineStr">
        <is>
          <t>Revestimento externo de Cerâmica extrudada Brick Tile, 60x15cm com Junta de 2mm</t>
        </is>
      </c>
      <c r="D4386" s="82" t="inlineStr">
        <is>
          <t>Espeçador junta piso 2mm</t>
        </is>
      </c>
      <c r="E4386" s="11">
        <f t="array" ref="E4386">_xlfn.XLOOKUP(D4386,Insumos!B:B,Insumos!C:$C)</f>
        <v/>
      </c>
      <c r="F4386" s="2164" t="n">
        <v>1</v>
      </c>
      <c r="G4386" s="92">
        <f t="array" ref="G4386">IF(B4386="insumo",_xlfn.XLOOKUP($D4386,Insumos!$B$1:$B$996,Insumos!$D$1:$D$996),"")</f>
        <v/>
      </c>
      <c r="H4386" s="92" t="n">
        <v>0.08</v>
      </c>
      <c r="I4386" s="2165" t="e">
        <v>#REF!</v>
      </c>
      <c r="J4386" s="2165" t="e">
        <v>#REF!</v>
      </c>
      <c r="K4386" s="2165" t="n"/>
    </row>
    <row r="4387" outlineLevel="3" ht="12.75" customHeight="1">
      <c r="A4387" s="82" t="n">
        <v>22</v>
      </c>
      <c r="B4387" s="82" t="inlineStr">
        <is>
          <t>Insumo</t>
        </is>
      </c>
      <c r="C4387" s="82" t="inlineStr">
        <is>
          <t>Revestimento externo de Cerâmica extrudada Brick Tile, 60x15cm com Junta de 2mm</t>
        </is>
      </c>
      <c r="D4387" s="82" t="inlineStr">
        <is>
          <t>Rejunte acrilico</t>
        </is>
      </c>
      <c r="E4387" s="11">
        <f t="array" ref="E4387">_xlfn.XLOOKUP(D4387,Insumos!B:B,Insumos!C:$C)</f>
        <v/>
      </c>
      <c r="F4387" s="2164" t="n">
        <v>0.01</v>
      </c>
      <c r="G4387" s="92">
        <f t="array" ref="G4387">IF(B4387="insumo",_xlfn.XLOOKUP($D4387,Insumos!$B$1:$B$996,Insumos!$D$1:$D$996),"")</f>
        <v/>
      </c>
      <c r="H4387" s="92" t="n">
        <v>0.438</v>
      </c>
      <c r="I4387" s="2165" t="e">
        <v>#REF!</v>
      </c>
      <c r="J4387" s="2165" t="e">
        <v>#REF!</v>
      </c>
      <c r="K4387" s="2165" t="n"/>
    </row>
    <row r="4388" outlineLevel="2" ht="12.75" customHeight="1">
      <c r="A4388" s="1071" t="n">
        <v>1</v>
      </c>
      <c r="B4388" s="1071" t="inlineStr">
        <is>
          <t>Serviço</t>
        </is>
      </c>
      <c r="C4388" s="1071" t="inlineStr">
        <is>
          <t>Revestimento  externo de porcelanato retificado em Paredes, Cinza claro, Placa 60 x 60cm com Junta de 2mm</t>
        </is>
      </c>
      <c r="D4388" s="1071" t="inlineStr">
        <is>
          <t>Revestimento  externo de porcelanato retificado em Paredes, Cinza claro, Placa 60 x 60cm com Junta de 2mm</t>
        </is>
      </c>
      <c r="E4388" s="1072" t="inlineStr">
        <is>
          <t>M2</t>
        </is>
      </c>
      <c r="F4388" s="1071" t="n"/>
      <c r="G4388" s="1073">
        <f t="array" ref="G4388">IF(B4388="insumo",_xlfn.XLOOKUP($D4388,Insumos!$B$1:$B$996,Insumos!$D$1:$D$996),"")</f>
        <v/>
      </c>
      <c r="H4388" s="1073" t="n">
        <v>79.07559999999999</v>
      </c>
      <c r="I4388" s="2163" t="n">
        <v>0</v>
      </c>
      <c r="J4388" s="2163" t="n">
        <v>0</v>
      </c>
      <c r="K4388" s="2163" t="n"/>
    </row>
    <row r="4389" outlineLevel="3" ht="12.75" customHeight="1">
      <c r="A4389" s="82" t="n">
        <v>1</v>
      </c>
      <c r="B4389" s="82" t="inlineStr">
        <is>
          <t>Insumo</t>
        </is>
      </c>
      <c r="C4389" s="82" t="inlineStr">
        <is>
          <t>Revestimento  externo de porcelanato retificado em Paredes, Cinza claro, Placa 60 x 60cm com Junta de 2mm</t>
        </is>
      </c>
      <c r="D4389" s="82" t="inlineStr">
        <is>
          <t>Porcelanato Cemento Nebbia Retificado Acetinado 60x60 Biancogres</t>
        </is>
      </c>
      <c r="E4389" s="11">
        <f t="array" ref="E4389">_xlfn.XLOOKUP(D4389,Insumos!B:B,Insumos!C:$C)</f>
        <v/>
      </c>
      <c r="F4389" s="2164" t="n">
        <v>1.1</v>
      </c>
      <c r="G4389" s="92">
        <f t="array" ref="G4389">IF(B4389="insumo",_xlfn.XLOOKUP($D4389,Insumos!$B$1:$B$996,Insumos!$D$1:$D$996),"")</f>
        <v/>
      </c>
      <c r="H4389" s="92" t="n">
        <v>69.19</v>
      </c>
      <c r="I4389" s="2165" t="n">
        <v>0</v>
      </c>
      <c r="J4389" s="2165" t="n">
        <v>0</v>
      </c>
      <c r="K4389" s="2165" t="n"/>
    </row>
    <row r="4390" outlineLevel="3" ht="12.75" customHeight="1">
      <c r="A4390" s="82" t="n">
        <v>191</v>
      </c>
      <c r="B4390" s="82" t="inlineStr">
        <is>
          <t>Insumo</t>
        </is>
      </c>
      <c r="C4390" s="82" t="inlineStr">
        <is>
          <t>Revestimento  externo de porcelanato retificado em Paredes, Cinza claro, Placa 60 x 60cm com Junta de 2mm</t>
        </is>
      </c>
      <c r="D4390" s="82" t="inlineStr">
        <is>
          <t>Argamassa ACIII</t>
        </is>
      </c>
      <c r="E4390" s="11">
        <f t="array" ref="E4390">_xlfn.XLOOKUP(D4390,Insumos!B:B,Insumos!C:$C)</f>
        <v/>
      </c>
      <c r="F4390" s="2164" t="n">
        <v>8.800000000000001</v>
      </c>
      <c r="G4390" s="92">
        <f t="array" ref="G4390">IF(B4390="insumo",_xlfn.XLOOKUP($D4390,Insumos!$B$1:$B$996,Insumos!$D$1:$D$996),"")</f>
        <v/>
      </c>
      <c r="H4390" s="92" t="n">
        <v>9.367599999999999</v>
      </c>
      <c r="I4390" s="2165" t="n">
        <v>0</v>
      </c>
      <c r="J4390" s="2165" t="n">
        <v>0</v>
      </c>
      <c r="K4390" s="2165" t="n"/>
    </row>
    <row r="4391" outlineLevel="3" ht="12.75" customHeight="1">
      <c r="A4391" s="82" t="n">
        <v>142</v>
      </c>
      <c r="B4391" s="82" t="inlineStr">
        <is>
          <t>Insumo</t>
        </is>
      </c>
      <c r="C4391" s="82" t="inlineStr">
        <is>
          <t>Revestimento  externo de porcelanato retificado em Paredes, Cinza claro, Placa 60 x 60cm com Junta de 2mm</t>
        </is>
      </c>
      <c r="D4391" s="82" t="inlineStr">
        <is>
          <t>Espeçador junta piso 2mm</t>
        </is>
      </c>
      <c r="E4391" s="11">
        <f t="array" ref="E4391">_xlfn.XLOOKUP(D4391,Insumos!B:B,Insumos!C:$C)</f>
        <v/>
      </c>
      <c r="F4391" s="2164" t="n">
        <v>1</v>
      </c>
      <c r="G4391" s="92">
        <f t="array" ref="G4391">IF(B4391="insumo",_xlfn.XLOOKUP($D4391,Insumos!$B$1:$B$996,Insumos!$D$1:$D$996),"")</f>
        <v/>
      </c>
      <c r="H4391" s="92" t="n">
        <v>0.08</v>
      </c>
      <c r="I4391" s="2165" t="n">
        <v>0</v>
      </c>
      <c r="J4391" s="2165" t="n">
        <v>0</v>
      </c>
      <c r="K4391" s="2165" t="n"/>
    </row>
    <row r="4392" outlineLevel="3" ht="12.75" customHeight="1">
      <c r="A4392" s="82" t="n">
        <v>22</v>
      </c>
      <c r="B4392" s="82" t="inlineStr">
        <is>
          <t>Insumo</t>
        </is>
      </c>
      <c r="C4392" s="82" t="inlineStr">
        <is>
          <t>Revestimento  externo de porcelanato retificado em Paredes, Cinza claro, Placa 60 x 60cm com Junta de 2mm</t>
        </is>
      </c>
      <c r="D4392" s="82" t="inlineStr">
        <is>
          <t>Rejunte acrilico</t>
        </is>
      </c>
      <c r="E4392" s="11">
        <f t="array" ref="E4392">_xlfn.XLOOKUP(D4392,Insumos!B:B,Insumos!C:$C)</f>
        <v/>
      </c>
      <c r="F4392" s="2164" t="n">
        <v>0.01</v>
      </c>
      <c r="G4392" s="92">
        <f t="array" ref="G4392">IF(B4392="insumo",_xlfn.XLOOKUP($D4392,Insumos!$B$1:$B$996,Insumos!$D$1:$D$996),"")</f>
        <v/>
      </c>
      <c r="H4392" s="92" t="n">
        <v>0.438</v>
      </c>
      <c r="I4392" s="2165" t="n">
        <v>0</v>
      </c>
      <c r="J4392" s="2165" t="n">
        <v>0</v>
      </c>
      <c r="K4392" s="2165" t="n"/>
    </row>
    <row r="4393" outlineLevel="2" ht="12.75" customHeight="1">
      <c r="A4393" s="1071" t="n">
        <v>1</v>
      </c>
      <c r="B4393" s="1071" t="inlineStr">
        <is>
          <t>Serviço</t>
        </is>
      </c>
      <c r="C4393" s="1071" t="inlineStr">
        <is>
          <t>Revestimento  externo de porcelanato retificado em Paredes, Cinza, Placa 60 x 60cm com Junta de 2mm</t>
        </is>
      </c>
      <c r="D4393" s="1071" t="inlineStr">
        <is>
          <t>Revestimento  externo de porcelanato retificado em Paredes, Cinza, Placa 60 x 60cm com Junta de 2mm</t>
        </is>
      </c>
      <c r="E4393" s="1072" t="inlineStr">
        <is>
          <t>M2</t>
        </is>
      </c>
      <c r="F4393" s="1071" t="n"/>
      <c r="G4393" s="1073">
        <f t="array" ref="G4393">IF(B4393="insumo",_xlfn.XLOOKUP($D4393,Insumos!$B$1:$B$996,Insumos!$D$1:$D$996),"")</f>
        <v/>
      </c>
      <c r="H4393" s="1073" t="n">
        <v>92.3856</v>
      </c>
      <c r="I4393" s="2163" t="n">
        <v>0</v>
      </c>
      <c r="J4393" s="2163" t="n">
        <v>0</v>
      </c>
      <c r="K4393" s="2163" t="n"/>
    </row>
    <row r="4394" outlineLevel="3" ht="12.75" customHeight="1">
      <c r="A4394" s="82" t="n">
        <v>1</v>
      </c>
      <c r="B4394" s="82" t="inlineStr">
        <is>
          <t>Insumo</t>
        </is>
      </c>
      <c r="C4394" s="82" t="inlineStr">
        <is>
          <t>Revestimento  externo de porcelanato retificado em Paredes, Cinza, Placa 60 x 60cm com Junta de 2mm</t>
        </is>
      </c>
      <c r="D4394" s="82" t="inlineStr">
        <is>
          <t>Piso Esmaltado 60x60 Duran Grafite 60319 Retificado</t>
        </is>
      </c>
      <c r="E4394" s="11">
        <f t="array" ref="E4394">_xlfn.XLOOKUP(D4394,Insumos!B:B,Insumos!C:$C)</f>
        <v/>
      </c>
      <c r="F4394" s="2164" t="n">
        <v>1.1</v>
      </c>
      <c r="G4394" s="92">
        <f t="array" ref="G4394">IF(B4394="insumo",_xlfn.XLOOKUP($D4394,Insumos!$B$1:$B$996,Insumos!$D$1:$D$996),"")</f>
        <v/>
      </c>
      <c r="H4394" s="92" t="n">
        <v>82.5</v>
      </c>
      <c r="I4394" s="2165" t="n">
        <v>0</v>
      </c>
      <c r="J4394" s="2165" t="n">
        <v>0</v>
      </c>
      <c r="K4394" s="2165" t="n"/>
    </row>
    <row r="4395" outlineLevel="3" ht="12.75" customHeight="1">
      <c r="A4395" s="82" t="n">
        <v>191</v>
      </c>
      <c r="B4395" s="82" t="inlineStr">
        <is>
          <t>Insumo</t>
        </is>
      </c>
      <c r="C4395" s="82" t="inlineStr">
        <is>
          <t>Revestimento  externo de porcelanato retificado em Paredes, Cinza, Placa 60 x 60cm com Junta de 2mm</t>
        </is>
      </c>
      <c r="D4395" s="82" t="inlineStr">
        <is>
          <t>Argamassa ACIII</t>
        </is>
      </c>
      <c r="E4395" s="11">
        <f t="array" ref="E4395">_xlfn.XLOOKUP(D4395,Insumos!B:B,Insumos!C:$C)</f>
        <v/>
      </c>
      <c r="F4395" s="2164" t="n">
        <v>8.800000000000001</v>
      </c>
      <c r="G4395" s="92">
        <f t="array" ref="G4395">IF(B4395="insumo",_xlfn.XLOOKUP($D4395,Insumos!$B$1:$B$996,Insumos!$D$1:$D$996),"")</f>
        <v/>
      </c>
      <c r="H4395" s="92" t="n">
        <v>9.367599999999999</v>
      </c>
      <c r="I4395" s="2165" t="n">
        <v>0</v>
      </c>
      <c r="J4395" s="2165" t="n">
        <v>0</v>
      </c>
      <c r="K4395" s="2165" t="n"/>
    </row>
    <row r="4396" outlineLevel="3" ht="12.75" customHeight="1">
      <c r="A4396" s="82" t="n">
        <v>142</v>
      </c>
      <c r="B4396" s="82" t="inlineStr">
        <is>
          <t>Insumo</t>
        </is>
      </c>
      <c r="C4396" s="82" t="inlineStr">
        <is>
          <t>Revestimento  externo de porcelanato retificado em Paredes, Cinza, Placa 60 x 60cm com Junta de 2mm</t>
        </is>
      </c>
      <c r="D4396" s="82" t="inlineStr">
        <is>
          <t>Espeçador junta piso 2mm</t>
        </is>
      </c>
      <c r="E4396" s="11">
        <f t="array" ref="E4396">_xlfn.XLOOKUP(D4396,Insumos!B:B,Insumos!C:$C)</f>
        <v/>
      </c>
      <c r="F4396" s="2164" t="n">
        <v>1</v>
      </c>
      <c r="G4396" s="92">
        <f t="array" ref="G4396">IF(B4396="insumo",_xlfn.XLOOKUP($D4396,Insumos!$B$1:$B$996,Insumos!$D$1:$D$996),"")</f>
        <v/>
      </c>
      <c r="H4396" s="92" t="n">
        <v>0.08</v>
      </c>
      <c r="I4396" s="2165" t="n">
        <v>0</v>
      </c>
      <c r="J4396" s="2165" t="n">
        <v>0</v>
      </c>
      <c r="K4396" s="2165" t="n"/>
    </row>
    <row r="4397" outlineLevel="3" ht="12.75" customHeight="1">
      <c r="A4397" s="82" t="n">
        <v>22</v>
      </c>
      <c r="B4397" s="82" t="inlineStr">
        <is>
          <t>Insumo</t>
        </is>
      </c>
      <c r="C4397" s="82" t="inlineStr">
        <is>
          <t>Revestimento  externo de porcelanato retificado em Paredes, Cinza, Placa 60 x 60cm com Junta de 2mm</t>
        </is>
      </c>
      <c r="D4397" s="82" t="inlineStr">
        <is>
          <t>Rejunte acrilico</t>
        </is>
      </c>
      <c r="E4397" s="11">
        <f t="array" ref="E4397">_xlfn.XLOOKUP(D4397,Insumos!B:B,Insumos!C:$C)</f>
        <v/>
      </c>
      <c r="F4397" s="2164" t="n">
        <v>0.01</v>
      </c>
      <c r="G4397" s="92">
        <f t="array" ref="G4397">IF(B4397="insumo",_xlfn.XLOOKUP($D4397,Insumos!$B$1:$B$996,Insumos!$D$1:$D$996),"")</f>
        <v/>
      </c>
      <c r="H4397" s="92" t="n">
        <v>0.438</v>
      </c>
      <c r="I4397" s="2165" t="n">
        <v>0</v>
      </c>
      <c r="J4397" s="2165" t="n">
        <v>0</v>
      </c>
      <c r="K4397" s="2165" t="n"/>
    </row>
    <row r="4398" outlineLevel="2" ht="12.75" customHeight="1">
      <c r="A4398" s="1071" t="n">
        <v>1</v>
      </c>
      <c r="B4398" s="1071" t="inlineStr">
        <is>
          <t>Serviço</t>
        </is>
      </c>
      <c r="C4398" s="1071" t="inlineStr">
        <is>
          <t>Revestimento  externo de porcelanato retificado Preto em Paredes, Placa 60 x 60cm com Junta de 2mm</t>
        </is>
      </c>
      <c r="D4398" s="1071" t="inlineStr">
        <is>
          <t>Revestimento  externo de porcelanato retificado Preto em Paredes, Placa 60 x 60cm com Junta de 2mm</t>
        </is>
      </c>
      <c r="E4398" s="1072" t="inlineStr">
        <is>
          <t>M2</t>
        </is>
      </c>
      <c r="F4398" s="1071" t="n"/>
      <c r="G4398" s="1073">
        <f t="array" ref="G4398">IF(B4398="insumo",_xlfn.XLOOKUP($D4398,Insumos!$B$1:$B$996,Insumos!$D$1:$D$996),"")</f>
        <v/>
      </c>
      <c r="H4398" s="1073" t="n">
        <v>86.82448888888889</v>
      </c>
      <c r="I4398" s="2163" t="n">
        <v>0</v>
      </c>
      <c r="J4398" s="2163" t="n">
        <v>0</v>
      </c>
      <c r="K4398" s="2163" t="n"/>
    </row>
    <row r="4399" outlineLevel="3" ht="12.75" customHeight="1">
      <c r="A4399" s="82" t="n">
        <v>1</v>
      </c>
      <c r="B4399" s="82" t="inlineStr">
        <is>
          <t>Insumo</t>
        </is>
      </c>
      <c r="C4399" s="82" t="inlineStr">
        <is>
          <t>Revestimento  externo de porcelanato retificado Preto em Paredes, Placa 60 x 60cm com Junta de 2mm</t>
        </is>
      </c>
      <c r="D4399" s="82" t="inlineStr">
        <is>
          <t>Porcelanato a 60x60 noir polido</t>
        </is>
      </c>
      <c r="E4399" s="11">
        <f t="array" ref="E4399">_xlfn.XLOOKUP(D4399,Insumos!B:B,Insumos!C:$C)</f>
        <v/>
      </c>
      <c r="F4399" s="2164" t="n">
        <v>1.1</v>
      </c>
      <c r="G4399" s="92">
        <f t="array" ref="G4399">IF(B4399="insumo",_xlfn.XLOOKUP($D4399,Insumos!$B$1:$B$996,Insumos!$D$1:$D$996),"")</f>
        <v/>
      </c>
      <c r="H4399" s="92" t="n">
        <v>76.9388888888889</v>
      </c>
      <c r="I4399" s="2165" t="n">
        <v>0</v>
      </c>
      <c r="J4399" s="2165" t="n">
        <v>0</v>
      </c>
      <c r="K4399" s="2165" t="n"/>
    </row>
    <row r="4400" outlineLevel="3" ht="12.75" customHeight="1">
      <c r="A4400" s="82" t="n">
        <v>191</v>
      </c>
      <c r="B4400" s="82" t="inlineStr">
        <is>
          <t>Insumo</t>
        </is>
      </c>
      <c r="C4400" s="82" t="inlineStr">
        <is>
          <t>Revestimento  externo de porcelanato retificado Preto em Paredes, Placa 60 x 60cm com Junta de 2mm</t>
        </is>
      </c>
      <c r="D4400" s="82" t="inlineStr">
        <is>
          <t>Argamassa ACIII</t>
        </is>
      </c>
      <c r="E4400" s="11">
        <f t="array" ref="E4400">_xlfn.XLOOKUP(D4400,Insumos!B:B,Insumos!C:$C)</f>
        <v/>
      </c>
      <c r="F4400" s="2164" t="n">
        <v>8.800000000000001</v>
      </c>
      <c r="G4400" s="92">
        <f t="array" ref="G4400">IF(B4400="insumo",_xlfn.XLOOKUP($D4400,Insumos!$B$1:$B$996,Insumos!$D$1:$D$996),"")</f>
        <v/>
      </c>
      <c r="H4400" s="92" t="n">
        <v>9.367599999999999</v>
      </c>
      <c r="I4400" s="2165" t="n">
        <v>0</v>
      </c>
      <c r="J4400" s="2165" t="n">
        <v>0</v>
      </c>
      <c r="K4400" s="2165" t="n"/>
    </row>
    <row r="4401" outlineLevel="3" ht="12.75" customHeight="1">
      <c r="A4401" s="82" t="n">
        <v>142</v>
      </c>
      <c r="B4401" s="82" t="inlineStr">
        <is>
          <t>Insumo</t>
        </is>
      </c>
      <c r="C4401" s="82" t="inlineStr">
        <is>
          <t>Revestimento  externo de porcelanato retificado Preto em Paredes, Placa 60 x 60cm com Junta de 2mm</t>
        </is>
      </c>
      <c r="D4401" s="82" t="inlineStr">
        <is>
          <t>Espeçador junta piso 2mm</t>
        </is>
      </c>
      <c r="E4401" s="11">
        <f t="array" ref="E4401">_xlfn.XLOOKUP(D4401,Insumos!B:B,Insumos!C:$C)</f>
        <v/>
      </c>
      <c r="F4401" s="2164" t="n">
        <v>1</v>
      </c>
      <c r="G4401" s="92">
        <f t="array" ref="G4401">IF(B4401="insumo",_xlfn.XLOOKUP($D4401,Insumos!$B$1:$B$996,Insumos!$D$1:$D$996),"")</f>
        <v/>
      </c>
      <c r="H4401" s="92" t="n">
        <v>0.08</v>
      </c>
      <c r="I4401" s="2165" t="n">
        <v>0</v>
      </c>
      <c r="J4401" s="2165" t="n">
        <v>0</v>
      </c>
      <c r="K4401" s="2165" t="n"/>
    </row>
    <row r="4402" outlineLevel="3" ht="12.75" customHeight="1">
      <c r="A4402" s="82" t="n">
        <v>22</v>
      </c>
      <c r="B4402" s="82" t="inlineStr">
        <is>
          <t>Insumo</t>
        </is>
      </c>
      <c r="C4402" s="82" t="inlineStr">
        <is>
          <t>Revestimento  externo de porcelanato retificado Preto em Paredes, Placa 60 x 60cm com Junta de 2mm</t>
        </is>
      </c>
      <c r="D4402" s="82" t="inlineStr">
        <is>
          <t>Rejunte acrilico</t>
        </is>
      </c>
      <c r="E4402" s="11">
        <f t="array" ref="E4402">_xlfn.XLOOKUP(D4402,Insumos!B:B,Insumos!C:$C)</f>
        <v/>
      </c>
      <c r="F4402" s="2164" t="n">
        <v>0.01</v>
      </c>
      <c r="G4402" s="92">
        <f t="array" ref="G4402">IF(B4402="insumo",_xlfn.XLOOKUP($D4402,Insumos!$B$1:$B$996,Insumos!$D$1:$D$996),"")</f>
        <v/>
      </c>
      <c r="H4402" s="92" t="n">
        <v>0.438</v>
      </c>
      <c r="I4402" s="2165" t="n">
        <v>0</v>
      </c>
      <c r="J4402" s="2165" t="n">
        <v>0</v>
      </c>
      <c r="K4402" s="2165" t="n"/>
    </row>
    <row r="4403" outlineLevel="1" ht="15.75" customHeight="1">
      <c r="A4403" s="1090" t="n">
        <v>1</v>
      </c>
      <c r="B4403" s="1090" t="inlineStr">
        <is>
          <t>Subetapa</t>
        </is>
      </c>
      <c r="C4403" s="1090" t="inlineStr">
        <is>
          <t>Revestimento  externo de porcelanato retificado Preto em Paredes, Placa 60 x 60cm com Junta de 2mm</t>
        </is>
      </c>
      <c r="D4403" s="1090" t="inlineStr">
        <is>
          <t>REVESTIMENTO PEDRAS E GRANITOS</t>
        </is>
      </c>
      <c r="E4403" s="1091" t="n"/>
      <c r="F4403" s="2160" t="n"/>
      <c r="G4403" s="1091" t="n"/>
      <c r="H4403" s="1091" t="n">
        <v>0</v>
      </c>
      <c r="I4403" s="2160" t="n">
        <v>0</v>
      </c>
      <c r="J4403" s="2160" t="n">
        <v>0</v>
      </c>
      <c r="K4403" s="2160" t="n"/>
    </row>
    <row r="4404" outlineLevel="2" ht="15.75" customHeight="1">
      <c r="A4404" s="1067" t="n">
        <v>1</v>
      </c>
      <c r="B4404" s="1067" t="inlineStr">
        <is>
          <t>Serviço</t>
        </is>
      </c>
      <c r="C4404" s="1067" t="inlineStr">
        <is>
          <t>Revestimento em Pedra Natural Aplicado em Fachadas</t>
        </is>
      </c>
      <c r="D4404" s="1067" t="inlineStr">
        <is>
          <t>Revestimento em Pedra Natural Aplicado em Fachadas</t>
        </is>
      </c>
      <c r="E4404" s="1068" t="inlineStr">
        <is>
          <t>M2</t>
        </is>
      </c>
      <c r="F4404" s="1067" t="n"/>
      <c r="G4404" s="1069">
        <f t="array" ref="G4404">IF(B4404="insumo",_xlfn.XLOOKUP($D4404,Insumos!$B$1:$B$996,Insumos!$D$1:$D$996),"")</f>
        <v/>
      </c>
      <c r="H4404" s="1069" t="n">
        <v>898.2455</v>
      </c>
      <c r="I4404" s="2161" t="n">
        <v>0</v>
      </c>
      <c r="J4404" s="2161" t="n">
        <v>0</v>
      </c>
      <c r="K4404" s="2161" t="n"/>
    </row>
    <row r="4405" outlineLevel="3" ht="15.75" customHeight="1">
      <c r="A4405" s="10" t="n">
        <v>10</v>
      </c>
      <c r="B4405" s="10" t="inlineStr">
        <is>
          <t>Insumo</t>
        </is>
      </c>
      <c r="C4405" s="10" t="inlineStr">
        <is>
          <t>Revestimento em Pedra Natural Aplicado em Fachadas</t>
        </is>
      </c>
      <c r="D4405" s="10" t="inlineStr">
        <is>
          <t>Pedra Natural  para Revestimento</t>
        </is>
      </c>
      <c r="E4405" s="11">
        <f t="array" ref="E4405">_xlfn.XLOOKUP(D4405,Insumos!B:B,Insumos!C:$C)</f>
        <v/>
      </c>
      <c r="F4405" s="14" t="n">
        <v>1.1</v>
      </c>
      <c r="G4405" s="92">
        <f t="array" ref="G4405">IF(B4405="insumo",_xlfn.XLOOKUP($D4405,Insumos!$B$1:$B$996,Insumos!$D$1:$D$996),"")</f>
        <v/>
      </c>
      <c r="H4405" s="92" t="n">
        <v>880</v>
      </c>
      <c r="I4405" s="2162" t="n">
        <v>0</v>
      </c>
      <c r="J4405" s="2162" t="n">
        <v>0</v>
      </c>
      <c r="K4405" s="2162" t="n"/>
    </row>
    <row r="4406" outlineLevel="3" ht="15.75" customHeight="1">
      <c r="A4406" s="10" t="n">
        <v>191</v>
      </c>
      <c r="B4406" s="10" t="inlineStr">
        <is>
          <t>Insumo</t>
        </is>
      </c>
      <c r="C4406" s="10" t="inlineStr">
        <is>
          <t>Revestimento em Pedra Natural Aplicado em Fachadas</t>
        </is>
      </c>
      <c r="D4406" s="10" t="inlineStr">
        <is>
          <t>Argamassa ACIII</t>
        </is>
      </c>
      <c r="E4406" s="11">
        <f t="array" ref="E4406">_xlfn.XLOOKUP(D4406,Insumos!B:B,Insumos!C:$C)</f>
        <v/>
      </c>
      <c r="F4406" s="14" t="n">
        <v>9</v>
      </c>
      <c r="G4406" s="92">
        <f t="array" ref="G4406">IF(B4406="insumo",_xlfn.XLOOKUP($D4406,Insumos!$B$1:$B$996,Insumos!$D$1:$D$996),"")</f>
        <v/>
      </c>
      <c r="H4406" s="92" t="n">
        <v>9.580500000000001</v>
      </c>
      <c r="I4406" s="2162" t="n">
        <v>0</v>
      </c>
      <c r="J4406" s="2162" t="n">
        <v>0</v>
      </c>
      <c r="K4406" s="2162" t="n"/>
    </row>
    <row r="4407" outlineLevel="3" ht="15.75" customHeight="1">
      <c r="A4407" s="10" t="n">
        <v>34</v>
      </c>
      <c r="B4407" s="10" t="inlineStr">
        <is>
          <t>Insumo</t>
        </is>
      </c>
      <c r="C4407" s="10" t="inlineStr">
        <is>
          <t>Revestimento em Pedra Natural Aplicado em Fachadas</t>
        </is>
      </c>
      <c r="D4407" s="10" t="inlineStr">
        <is>
          <t>Massa Plastica 400g</t>
        </is>
      </c>
      <c r="E4407" s="11">
        <f t="array" ref="E4407">_xlfn.XLOOKUP(D4407,Insumos!B:B,Insumos!C:$C)</f>
        <v/>
      </c>
      <c r="F4407" s="14" t="n">
        <v>0.5</v>
      </c>
      <c r="G4407" s="92">
        <f t="array" ref="G4407">IF(B4407="insumo",_xlfn.XLOOKUP($D4407,Insumos!$B$1:$B$996,Insumos!$D$1:$D$996),"")</f>
        <v/>
      </c>
      <c r="H4407" s="92" t="n">
        <v>8.664999999999999</v>
      </c>
      <c r="I4407" s="2162" t="n">
        <v>0</v>
      </c>
      <c r="J4407" s="2162" t="n">
        <v>0</v>
      </c>
      <c r="K4407" s="2162" t="n"/>
    </row>
    <row r="4408" outlineLevel="2" ht="15.75" customHeight="1">
      <c r="A4408" s="1067" t="n">
        <v>1</v>
      </c>
      <c r="B4408" s="1067" t="inlineStr">
        <is>
          <t>Serviço</t>
        </is>
      </c>
      <c r="C4408" s="1067" t="inlineStr">
        <is>
          <t>Revestimento em Pedra Natural São Tomé</t>
        </is>
      </c>
      <c r="D4408" s="1067" t="inlineStr">
        <is>
          <t>Revestimento em Pedra Natural São Tomé</t>
        </is>
      </c>
      <c r="E4408" s="1068" t="inlineStr">
        <is>
          <t>M2</t>
        </is>
      </c>
      <c r="F4408" s="1067" t="n"/>
      <c r="G4408" s="1069">
        <f t="array" ref="G4408">IF(B4408="insumo",_xlfn.XLOOKUP($D4408,Insumos!$B$1:$B$996,Insumos!$D$1:$D$996),"")</f>
        <v/>
      </c>
      <c r="H4408" s="1069" t="n">
        <v>733.2455</v>
      </c>
      <c r="I4408" s="2161" t="n">
        <v>0</v>
      </c>
      <c r="J4408" s="2161" t="n">
        <v>0</v>
      </c>
      <c r="K4408" s="2161" t="n"/>
    </row>
    <row r="4409" outlineLevel="3" ht="15.75" customHeight="1">
      <c r="A4409" s="10" t="n">
        <v>1</v>
      </c>
      <c r="B4409" s="10" t="inlineStr">
        <is>
          <t>Insumo</t>
        </is>
      </c>
      <c r="C4409" s="10" t="inlineStr">
        <is>
          <t>Revestimento em Pedra Natural São Tomé</t>
        </is>
      </c>
      <c r="D4409" s="10" t="inlineStr">
        <is>
          <t>Mosaico São Tomé Para Paredes e Fachadas</t>
        </is>
      </c>
      <c r="E4409" s="11">
        <f t="array" ref="E4409">_xlfn.XLOOKUP(D4409,Insumos!B:B,Insumos!C:$C)</f>
        <v/>
      </c>
      <c r="F4409" s="14" t="n">
        <v>1.1</v>
      </c>
      <c r="G4409" s="92">
        <f t="array" ref="G4409">IF(B4409="insumo",_xlfn.XLOOKUP($D4409,Insumos!$B$1:$B$996,Insumos!$D$1:$D$996),"")</f>
        <v/>
      </c>
      <c r="H4409" s="92" t="n">
        <v>715</v>
      </c>
      <c r="I4409" s="2162" t="n">
        <v>0</v>
      </c>
      <c r="J4409" s="2162" t="n">
        <v>0</v>
      </c>
      <c r="K4409" s="2162" t="n"/>
    </row>
    <row r="4410" outlineLevel="3" ht="15.75" customHeight="1">
      <c r="A4410" s="10" t="n">
        <v>191</v>
      </c>
      <c r="B4410" s="10" t="inlineStr">
        <is>
          <t>Insumo</t>
        </is>
      </c>
      <c r="C4410" s="10" t="inlineStr">
        <is>
          <t>Revestimento em Pedra Natural São Tomé</t>
        </is>
      </c>
      <c r="D4410" s="10" t="inlineStr">
        <is>
          <t>Argamassa ACIII</t>
        </is>
      </c>
      <c r="E4410" s="11">
        <f t="array" ref="E4410">_xlfn.XLOOKUP(D4410,Insumos!B:B,Insumos!C:$C)</f>
        <v/>
      </c>
      <c r="F4410" s="14" t="n">
        <v>9</v>
      </c>
      <c r="G4410" s="92">
        <f t="array" ref="G4410">IF(B4410="insumo",_xlfn.XLOOKUP($D4410,Insumos!$B$1:$B$996,Insumos!$D$1:$D$996),"")</f>
        <v/>
      </c>
      <c r="H4410" s="92" t="n">
        <v>9.580500000000001</v>
      </c>
      <c r="I4410" s="2162" t="n">
        <v>0</v>
      </c>
      <c r="J4410" s="2162" t="n">
        <v>0</v>
      </c>
      <c r="K4410" s="2162" t="n"/>
    </row>
    <row r="4411" outlineLevel="3" ht="15.75" customHeight="1">
      <c r="A4411" s="10" t="n">
        <v>34</v>
      </c>
      <c r="B4411" s="10" t="inlineStr">
        <is>
          <t>Insumo</t>
        </is>
      </c>
      <c r="C4411" s="10" t="inlineStr">
        <is>
          <t>Revestimento em Pedra Natural São Tomé</t>
        </is>
      </c>
      <c r="D4411" s="10" t="inlineStr">
        <is>
          <t>Massa Plastica 400g</t>
        </is>
      </c>
      <c r="E4411" s="11">
        <f t="array" ref="E4411">_xlfn.XLOOKUP(D4411,Insumos!B:B,Insumos!C:$C)</f>
        <v/>
      </c>
      <c r="F4411" s="14" t="n">
        <v>0.5</v>
      </c>
      <c r="G4411" s="92">
        <f t="array" ref="G4411">IF(B4411="insumo",_xlfn.XLOOKUP($D4411,Insumos!$B$1:$B$996,Insumos!$D$1:$D$996),"")</f>
        <v/>
      </c>
      <c r="H4411" s="92" t="n">
        <v>8.664999999999999</v>
      </c>
      <c r="I4411" s="2162" t="n">
        <v>0</v>
      </c>
      <c r="J4411" s="2162" t="n">
        <v>0</v>
      </c>
      <c r="K4411" s="2162" t="n"/>
    </row>
    <row r="4412" outlineLevel="2" ht="15.75" customHeight="1">
      <c r="A4412" s="1067" t="n">
        <v>1</v>
      </c>
      <c r="B4412" s="1067" t="inlineStr">
        <is>
          <t>Serviço</t>
        </is>
      </c>
      <c r="C4412" s="1067" t="inlineStr">
        <is>
          <t>Revestimento em Pedra Natural Aplicado em Fachadas Para Espelho da água</t>
        </is>
      </c>
      <c r="D4412" s="1067" t="inlineStr">
        <is>
          <t>Revestimento em Pedra Natural Aplicado em Fachadas Para Espelho da água</t>
        </is>
      </c>
      <c r="E4412" s="1068" t="inlineStr">
        <is>
          <t>M2</t>
        </is>
      </c>
      <c r="F4412" s="1067" t="n"/>
      <c r="G4412" s="1069">
        <f t="array" ref="G4412">IF(B4412="insumo",_xlfn.XLOOKUP($D4412,Insumos!$B$1:$B$996,Insumos!$D$1:$D$996),"")</f>
        <v/>
      </c>
      <c r="H4412" s="1069" t="n">
        <v>568.7755</v>
      </c>
      <c r="I4412" s="2161" t="n">
        <v>0</v>
      </c>
      <c r="J4412" s="2161" t="n">
        <v>0</v>
      </c>
      <c r="K4412" s="2161" t="n"/>
    </row>
    <row r="4413" outlineLevel="3" ht="15.75" customHeight="1">
      <c r="A4413" s="10" t="n">
        <v>1</v>
      </c>
      <c r="B4413" s="10" t="inlineStr">
        <is>
          <t>Insumo</t>
        </is>
      </c>
      <c r="C4413" s="10" t="inlineStr">
        <is>
          <t>Revestimento em Pedra Natural Aplicado em Fachadas Para Espelho da água</t>
        </is>
      </c>
      <c r="D4413" s="10" t="inlineStr">
        <is>
          <t>Black Lava Brick (Hitam)</t>
        </is>
      </c>
      <c r="E4413" s="11">
        <f t="array" ref="E4413">_xlfn.XLOOKUP(D4413,Insumos!B:B,Insumos!C:$C)</f>
        <v/>
      </c>
      <c r="F4413" s="14" t="n">
        <v>1.1</v>
      </c>
      <c r="G4413" s="92">
        <f t="array" ref="G4413">IF(B4413="insumo",_xlfn.XLOOKUP($D4413,Insumos!$B$1:$B$996,Insumos!$D$1:$D$996),"")</f>
        <v/>
      </c>
      <c r="H4413" s="92" t="n">
        <v>553.3</v>
      </c>
      <c r="I4413" s="2162" t="n">
        <v>0</v>
      </c>
      <c r="J4413" s="2162" t="n">
        <v>0</v>
      </c>
      <c r="K4413" s="2162" t="n"/>
    </row>
    <row r="4414" outlineLevel="3" ht="15.75" customHeight="1">
      <c r="A4414" s="10" t="n">
        <v>191</v>
      </c>
      <c r="B4414" s="10" t="inlineStr">
        <is>
          <t>Insumo</t>
        </is>
      </c>
      <c r="C4414" s="10" t="inlineStr">
        <is>
          <t>Revestimento em Pedra Natural Aplicado em Fachadas Para Espelho da água</t>
        </is>
      </c>
      <c r="D4414" s="10" t="inlineStr">
        <is>
          <t>Argamassa ACIII</t>
        </is>
      </c>
      <c r="E4414" s="11">
        <f t="array" ref="E4414">_xlfn.XLOOKUP(D4414,Insumos!B:B,Insumos!C:$C)</f>
        <v/>
      </c>
      <c r="F4414" s="14" t="n">
        <v>9</v>
      </c>
      <c r="G4414" s="92">
        <f t="array" ref="G4414">IF(B4414="insumo",_xlfn.XLOOKUP($D4414,Insumos!$B$1:$B$996,Insumos!$D$1:$D$996),"")</f>
        <v/>
      </c>
      <c r="H4414" s="92" t="n">
        <v>9.580500000000001</v>
      </c>
      <c r="I4414" s="2162" t="n">
        <v>0</v>
      </c>
      <c r="J4414" s="2162" t="n">
        <v>0</v>
      </c>
      <c r="K4414" s="2162" t="n"/>
    </row>
    <row r="4415" outlineLevel="3" ht="15.75" customHeight="1">
      <c r="A4415" s="10" t="n">
        <v>142</v>
      </c>
      <c r="B4415" s="10" t="inlineStr">
        <is>
          <t>Insumo</t>
        </is>
      </c>
      <c r="C4415" s="10" t="inlineStr">
        <is>
          <t>Revestimento em Pedra Natural Aplicado em Fachadas Para Espelho da água</t>
        </is>
      </c>
      <c r="D4415" s="10" t="inlineStr">
        <is>
          <t>Espeçador junta piso 2mm</t>
        </is>
      </c>
      <c r="E4415" s="11">
        <f t="array" ref="E4415">_xlfn.XLOOKUP(D4415,Insumos!B:B,Insumos!C:$C)</f>
        <v/>
      </c>
      <c r="F4415" s="14" t="n">
        <v>4</v>
      </c>
      <c r="G4415" s="92">
        <f t="array" ref="G4415">IF(B4415="insumo",_xlfn.XLOOKUP($D4415,Insumos!$B$1:$B$996,Insumos!$D$1:$D$996),"")</f>
        <v/>
      </c>
      <c r="H4415" s="92" t="n">
        <v>0.32</v>
      </c>
      <c r="I4415" s="2162" t="n">
        <v>0</v>
      </c>
      <c r="J4415" s="2162" t="n">
        <v>0</v>
      </c>
      <c r="K4415" s="2162" t="n"/>
    </row>
    <row r="4416" outlineLevel="3" ht="15.75" customHeight="1">
      <c r="A4416" s="10" t="n">
        <v>101</v>
      </c>
      <c r="B4416" s="10" t="inlineStr">
        <is>
          <t>Insumo</t>
        </is>
      </c>
      <c r="C4416" s="10" t="inlineStr">
        <is>
          <t>Revestimento em Pedra Natural Aplicado em Fachadas Para Espelho da água</t>
        </is>
      </c>
      <c r="D4416" s="10" t="inlineStr">
        <is>
          <t>Rejunte Cimentício</t>
        </is>
      </c>
      <c r="E4416" s="11">
        <f t="array" ref="E4416">_xlfn.XLOOKUP(D4416,Insumos!B:B,Insumos!C:$C)</f>
        <v/>
      </c>
      <c r="F4416" s="14" t="n">
        <v>0.5</v>
      </c>
      <c r="G4416" s="92">
        <f t="array" ref="G4416">IF(B4416="insumo",_xlfn.XLOOKUP($D4416,Insumos!$B$1:$B$996,Insumos!$D$1:$D$996),"")</f>
        <v/>
      </c>
      <c r="H4416" s="92" t="n">
        <v>5.575</v>
      </c>
      <c r="I4416" s="2162" t="n">
        <v>0</v>
      </c>
      <c r="J4416" s="2162" t="n">
        <v>0</v>
      </c>
      <c r="K4416" s="2162" t="n"/>
    </row>
    <row r="4417" outlineLevel="2" ht="15.75" customHeight="1">
      <c r="A4417" s="1067" t="n">
        <v>1</v>
      </c>
      <c r="B4417" s="1067" t="inlineStr">
        <is>
          <t>Serviço</t>
        </is>
      </c>
      <c r="C4417" s="1067" t="inlineStr">
        <is>
          <t>Revestimento em Pedra Natural Aplicado em Fachadas Para fogueira</t>
        </is>
      </c>
      <c r="D4417" s="1067" t="inlineStr">
        <is>
          <t>Revestimento em Pedra Natural Aplicado em Fachadas Para fogueira</t>
        </is>
      </c>
      <c r="E4417" s="1068" t="inlineStr">
        <is>
          <t>M2</t>
        </is>
      </c>
      <c r="F4417" s="1067" t="n"/>
      <c r="G4417" s="1069">
        <f t="array" ref="G4417">IF(B4417="insumo",_xlfn.XLOOKUP($D4417,Insumos!$B$1:$B$996,Insumos!$D$1:$D$996),"")</f>
        <v/>
      </c>
      <c r="H4417" s="1069" t="n">
        <v>730.4755</v>
      </c>
      <c r="I4417" s="2161" t="n">
        <v>0</v>
      </c>
      <c r="J4417" s="2161" t="n">
        <v>0</v>
      </c>
      <c r="K4417" s="2161" t="n"/>
    </row>
    <row r="4418" outlineLevel="3" ht="15.75" customHeight="1">
      <c r="A4418" s="10" t="n">
        <v>3</v>
      </c>
      <c r="B4418" s="10" t="inlineStr">
        <is>
          <t>Insumo</t>
        </is>
      </c>
      <c r="C4418" s="10" t="inlineStr">
        <is>
          <t>Revestimento em Pedra Natural Aplicado em Fachadas Para fogueira</t>
        </is>
      </c>
      <c r="D4418" s="10" t="inlineStr">
        <is>
          <t>Granito siena branco</t>
        </is>
      </c>
      <c r="E4418" s="11">
        <f t="array" ref="E4418">_xlfn.XLOOKUP(D4418,Insumos!B:B,Insumos!C:$C)</f>
        <v/>
      </c>
      <c r="F4418" s="14" t="n">
        <v>1.1</v>
      </c>
      <c r="G4418" s="92">
        <f t="array" ref="G4418">IF(B4418="insumo",_xlfn.XLOOKUP($D4418,Insumos!$B$1:$B$996,Insumos!$D$1:$D$996),"")</f>
        <v/>
      </c>
      <c r="H4418" s="92" t="n">
        <v>715</v>
      </c>
      <c r="I4418" s="2162" t="n">
        <v>0</v>
      </c>
      <c r="J4418" s="2162" t="n">
        <v>0</v>
      </c>
      <c r="K4418" s="2162" t="n"/>
    </row>
    <row r="4419" outlineLevel="3" ht="15.75" customHeight="1">
      <c r="A4419" s="10" t="n">
        <v>191</v>
      </c>
      <c r="B4419" s="10" t="inlineStr">
        <is>
          <t>Insumo</t>
        </is>
      </c>
      <c r="C4419" s="10" t="inlineStr">
        <is>
          <t>Revestimento em Pedra Natural Aplicado em Fachadas Para fogueira</t>
        </is>
      </c>
      <c r="D4419" s="10" t="inlineStr">
        <is>
          <t>Argamassa ACIII</t>
        </is>
      </c>
      <c r="E4419" s="11">
        <f t="array" ref="E4419">_xlfn.XLOOKUP(D4419,Insumos!B:B,Insumos!C:$C)</f>
        <v/>
      </c>
      <c r="F4419" s="14" t="n">
        <v>9</v>
      </c>
      <c r="G4419" s="92">
        <f t="array" ref="G4419">IF(B4419="insumo",_xlfn.XLOOKUP($D4419,Insumos!$B$1:$B$996,Insumos!$D$1:$D$996),"")</f>
        <v/>
      </c>
      <c r="H4419" s="92" t="n">
        <v>9.580500000000001</v>
      </c>
      <c r="I4419" s="2162" t="n">
        <v>0</v>
      </c>
      <c r="J4419" s="2162" t="n">
        <v>0</v>
      </c>
      <c r="K4419" s="2162" t="n"/>
    </row>
    <row r="4420" outlineLevel="3" ht="15.75" customHeight="1">
      <c r="A4420" s="10" t="n">
        <v>142</v>
      </c>
      <c r="B4420" s="10" t="inlineStr">
        <is>
          <t>Insumo</t>
        </is>
      </c>
      <c r="C4420" s="10" t="inlineStr">
        <is>
          <t>Revestimento em Pedra Natural Aplicado em Fachadas Para fogueira</t>
        </is>
      </c>
      <c r="D4420" s="10" t="inlineStr">
        <is>
          <t>Espeçador junta piso 2mm</t>
        </is>
      </c>
      <c r="E4420" s="11">
        <f t="array" ref="E4420">_xlfn.XLOOKUP(D4420,Insumos!B:B,Insumos!C:$C)</f>
        <v/>
      </c>
      <c r="F4420" s="14" t="n">
        <v>4</v>
      </c>
      <c r="G4420" s="92">
        <f t="array" ref="G4420">IF(B4420="insumo",_xlfn.XLOOKUP($D4420,Insumos!$B$1:$B$996,Insumos!$D$1:$D$996),"")</f>
        <v/>
      </c>
      <c r="H4420" s="92" t="n">
        <v>0.32</v>
      </c>
      <c r="I4420" s="2162" t="n">
        <v>0</v>
      </c>
      <c r="J4420" s="2162" t="n">
        <v>0</v>
      </c>
      <c r="K4420" s="2162" t="n"/>
    </row>
    <row r="4421" outlineLevel="3" ht="15.75" customHeight="1">
      <c r="A4421" s="10" t="n">
        <v>101</v>
      </c>
      <c r="B4421" s="10" t="inlineStr">
        <is>
          <t>Insumo</t>
        </is>
      </c>
      <c r="C4421" s="10" t="inlineStr">
        <is>
          <t>Revestimento em Pedra Natural Aplicado em Fachadas Para fogueira</t>
        </is>
      </c>
      <c r="D4421" s="10" t="inlineStr">
        <is>
          <t>Rejunte Cimentício</t>
        </is>
      </c>
      <c r="E4421" s="11">
        <f t="array" ref="E4421">_xlfn.XLOOKUP(D4421,Insumos!B:B,Insumos!C:$C)</f>
        <v/>
      </c>
      <c r="F4421" s="14" t="n">
        <v>0.5</v>
      </c>
      <c r="G4421" s="92">
        <f t="array" ref="G4421">IF(B4421="insumo",_xlfn.XLOOKUP($D4421,Insumos!$B$1:$B$996,Insumos!$D$1:$D$996),"")</f>
        <v/>
      </c>
      <c r="H4421" s="92" t="n">
        <v>5.575</v>
      </c>
      <c r="I4421" s="2162" t="n">
        <v>0</v>
      </c>
      <c r="J4421" s="2162" t="n">
        <v>0</v>
      </c>
      <c r="K4421" s="2162" t="n"/>
    </row>
    <row r="4422" outlineLevel="2" ht="15.75" customHeight="1">
      <c r="A4422" s="1067" t="n">
        <v>1</v>
      </c>
      <c r="B4422" s="1067" t="inlineStr">
        <is>
          <t>Serviço</t>
        </is>
      </c>
      <c r="C4422" s="1067" t="inlineStr">
        <is>
          <t>Revestimento em Pedra Molero Aplicado em Fachadas</t>
        </is>
      </c>
      <c r="D4422" s="1067" t="inlineStr">
        <is>
          <t>Revestimento em Pedra Molero Aplicado em Fachadas</t>
        </is>
      </c>
      <c r="E4422" s="1068" t="inlineStr">
        <is>
          <t>M2</t>
        </is>
      </c>
      <c r="F4422" s="1067" t="n"/>
      <c r="G4422" s="1069">
        <f t="array" ref="G4422">IF(B4422="insumo",_xlfn.XLOOKUP($D4422,Insumos!$B$1:$B$996,Insumos!$D$1:$D$996),"")</f>
        <v/>
      </c>
      <c r="H4422" s="1069" t="n">
        <v>895.4755</v>
      </c>
      <c r="I4422" s="2161" t="n">
        <v>0</v>
      </c>
      <c r="J4422" s="2161" t="n">
        <v>0</v>
      </c>
      <c r="K4422" s="2161" t="n"/>
    </row>
    <row r="4423" outlineLevel="3" ht="15.75" customHeight="1">
      <c r="A4423" s="10" t="n">
        <v>1</v>
      </c>
      <c r="B4423" s="10" t="inlineStr">
        <is>
          <t>Insumo</t>
        </is>
      </c>
      <c r="C4423" s="10" t="inlineStr">
        <is>
          <t>Revestimento em Pedra Molero Aplicado em Fachadas</t>
        </is>
      </c>
      <c r="D4423" s="10" t="inlineStr">
        <is>
          <t>Pedra Natural moledo</t>
        </is>
      </c>
      <c r="E4423" s="11">
        <f t="array" ref="E4423">_xlfn.XLOOKUP(D4423,Insumos!B:B,Insumos!C:$C)</f>
        <v/>
      </c>
      <c r="F4423" s="14" t="n">
        <v>1.1</v>
      </c>
      <c r="G4423" s="92">
        <f t="array" ref="G4423">IF(B4423="insumo",_xlfn.XLOOKUP($D4423,Insumos!$B$1:$B$996,Insumos!$D$1:$D$996),"")</f>
        <v/>
      </c>
      <c r="H4423" s="92" t="n">
        <v>880</v>
      </c>
      <c r="I4423" s="2162" t="n">
        <v>0</v>
      </c>
      <c r="J4423" s="2162" t="n">
        <v>0</v>
      </c>
      <c r="K4423" s="2162" t="n"/>
    </row>
    <row r="4424" outlineLevel="3" ht="15.75" customHeight="1">
      <c r="A4424" s="10" t="n">
        <v>191</v>
      </c>
      <c r="B4424" s="10" t="inlineStr">
        <is>
          <t>Insumo</t>
        </is>
      </c>
      <c r="C4424" s="10" t="inlineStr">
        <is>
          <t>Revestimento em Pedra Molero Aplicado em Fachadas</t>
        </is>
      </c>
      <c r="D4424" s="10" t="inlineStr">
        <is>
          <t>Argamassa ACIII</t>
        </is>
      </c>
      <c r="E4424" s="11">
        <f t="array" ref="E4424">_xlfn.XLOOKUP(D4424,Insumos!B:B,Insumos!C:$C)</f>
        <v/>
      </c>
      <c r="F4424" s="14" t="n">
        <v>9</v>
      </c>
      <c r="G4424" s="92">
        <f t="array" ref="G4424">IF(B4424="insumo",_xlfn.XLOOKUP($D4424,Insumos!$B$1:$B$996,Insumos!$D$1:$D$996),"")</f>
        <v/>
      </c>
      <c r="H4424" s="92" t="n">
        <v>9.580500000000001</v>
      </c>
      <c r="I4424" s="2162" t="n">
        <v>0</v>
      </c>
      <c r="J4424" s="2162" t="n">
        <v>0</v>
      </c>
      <c r="K4424" s="2162" t="n"/>
    </row>
    <row r="4425" outlineLevel="3" ht="15.75" customHeight="1">
      <c r="A4425" s="10" t="n">
        <v>142</v>
      </c>
      <c r="B4425" s="10" t="inlineStr">
        <is>
          <t>Insumo</t>
        </is>
      </c>
      <c r="C4425" s="10" t="inlineStr">
        <is>
          <t>Revestimento em Pedra Molero Aplicado em Fachadas</t>
        </is>
      </c>
      <c r="D4425" s="10" t="inlineStr">
        <is>
          <t>Espeçador junta piso 2mm</t>
        </is>
      </c>
      <c r="E4425" s="11">
        <f t="array" ref="E4425">_xlfn.XLOOKUP(D4425,Insumos!B:B,Insumos!C:$C)</f>
        <v/>
      </c>
      <c r="F4425" s="14" t="n">
        <v>4</v>
      </c>
      <c r="G4425" s="92">
        <f t="array" ref="G4425">IF(B4425="insumo",_xlfn.XLOOKUP($D4425,Insumos!$B$1:$B$996,Insumos!$D$1:$D$996),"")</f>
        <v/>
      </c>
      <c r="H4425" s="92" t="n">
        <v>0.32</v>
      </c>
      <c r="I4425" s="2162" t="n">
        <v>0</v>
      </c>
      <c r="J4425" s="2162" t="n">
        <v>0</v>
      </c>
      <c r="K4425" s="2162" t="n"/>
    </row>
    <row r="4426" outlineLevel="3" ht="15.75" customHeight="1">
      <c r="A4426" s="10" t="n">
        <v>101</v>
      </c>
      <c r="B4426" s="10" t="inlineStr">
        <is>
          <t>Insumo</t>
        </is>
      </c>
      <c r="C4426" s="10" t="inlineStr">
        <is>
          <t>Revestimento em Pedra Molero Aplicado em Fachadas</t>
        </is>
      </c>
      <c r="D4426" s="10" t="inlineStr">
        <is>
          <t>Rejunte Cimentício</t>
        </is>
      </c>
      <c r="E4426" s="11">
        <f t="array" ref="E4426">_xlfn.XLOOKUP(D4426,Insumos!B:B,Insumos!C:$C)</f>
        <v/>
      </c>
      <c r="F4426" s="14" t="n">
        <v>0.5</v>
      </c>
      <c r="G4426" s="92">
        <f t="array" ref="G4426">IF(B4426="insumo",_xlfn.XLOOKUP($D4426,Insumos!$B$1:$B$996,Insumos!$D$1:$D$996),"")</f>
        <v/>
      </c>
      <c r="H4426" s="92" t="n">
        <v>5.575</v>
      </c>
      <c r="I4426" s="2162" t="n">
        <v>0</v>
      </c>
      <c r="J4426" s="2162" t="n">
        <v>0</v>
      </c>
      <c r="K4426" s="2162" t="n"/>
    </row>
    <row r="4427" outlineLevel="1" ht="15.75" customHeight="1">
      <c r="A4427" s="1090" t="n">
        <v>1</v>
      </c>
      <c r="B4427" s="1090" t="inlineStr">
        <is>
          <t>Subetapa</t>
        </is>
      </c>
      <c r="C4427" s="1090" t="inlineStr">
        <is>
          <t>Revestimento em Pedra Molero Aplicado em Fachadas</t>
        </is>
      </c>
      <c r="D4427" s="1090" t="inlineStr">
        <is>
          <t>PINTURA E TEXTURA</t>
        </is>
      </c>
      <c r="E4427" s="1091" t="n"/>
      <c r="F4427" s="2160" t="n"/>
      <c r="G4427" s="1091" t="n"/>
      <c r="H4427" s="1091" t="n">
        <v>0</v>
      </c>
      <c r="I4427" s="2160" t="n">
        <v>0</v>
      </c>
      <c r="J4427" s="2160" t="n">
        <v>0</v>
      </c>
      <c r="K4427" s="2160" t="n"/>
    </row>
    <row r="4428" outlineLevel="2" ht="15.75" customHeight="1">
      <c r="A4428" s="1067" t="n">
        <v>1</v>
      </c>
      <c r="B4428" s="1067" t="inlineStr">
        <is>
          <t>Serviço</t>
        </is>
      </c>
      <c r="C4428" s="1067" t="inlineStr">
        <is>
          <t>Pintura PVA Acrílica Cinza Externa 3 Demãos</t>
        </is>
      </c>
      <c r="D4428" s="1067" t="inlineStr">
        <is>
          <t>Pintura PVA Acrílica Cinza Externa 3 Demãos</t>
        </is>
      </c>
      <c r="E4428" s="1068" t="inlineStr">
        <is>
          <t>M2</t>
        </is>
      </c>
      <c r="F4428" s="1067" t="n"/>
      <c r="G4428" s="1069">
        <f t="array" ref="G4428">IF(B4428="insumo",_xlfn.XLOOKUP($D4428,Insumos!$B$1:$B$996,Insumos!$D$1:$D$996),"")</f>
        <v/>
      </c>
      <c r="H4428" s="1069" t="n">
        <v>18.2352155555556</v>
      </c>
      <c r="I4428" s="2161" t="n">
        <v>0</v>
      </c>
      <c r="J4428" s="2161" t="n">
        <v>0</v>
      </c>
      <c r="K4428" s="2161" t="n"/>
    </row>
    <row r="4429" outlineLevel="3" ht="15.75" customHeight="1">
      <c r="A4429" s="10" t="n">
        <v>36</v>
      </c>
      <c r="B4429" s="10" t="inlineStr">
        <is>
          <t>Insumo</t>
        </is>
      </c>
      <c r="C4429" s="10" t="inlineStr">
        <is>
          <t>Pintura PVA Acrílica Cinza Externa 3 Demãos</t>
        </is>
      </c>
      <c r="D4429" s="10" t="inlineStr">
        <is>
          <t>LIXA DAGUA 225X275MM GR100</t>
        </is>
      </c>
      <c r="E4429" s="11">
        <f t="array" ref="E4429">_xlfn.XLOOKUP(D4429,Insumos!B:B,Insumos!C:$C)</f>
        <v/>
      </c>
      <c r="F4429" s="14" t="n">
        <v>0.1</v>
      </c>
      <c r="G4429" s="92">
        <f t="array" ref="G4429">IF(B4429="insumo",_xlfn.XLOOKUP($D4429,Insumos!$B$1:$B$996,Insumos!$D$1:$D$996),"")</f>
        <v/>
      </c>
      <c r="H4429" s="92" t="n">
        <v>0.189</v>
      </c>
      <c r="I4429" s="2162" t="n">
        <v>0</v>
      </c>
      <c r="J4429" s="2162" t="n">
        <v>0</v>
      </c>
      <c r="K4429" s="2162" t="n"/>
    </row>
    <row r="4430" outlineLevel="3" ht="15.75" customHeight="1">
      <c r="A4430" s="10" t="n">
        <v>21</v>
      </c>
      <c r="B4430" s="10" t="inlineStr">
        <is>
          <t>Insumo</t>
        </is>
      </c>
      <c r="C4430" s="10" t="inlineStr">
        <is>
          <t>Pintura PVA Acrílica Cinza Externa 3 Demãos</t>
        </is>
      </c>
      <c r="D4430" s="10" t="inlineStr">
        <is>
          <t>Massa corrida para superfícies de ambientes internos</t>
        </is>
      </c>
      <c r="E4430" s="11">
        <f t="array" ref="E4430">_xlfn.XLOOKUP(D4430,Insumos!B:B,Insumos!C:$C)</f>
        <v/>
      </c>
      <c r="F4430" s="14" t="n">
        <v>0.8667</v>
      </c>
      <c r="G4430" s="92">
        <f t="array" ref="G4430">IF(B4430="insumo",_xlfn.XLOOKUP($D4430,Insumos!$B$1:$B$996,Insumos!$D$1:$D$996),"")</f>
        <v/>
      </c>
      <c r="H4430" s="92" t="n">
        <v>4.16016</v>
      </c>
      <c r="I4430" s="2162" t="n">
        <v>0</v>
      </c>
      <c r="J4430" s="2162" t="n">
        <v>0</v>
      </c>
      <c r="K4430" s="2162" t="n"/>
    </row>
    <row r="4431" outlineLevel="3" ht="15.75" customHeight="1">
      <c r="A4431" s="10" t="n">
        <v>19</v>
      </c>
      <c r="B4431" s="10" t="inlineStr">
        <is>
          <t>Insumo</t>
        </is>
      </c>
      <c r="C4431" s="10" t="inlineStr">
        <is>
          <t>Pintura PVA Acrílica Cinza Externa 3 Demãos</t>
        </is>
      </c>
      <c r="D4431" s="10" t="inlineStr">
        <is>
          <t>Selador Primer Ibratin - 4,2kg - 3,6L</t>
        </is>
      </c>
      <c r="E4431" s="11">
        <f t="array" ref="E4431">_xlfn.XLOOKUP(D4431,Insumos!B:B,Insumos!C:$C)</f>
        <v/>
      </c>
      <c r="F4431" s="14" t="n">
        <v>0.1666</v>
      </c>
      <c r="G4431" s="92">
        <f t="array" ref="G4431">IF(B4431="insumo",_xlfn.XLOOKUP($D4431,Insumos!$B$1:$B$996,Insumos!$D$1:$D$996),"")</f>
        <v/>
      </c>
      <c r="H4431" s="92" t="n">
        <v>1.75855555555556</v>
      </c>
      <c r="I4431" s="2162" t="n">
        <v>0</v>
      </c>
      <c r="J4431" s="2162" t="n">
        <v>0</v>
      </c>
      <c r="K4431" s="2162" t="n"/>
    </row>
    <row r="4432" outlineLevel="3" ht="15.75" customHeight="1">
      <c r="A4432" s="10" t="n">
        <v>16</v>
      </c>
      <c r="B4432" s="10" t="inlineStr">
        <is>
          <t>Insumo</t>
        </is>
      </c>
      <c r="C4432" s="10" t="inlineStr">
        <is>
          <t>Pintura PVA Acrílica Cinza Externa 3 Demãos</t>
        </is>
      </c>
      <c r="D4432" s="10" t="inlineStr">
        <is>
          <t xml:space="preserve">TINTA ACRILICA PREMIUM </t>
        </is>
      </c>
      <c r="E4432" s="11">
        <f t="array" ref="E4432">_xlfn.XLOOKUP(D4432,Insumos!B:B,Insumos!C:$C)</f>
        <v/>
      </c>
      <c r="F4432" s="14" t="n">
        <v>0.495</v>
      </c>
      <c r="G4432" s="92">
        <f t="array" ref="G4432">IF(B4432="insumo",_xlfn.XLOOKUP($D4432,Insumos!$B$1:$B$996,Insumos!$D$1:$D$996),"")</f>
        <v/>
      </c>
      <c r="H4432" s="92" t="n">
        <v>12.1275</v>
      </c>
      <c r="I4432" s="2162" t="n">
        <v>0</v>
      </c>
      <c r="J4432" s="2162" t="n">
        <v>0</v>
      </c>
      <c r="K4432" s="2162" t="n"/>
    </row>
    <row r="4433" outlineLevel="2" ht="15.75" customHeight="1">
      <c r="A4433" s="1067" t="n">
        <v>1</v>
      </c>
      <c r="B4433" s="1067" t="inlineStr">
        <is>
          <t>Serviço</t>
        </is>
      </c>
      <c r="C4433" s="1067" t="inlineStr">
        <is>
          <t>Pintura PVA Acrílica Verde Externa 3 Demãos</t>
        </is>
      </c>
      <c r="D4433" s="1067" t="inlineStr">
        <is>
          <t>Pintura PVA Acrílica Verde Externa 3 Demãos</t>
        </is>
      </c>
      <c r="E4433" s="1068" t="inlineStr">
        <is>
          <t>M2</t>
        </is>
      </c>
      <c r="F4433" s="1067" t="n"/>
      <c r="G4433" s="1069">
        <f t="array" ref="G4433">IF(B4433="insumo",_xlfn.XLOOKUP($D4433,Insumos!$B$1:$B$996,Insumos!$D$1:$D$996),"")</f>
        <v/>
      </c>
      <c r="H4433" s="1069" t="n">
        <v>18.2352155555556</v>
      </c>
      <c r="I4433" s="2161" t="n">
        <v>0</v>
      </c>
      <c r="J4433" s="2161" t="n">
        <v>0</v>
      </c>
      <c r="K4433" s="2161" t="n"/>
    </row>
    <row r="4434" outlineLevel="3" ht="15.75" customHeight="1">
      <c r="A4434" s="10" t="n">
        <v>36</v>
      </c>
      <c r="B4434" s="10" t="inlineStr">
        <is>
          <t>Insumo</t>
        </is>
      </c>
      <c r="C4434" s="10" t="inlineStr">
        <is>
          <t>Pintura PVA Acrílica Verde Externa 3 Demãos</t>
        </is>
      </c>
      <c r="D4434" s="10" t="inlineStr">
        <is>
          <t>LIXA DAGUA 225X275MM GR100</t>
        </is>
      </c>
      <c r="E4434" s="11">
        <f t="array" ref="E4434">_xlfn.XLOOKUP(D4434,Insumos!B:B,Insumos!C:$C)</f>
        <v/>
      </c>
      <c r="F4434" s="14" t="n">
        <v>0.1</v>
      </c>
      <c r="G4434" s="92">
        <f t="array" ref="G4434">IF(B4434="insumo",_xlfn.XLOOKUP($D4434,Insumos!$B$1:$B$996,Insumos!$D$1:$D$996),"")</f>
        <v/>
      </c>
      <c r="H4434" s="92" t="n">
        <v>0.189</v>
      </c>
      <c r="I4434" s="2162" t="n">
        <v>0</v>
      </c>
      <c r="J4434" s="2162" t="n">
        <v>0</v>
      </c>
      <c r="K4434" s="2162" t="n"/>
    </row>
    <row r="4435" outlineLevel="3" ht="15.75" customHeight="1">
      <c r="A4435" s="10" t="n">
        <v>21</v>
      </c>
      <c r="B4435" s="10" t="inlineStr">
        <is>
          <t>Insumo</t>
        </is>
      </c>
      <c r="C4435" s="10" t="inlineStr">
        <is>
          <t>Pintura PVA Acrílica Verde Externa 3 Demãos</t>
        </is>
      </c>
      <c r="D4435" s="10" t="inlineStr">
        <is>
          <t>Massa corrida para superfícies de ambientes internos</t>
        </is>
      </c>
      <c r="E4435" s="11">
        <f t="array" ref="E4435">_xlfn.XLOOKUP(D4435,Insumos!B:B,Insumos!C:$C)</f>
        <v/>
      </c>
      <c r="F4435" s="14" t="n">
        <v>0.8667</v>
      </c>
      <c r="G4435" s="92">
        <f t="array" ref="G4435">IF(B4435="insumo",_xlfn.XLOOKUP($D4435,Insumos!$B$1:$B$996,Insumos!$D$1:$D$996),"")</f>
        <v/>
      </c>
      <c r="H4435" s="92" t="n">
        <v>4.16016</v>
      </c>
      <c r="I4435" s="2162" t="n">
        <v>0</v>
      </c>
      <c r="J4435" s="2162" t="n">
        <v>0</v>
      </c>
      <c r="K4435" s="2162" t="n"/>
    </row>
    <row r="4436" outlineLevel="3" ht="15.75" customHeight="1">
      <c r="A4436" s="10" t="n">
        <v>19</v>
      </c>
      <c r="B4436" s="10" t="inlineStr">
        <is>
          <t>Insumo</t>
        </is>
      </c>
      <c r="C4436" s="10" t="inlineStr">
        <is>
          <t>Pintura PVA Acrílica Verde Externa 3 Demãos</t>
        </is>
      </c>
      <c r="D4436" s="10" t="inlineStr">
        <is>
          <t>Selador Primer Ibratin - 4,2kg - 3,6L</t>
        </is>
      </c>
      <c r="E4436" s="11">
        <f t="array" ref="E4436">_xlfn.XLOOKUP(D4436,Insumos!B:B,Insumos!C:$C)</f>
        <v/>
      </c>
      <c r="F4436" s="14" t="n">
        <v>0.1666</v>
      </c>
      <c r="G4436" s="92">
        <f t="array" ref="G4436">IF(B4436="insumo",_xlfn.XLOOKUP($D4436,Insumos!$B$1:$B$996,Insumos!$D$1:$D$996),"")</f>
        <v/>
      </c>
      <c r="H4436" s="92" t="n">
        <v>1.75855555555556</v>
      </c>
      <c r="I4436" s="2162" t="n">
        <v>0</v>
      </c>
      <c r="J4436" s="2162" t="n">
        <v>0</v>
      </c>
      <c r="K4436" s="2162" t="n"/>
    </row>
    <row r="4437" outlineLevel="3" ht="15.75" customHeight="1">
      <c r="A4437" s="10" t="n">
        <v>16</v>
      </c>
      <c r="B4437" s="10" t="inlineStr">
        <is>
          <t>Insumo</t>
        </is>
      </c>
      <c r="C4437" s="10" t="inlineStr">
        <is>
          <t>Pintura PVA Acrílica Verde Externa 3 Demãos</t>
        </is>
      </c>
      <c r="D4437" s="10" t="inlineStr">
        <is>
          <t xml:space="preserve">TINTA ACRILICA PREMIUM </t>
        </is>
      </c>
      <c r="E4437" s="11">
        <f t="array" ref="E4437">_xlfn.XLOOKUP(D4437,Insumos!B:B,Insumos!C:$C)</f>
        <v/>
      </c>
      <c r="F4437" s="14" t="n">
        <v>0.495</v>
      </c>
      <c r="G4437" s="92">
        <f t="array" ref="G4437">IF(B4437="insumo",_xlfn.XLOOKUP($D4437,Insumos!$B$1:$B$996,Insumos!$D$1:$D$996),"")</f>
        <v/>
      </c>
      <c r="H4437" s="92" t="n">
        <v>12.1275</v>
      </c>
      <c r="I4437" s="2162" t="n">
        <v>0</v>
      </c>
      <c r="J4437" s="2162" t="n">
        <v>0</v>
      </c>
      <c r="K4437" s="2162" t="n"/>
    </row>
    <row r="4438" outlineLevel="2" ht="15.75" customHeight="1">
      <c r="A4438" s="1067" t="n">
        <v>1</v>
      </c>
      <c r="B4438" s="1067" t="inlineStr">
        <is>
          <t>Serviço</t>
        </is>
      </c>
      <c r="C4438" s="1067" t="inlineStr">
        <is>
          <t>Pintura Com Tinta Latex Acrilica em Paredes Externas, 3 Demaos (Somente tinta)</t>
        </is>
      </c>
      <c r="D4438" s="1067" t="inlineStr">
        <is>
          <t>Pintura Com Tinta Latex Acrilica em Paredes Externas, 3 Demaos (Somente tinta)</t>
        </is>
      </c>
      <c r="E4438" s="1068" t="inlineStr">
        <is>
          <t>M2</t>
        </is>
      </c>
      <c r="F4438" s="1067" t="n"/>
      <c r="G4438" s="1069">
        <f t="array" ref="G4438">IF(B4438="insumo",_xlfn.XLOOKUP($D4438,Insumos!$B$1:$B$996,Insumos!$D$1:$D$996),"")</f>
        <v/>
      </c>
      <c r="H4438" s="1069" t="n">
        <v>12.1275</v>
      </c>
      <c r="I4438" s="2161" t="n">
        <v>0</v>
      </c>
      <c r="J4438" s="2161" t="n">
        <v>0</v>
      </c>
      <c r="K4438" s="2161" t="n"/>
    </row>
    <row r="4439" outlineLevel="3" ht="15.75" customHeight="1">
      <c r="A4439" s="10" t="n">
        <v>16</v>
      </c>
      <c r="B4439" s="10" t="inlineStr">
        <is>
          <t>Insumo</t>
        </is>
      </c>
      <c r="C4439" s="10" t="inlineStr">
        <is>
          <t>Pintura Com Tinta Latex Acrilica em Paredes Externas, 3 Demaos (Somente tinta)</t>
        </is>
      </c>
      <c r="D4439" s="10" t="inlineStr">
        <is>
          <t xml:space="preserve">TINTA ACRILICA PREMIUM </t>
        </is>
      </c>
      <c r="E4439" s="11">
        <f t="array" ref="E4439">_xlfn.XLOOKUP(D4439,Insumos!B:B,Insumos!C:$C)</f>
        <v/>
      </c>
      <c r="F4439" s="14" t="n">
        <v>0.495</v>
      </c>
      <c r="G4439" s="92">
        <f t="array" ref="G4439">IF(B4439="insumo",_xlfn.XLOOKUP($D4439,Insumos!$B$1:$B$996,Insumos!$D$1:$D$996),"")</f>
        <v/>
      </c>
      <c r="H4439" s="92" t="n">
        <v>12.1275</v>
      </c>
      <c r="I4439" s="2162" t="n">
        <v>0</v>
      </c>
      <c r="J4439" s="2162" t="n">
        <v>0</v>
      </c>
      <c r="K4439" s="2162" t="n"/>
    </row>
    <row r="4440" outlineLevel="2" ht="15.75" customHeight="1">
      <c r="A4440" s="1067" t="n">
        <v>1</v>
      </c>
      <c r="B4440" s="1067" t="inlineStr">
        <is>
          <t>Serviço</t>
        </is>
      </c>
      <c r="C4440" s="1067" t="inlineStr">
        <is>
          <t>Pintura Com Tinta Latex Acrilica em Paredes Externas, 3 Demaos (Somente tinta e fundo)</t>
        </is>
      </c>
      <c r="D4440" s="1067" t="inlineStr">
        <is>
          <t>Pintura Com Tinta Latex Acrilica em Paredes Externas, 3 Demaos (Somente tinta e fundo)</t>
        </is>
      </c>
      <c r="E4440" s="1068" t="inlineStr">
        <is>
          <t>M2</t>
        </is>
      </c>
      <c r="F4440" s="1067" t="n"/>
      <c r="G4440" s="1069">
        <f t="array" ref="G4440">IF(B4440="insumo",_xlfn.XLOOKUP($D4440,Insumos!$B$1:$B$996,Insumos!$D$1:$D$996),"")</f>
        <v/>
      </c>
      <c r="H4440" s="1069" t="n">
        <v>13.205402</v>
      </c>
      <c r="I4440" s="2161" t="n">
        <v>0</v>
      </c>
      <c r="J4440" s="2161" t="n">
        <v>0</v>
      </c>
      <c r="K4440" s="2161" t="n"/>
    </row>
    <row r="4441" outlineLevel="3" ht="15.75" customHeight="1">
      <c r="A4441" s="10" t="n">
        <v>16</v>
      </c>
      <c r="B4441" s="10" t="inlineStr">
        <is>
          <t>Insumo</t>
        </is>
      </c>
      <c r="C4441" s="10" t="inlineStr">
        <is>
          <t>Pintura Com Tinta Latex Acrilica em Paredes Externas, 3 Demaos (Somente tinta e fundo)</t>
        </is>
      </c>
      <c r="D4441" s="10" t="inlineStr">
        <is>
          <t xml:space="preserve">TINTA ACRILICA PREMIUM </t>
        </is>
      </c>
      <c r="E4441" s="11">
        <f t="array" ref="E4441">_xlfn.XLOOKUP(D4441,Insumos!B:B,Insumos!C:$C)</f>
        <v/>
      </c>
      <c r="F4441" s="14" t="n">
        <v>0.495</v>
      </c>
      <c r="G4441" s="92">
        <f t="array" ref="G4441">IF(B4441="insumo",_xlfn.XLOOKUP($D4441,Insumos!$B$1:$B$996,Insumos!$D$1:$D$996),"")</f>
        <v/>
      </c>
      <c r="H4441" s="92" t="n">
        <v>12.1275</v>
      </c>
      <c r="I4441" s="2162" t="n">
        <v>0</v>
      </c>
      <c r="J4441" s="2162" t="n">
        <v>0</v>
      </c>
      <c r="K4441" s="2162" t="n"/>
    </row>
    <row r="4442" outlineLevel="3" ht="15.75" customHeight="1">
      <c r="A4442" s="10" t="n">
        <v>31</v>
      </c>
      <c r="B4442" s="10" t="inlineStr">
        <is>
          <t>Insumo</t>
        </is>
      </c>
      <c r="C4442" s="10" t="inlineStr">
        <is>
          <t>Pintura Com Tinta Latex Acrilica em Paredes Externas, 3 Demaos (Somente tinta e fundo)</t>
        </is>
      </c>
      <c r="D4442" s="10" t="inlineStr">
        <is>
          <t>Selador acrilico opaco premium interno/externo</t>
        </is>
      </c>
      <c r="E4442" s="11">
        <f t="array" ref="E4442">_xlfn.XLOOKUP(D4442,Insumos!B:B,Insumos!C:$C)</f>
        <v/>
      </c>
      <c r="F4442" s="14" t="n">
        <v>0.1666</v>
      </c>
      <c r="G4442" s="92">
        <f t="array" ref="G4442">IF(B4442="insumo",_xlfn.XLOOKUP($D4442,Insumos!$B$1:$B$996,Insumos!$D$1:$D$996),"")</f>
        <v/>
      </c>
      <c r="H4442" s="92" t="n">
        <v>1.077902</v>
      </c>
      <c r="I4442" s="2162" t="n">
        <v>0</v>
      </c>
      <c r="J4442" s="2162" t="n">
        <v>0</v>
      </c>
      <c r="K4442" s="2162" t="n"/>
    </row>
    <row r="4443" outlineLevel="2" ht="15.75" customHeight="1">
      <c r="A4443" s="1067" t="n">
        <v>1</v>
      </c>
      <c r="B4443" s="1067" t="inlineStr">
        <is>
          <t>Serviço</t>
        </is>
      </c>
      <c r="C4443" s="1067" t="inlineStr">
        <is>
          <t>Pintura Com Tinta Latex Acrilica em Paredes Externas, 3 Demaos (Incluso fundo ) - Cor preto</t>
        </is>
      </c>
      <c r="D4443" s="1067" t="inlineStr">
        <is>
          <t>Pintura Com Tinta Latex Acrilica em Paredes Externas, 3 Demaos (Incluso fundo ) - Cor preto</t>
        </is>
      </c>
      <c r="E4443" s="1068" t="inlineStr">
        <is>
          <t>M2</t>
        </is>
      </c>
      <c r="F4443" s="1067" t="n"/>
      <c r="G4443" s="1069">
        <f t="array" ref="G4443">IF(B4443="insumo",_xlfn.XLOOKUP($D4443,Insumos!$B$1:$B$996,Insumos!$D$1:$D$996),"")</f>
        <v/>
      </c>
      <c r="H4443" s="1069" t="n">
        <v>35.641902</v>
      </c>
      <c r="I4443" s="2161" t="n">
        <v>0</v>
      </c>
      <c r="J4443" s="2161" t="n">
        <v>0</v>
      </c>
      <c r="K4443" s="2161" t="n"/>
    </row>
    <row r="4444" outlineLevel="3" ht="15.75" customHeight="1">
      <c r="A4444" s="10" t="n">
        <v>36</v>
      </c>
      <c r="B4444" s="10" t="inlineStr">
        <is>
          <t>Insumo</t>
        </is>
      </c>
      <c r="C4444" s="10" t="inlineStr">
        <is>
          <t>Pintura Com Tinta Latex Acrilica em Paredes Externas, 3 Demaos (Incluso fundo ) - Cor preto</t>
        </is>
      </c>
      <c r="D4444" s="10" t="inlineStr">
        <is>
          <t>LIXA DAGUA 225X275MM GR100</t>
        </is>
      </c>
      <c r="E4444" s="11">
        <f t="array" ref="E4444">_xlfn.XLOOKUP(D4444,Insumos!B:B,Insumos!C:$C)</f>
        <v/>
      </c>
      <c r="F4444" s="14" t="n">
        <v>0.1</v>
      </c>
      <c r="G4444" s="92">
        <f t="array" ref="G4444">IF(B4444="insumo",_xlfn.XLOOKUP($D4444,Insumos!$B$1:$B$996,Insumos!$D$1:$D$996),"")</f>
        <v/>
      </c>
      <c r="H4444" s="92" t="n">
        <v>0.189</v>
      </c>
      <c r="I4444" s="2162" t="n">
        <v>0</v>
      </c>
      <c r="J4444" s="2162" t="n">
        <v>0</v>
      </c>
      <c r="K4444" s="2162" t="n"/>
    </row>
    <row r="4445" outlineLevel="3" ht="15.75" customHeight="1">
      <c r="A4445" s="10" t="n">
        <v>31</v>
      </c>
      <c r="B4445" s="10" t="inlineStr">
        <is>
          <t>Insumo</t>
        </is>
      </c>
      <c r="C4445" s="10" t="inlineStr">
        <is>
          <t>Pintura Com Tinta Latex Acrilica em Paredes Externas, 3 Demaos (Incluso fundo ) - Cor preto</t>
        </is>
      </c>
      <c r="D4445" s="10" t="inlineStr">
        <is>
          <t>Selador acrilico opaco premium interno/externo</t>
        </is>
      </c>
      <c r="E4445" s="11">
        <f t="array" ref="E4445">_xlfn.XLOOKUP(D4445,Insumos!B:B,Insumos!C:$C)</f>
        <v/>
      </c>
      <c r="F4445" s="14" t="n">
        <v>0.1666</v>
      </c>
      <c r="G4445" s="92">
        <f t="array" ref="G4445">IF(B4445="insumo",_xlfn.XLOOKUP($D4445,Insumos!$B$1:$B$996,Insumos!$D$1:$D$996),"")</f>
        <v/>
      </c>
      <c r="H4445" s="92" t="n">
        <v>1.077902</v>
      </c>
      <c r="I4445" s="2162" t="n">
        <v>0</v>
      </c>
      <c r="J4445" s="2162" t="n">
        <v>0</v>
      </c>
      <c r="K4445" s="2162" t="n"/>
    </row>
    <row r="4446" outlineLevel="3" ht="15.75" customHeight="1">
      <c r="A4446" s="10" t="n">
        <v>4</v>
      </c>
      <c r="B4446" s="10" t="inlineStr">
        <is>
          <t>Insumo</t>
        </is>
      </c>
      <c r="C4446" s="10" t="inlineStr">
        <is>
          <t>Pintura Com Tinta Latex Acrilica em Paredes Externas, 3 Demaos (Incluso fundo ) - Cor preto</t>
        </is>
      </c>
      <c r="D4446" s="10" t="inlineStr">
        <is>
          <t>TINTA ACRILICA PREMIUM COR PRETA</t>
        </is>
      </c>
      <c r="E4446" s="11">
        <f t="array" ref="E4446">_xlfn.XLOOKUP(D4446,Insumos!B:B,Insumos!C:$C)</f>
        <v/>
      </c>
      <c r="F4446" s="14" t="n">
        <v>0.495</v>
      </c>
      <c r="G4446" s="92">
        <f t="array" ref="G4446">IF(B4446="insumo",_xlfn.XLOOKUP($D4446,Insumos!$B$1:$B$996,Insumos!$D$1:$D$996),"")</f>
        <v/>
      </c>
      <c r="H4446" s="92" t="n">
        <v>34.375</v>
      </c>
      <c r="I4446" s="2162" t="n">
        <v>0</v>
      </c>
      <c r="J4446" s="2162" t="n">
        <v>0</v>
      </c>
      <c r="K4446" s="2162" t="n"/>
    </row>
    <row r="4447" outlineLevel="2" ht="15.75" customHeight="1">
      <c r="A4447" s="1067" t="n">
        <v>1</v>
      </c>
      <c r="B4447" s="1067" t="inlineStr">
        <is>
          <t>Serviço</t>
        </is>
      </c>
      <c r="C4447" s="1067" t="inlineStr">
        <is>
          <t>Pintura Com Tinta Latex Acrilica em Paredes Externas, 3 Demaos (Incluso fundo e massa)</t>
        </is>
      </c>
      <c r="D4447" s="1067" t="inlineStr">
        <is>
          <t>Pintura Com Tinta Latex Acrilica em Paredes Externas, 3 Demaos (Incluso fundo e massa)</t>
        </is>
      </c>
      <c r="E4447" s="1068" t="inlineStr">
        <is>
          <t>M2</t>
        </is>
      </c>
      <c r="F4447" s="1067" t="n"/>
      <c r="G4447" s="1069">
        <f t="array" ref="G4447">IF(B4447="insumo",_xlfn.XLOOKUP($D4447,Insumos!$B$1:$B$996,Insumos!$D$1:$D$996),"")</f>
        <v/>
      </c>
      <c r="H4447" s="1069" t="n">
        <v>17.554562</v>
      </c>
      <c r="I4447" s="2161" t="n">
        <v>0</v>
      </c>
      <c r="J4447" s="2161" t="n">
        <v>0</v>
      </c>
      <c r="K4447" s="2161" t="n"/>
    </row>
    <row r="4448" outlineLevel="3" ht="15.75" customHeight="1">
      <c r="A4448" s="10" t="n">
        <v>36</v>
      </c>
      <c r="B4448" s="10" t="inlineStr">
        <is>
          <t>Insumo</t>
        </is>
      </c>
      <c r="C4448" s="10" t="inlineStr">
        <is>
          <t>Pintura Com Tinta Latex Acrilica em Paredes Externas, 3 Demaos (Incluso fundo e massa)</t>
        </is>
      </c>
      <c r="D4448" s="10" t="inlineStr">
        <is>
          <t>LIXA DAGUA 225X275MM GR100</t>
        </is>
      </c>
      <c r="E4448" s="11">
        <f t="array" ref="E4448">_xlfn.XLOOKUP(D4448,Insumos!B:B,Insumos!C:$C)</f>
        <v/>
      </c>
      <c r="F4448" s="14" t="n">
        <v>0.1</v>
      </c>
      <c r="G4448" s="92">
        <f t="array" ref="G4448">IF(B4448="insumo",_xlfn.XLOOKUP($D4448,Insumos!$B$1:$B$996,Insumos!$D$1:$D$996),"")</f>
        <v/>
      </c>
      <c r="H4448" s="92" t="n">
        <v>0.189</v>
      </c>
      <c r="I4448" s="2162" t="n">
        <v>0</v>
      </c>
      <c r="J4448" s="2162" t="n">
        <v>0</v>
      </c>
      <c r="K4448" s="2162" t="n"/>
    </row>
    <row r="4449" outlineLevel="3" ht="15.75" customHeight="1">
      <c r="A4449" s="10" t="n">
        <v>21</v>
      </c>
      <c r="B4449" s="10" t="inlineStr">
        <is>
          <t>Insumo</t>
        </is>
      </c>
      <c r="C4449" s="10" t="inlineStr">
        <is>
          <t>Pintura Com Tinta Latex Acrilica em Paredes Externas, 3 Demaos (Incluso fundo e massa)</t>
        </is>
      </c>
      <c r="D4449" s="10" t="inlineStr">
        <is>
          <t>Massa corrida para superfícies de ambientes internos</t>
        </is>
      </c>
      <c r="E4449" s="11">
        <f t="array" ref="E4449">_xlfn.XLOOKUP(D4449,Insumos!B:B,Insumos!C:$C)</f>
        <v/>
      </c>
      <c r="F4449" s="14" t="n">
        <v>0.8667</v>
      </c>
      <c r="G4449" s="92">
        <f t="array" ref="G4449">IF(B4449="insumo",_xlfn.XLOOKUP($D4449,Insumos!$B$1:$B$996,Insumos!$D$1:$D$996),"")</f>
        <v/>
      </c>
      <c r="H4449" s="92" t="n">
        <v>4.16016</v>
      </c>
      <c r="I4449" s="2162" t="n">
        <v>0</v>
      </c>
      <c r="J4449" s="2162" t="n">
        <v>0</v>
      </c>
      <c r="K4449" s="2162" t="n"/>
    </row>
    <row r="4450" outlineLevel="3" ht="15.75" customHeight="1">
      <c r="A4450" s="10" t="n">
        <v>31</v>
      </c>
      <c r="B4450" s="10" t="inlineStr">
        <is>
          <t>Insumo</t>
        </is>
      </c>
      <c r="C4450" s="10" t="inlineStr">
        <is>
          <t>Pintura Com Tinta Latex Acrilica em Paredes Externas, 3 Demaos (Incluso fundo e massa)</t>
        </is>
      </c>
      <c r="D4450" s="10" t="inlineStr">
        <is>
          <t>Selador acrilico opaco premium interno/externo</t>
        </is>
      </c>
      <c r="E4450" s="11">
        <f t="array" ref="E4450">_xlfn.XLOOKUP(D4450,Insumos!B:B,Insumos!C:$C)</f>
        <v/>
      </c>
      <c r="F4450" s="14" t="n">
        <v>0.1666</v>
      </c>
      <c r="G4450" s="92">
        <f t="array" ref="G4450">IF(B4450="insumo",_xlfn.XLOOKUP($D4450,Insumos!$B$1:$B$996,Insumos!$D$1:$D$996),"")</f>
        <v/>
      </c>
      <c r="H4450" s="92" t="n">
        <v>1.077902</v>
      </c>
      <c r="I4450" s="2162" t="n">
        <v>0</v>
      </c>
      <c r="J4450" s="2162" t="n">
        <v>0</v>
      </c>
      <c r="K4450" s="2162" t="n"/>
    </row>
    <row r="4451" outlineLevel="3" ht="15.75" customHeight="1">
      <c r="A4451" s="10" t="n">
        <v>16</v>
      </c>
      <c r="B4451" s="10" t="inlineStr">
        <is>
          <t>Insumo</t>
        </is>
      </c>
      <c r="C4451" s="10" t="inlineStr">
        <is>
          <t>Pintura Com Tinta Latex Acrilica em Paredes Externas, 3 Demaos (Incluso fundo e massa)</t>
        </is>
      </c>
      <c r="D4451" s="10" t="inlineStr">
        <is>
          <t xml:space="preserve">TINTA ACRILICA PREMIUM </t>
        </is>
      </c>
      <c r="E4451" s="11">
        <f t="array" ref="E4451">_xlfn.XLOOKUP(D4451,Insumos!B:B,Insumos!C:$C)</f>
        <v/>
      </c>
      <c r="F4451" s="14" t="n">
        <v>0.495</v>
      </c>
      <c r="G4451" s="92">
        <f t="array" ref="G4451">IF(B4451="insumo",_xlfn.XLOOKUP($D4451,Insumos!$B$1:$B$996,Insumos!$D$1:$D$996),"")</f>
        <v/>
      </c>
      <c r="H4451" s="92" t="n">
        <v>12.1275</v>
      </c>
      <c r="I4451" s="2162" t="n">
        <v>0</v>
      </c>
      <c r="J4451" s="2162" t="n">
        <v>0</v>
      </c>
      <c r="K4451" s="2162" t="n"/>
    </row>
    <row r="4452" outlineLevel="2" ht="15.75" customHeight="1">
      <c r="A4452" s="1067" t="n">
        <v>1</v>
      </c>
      <c r="B4452" s="1067" t="inlineStr">
        <is>
          <t>Serviço</t>
        </is>
      </c>
      <c r="C4452" s="1067" t="inlineStr">
        <is>
          <t xml:space="preserve">Textura acrílica com selador, aplicação em paredes externas, 1 demão - Textura Terracal / Marca: Terracor </t>
        </is>
      </c>
      <c r="D4452" s="1067" t="inlineStr">
        <is>
          <t xml:space="preserve">Textura acrílica com selador, aplicação em paredes externas, 1 demão - Textura Terracal / Marca: Terracor </t>
        </is>
      </c>
      <c r="E4452" s="1068" t="inlineStr">
        <is>
          <t>M2</t>
        </is>
      </c>
      <c r="F4452" s="1067" t="n"/>
      <c r="G4452" s="1069">
        <f t="array" ref="G4452">IF(B4452="insumo",_xlfn.XLOOKUP($D4452,Insumos!$B$1:$B$996,Insumos!$D$1:$D$996),"")</f>
        <v/>
      </c>
      <c r="H4452" s="1069" t="n">
        <v>68.5085555555556</v>
      </c>
      <c r="I4452" s="2161" t="e">
        <v>#REF!</v>
      </c>
      <c r="J4452" s="2161" t="e">
        <v>#REF!</v>
      </c>
      <c r="K4452" s="2161" t="n"/>
    </row>
    <row r="4453" outlineLevel="3" ht="15.75" customHeight="1">
      <c r="A4453" s="10" t="n">
        <v>3</v>
      </c>
      <c r="B4453" s="10" t="inlineStr">
        <is>
          <t>Insumo</t>
        </is>
      </c>
      <c r="C4453" s="10" t="inlineStr">
        <is>
          <t xml:space="preserve">Textura acrílica com selador, aplicação em paredes externas, 1 demão - Textura Terracal / Marca: Terracor </t>
        </is>
      </c>
      <c r="D4453" s="10" t="inlineStr">
        <is>
          <t xml:space="preserve">Textura Terracal / Marca: Terracor </t>
        </is>
      </c>
      <c r="E4453" s="11">
        <f t="array" ref="E4453">_xlfn.XLOOKUP(D4453,Insumos!B:B,Insumos!C:$C)</f>
        <v/>
      </c>
      <c r="F4453" s="14" t="n">
        <v>1.5</v>
      </c>
      <c r="G4453" s="92">
        <f t="array" ref="G4453">IF(B4453="insumo",_xlfn.XLOOKUP($D4453,Insumos!$B$1:$B$996,Insumos!$D$1:$D$996),"")</f>
        <v/>
      </c>
      <c r="H4453" s="92" t="n">
        <v>66.75</v>
      </c>
      <c r="I4453" s="2162" t="e">
        <v>#REF!</v>
      </c>
      <c r="J4453" s="2162" t="e">
        <v>#REF!</v>
      </c>
      <c r="K4453" s="2162" t="n"/>
    </row>
    <row r="4454" outlineLevel="3" ht="15.75" customHeight="1">
      <c r="A4454" s="10" t="n">
        <v>19</v>
      </c>
      <c r="B4454" s="10" t="inlineStr">
        <is>
          <t>Insumo</t>
        </is>
      </c>
      <c r="C4454" s="10" t="inlineStr">
        <is>
          <t xml:space="preserve">Textura acrílica com selador, aplicação em paredes externas, 1 demão - Textura Terracal / Marca: Terracor </t>
        </is>
      </c>
      <c r="D4454" s="10" t="inlineStr">
        <is>
          <t>Selador Primer Ibratin - 4,2kg - 3,6L</t>
        </is>
      </c>
      <c r="E4454" s="11">
        <f t="array" ref="E4454">_xlfn.XLOOKUP(D4454,Insumos!B:B,Insumos!C:$C)</f>
        <v/>
      </c>
      <c r="F4454" s="14" t="n">
        <v>0.1666</v>
      </c>
      <c r="G4454" s="92">
        <f t="array" ref="G4454">IF(B4454="insumo",_xlfn.XLOOKUP($D4454,Insumos!$B$1:$B$996,Insumos!$D$1:$D$996),"")</f>
        <v/>
      </c>
      <c r="H4454" s="92" t="n">
        <v>1.75855555555556</v>
      </c>
      <c r="I4454" s="2162" t="e">
        <v>#REF!</v>
      </c>
      <c r="J4454" s="2162" t="e">
        <v>#REF!</v>
      </c>
      <c r="K4454" s="2162" t="n"/>
    </row>
    <row r="4455" outlineLevel="2" ht="15.75" customHeight="1">
      <c r="A4455" s="1067" t="n">
        <v>1</v>
      </c>
      <c r="B4455" s="1067" t="inlineStr">
        <is>
          <t>Serviço</t>
        </is>
      </c>
      <c r="C4455" s="1067" t="inlineStr">
        <is>
          <t>Textura Emborrachada, acabamento suave, aplicação em paredes externas - 1 demão - Cinza escuro</t>
        </is>
      </c>
      <c r="D4455" s="1067" t="inlineStr">
        <is>
          <t>Textura Emborrachada, acabamento suave, aplicação em paredes externas - 1 demão - Cinza escuro</t>
        </is>
      </c>
      <c r="E4455" s="1068" t="inlineStr">
        <is>
          <t>M2</t>
        </is>
      </c>
      <c r="F4455" s="1067" t="n"/>
      <c r="G4455" s="1069">
        <f t="array" ref="G4455">IF(B4455="insumo",_xlfn.XLOOKUP($D4455,Insumos!$B$1:$B$996,Insumos!$D$1:$D$996),"")</f>
        <v/>
      </c>
      <c r="H4455" s="1069" t="n">
        <v>211.758555555556</v>
      </c>
      <c r="I4455" s="2161" t="n">
        <v>0</v>
      </c>
      <c r="J4455" s="2161" t="n">
        <v>0</v>
      </c>
      <c r="K4455" s="2161" t="n"/>
    </row>
    <row r="4456" outlineLevel="3" ht="15.75" customHeight="1">
      <c r="A4456" s="10" t="n">
        <v>2</v>
      </c>
      <c r="B4456" s="10" t="inlineStr">
        <is>
          <t>Insumo</t>
        </is>
      </c>
      <c r="C4456" s="10" t="inlineStr">
        <is>
          <t>Textura Emborrachada, acabamento suave, aplicação em paredes externas - 1 demão - Cinza escuro</t>
        </is>
      </c>
      <c r="D4456" s="10" t="inlineStr">
        <is>
          <t>Textura acrilica Cinza escura - Sto Brasil</t>
        </is>
      </c>
      <c r="E4456" s="11">
        <f t="array" ref="E4456">_xlfn.XLOOKUP(D4456,Insumos!B:B,Insumos!C:$C)</f>
        <v/>
      </c>
      <c r="F4456" s="14" t="n">
        <v>1.5</v>
      </c>
      <c r="G4456" s="92">
        <f t="array" ref="G4456">IF(B4456="insumo",_xlfn.XLOOKUP($D4456,Insumos!$B$1:$B$996,Insumos!$D$1:$D$996),"")</f>
        <v/>
      </c>
      <c r="H4456" s="92" t="n">
        <v>210</v>
      </c>
      <c r="I4456" s="2162" t="n">
        <v>0</v>
      </c>
      <c r="J4456" s="2162" t="n">
        <v>0</v>
      </c>
      <c r="K4456" s="2162" t="n"/>
    </row>
    <row r="4457" outlineLevel="3" ht="15.75" customHeight="1">
      <c r="A4457" s="10" t="n">
        <v>19</v>
      </c>
      <c r="B4457" s="10" t="inlineStr">
        <is>
          <t>Insumo</t>
        </is>
      </c>
      <c r="C4457" s="10" t="inlineStr">
        <is>
          <t>Textura Emborrachada, acabamento suave, aplicação em paredes externas - 1 demão - Cinza escuro</t>
        </is>
      </c>
      <c r="D4457" s="10" t="inlineStr">
        <is>
          <t>Selador Primer Ibratin - 4,2kg - 3,6L</t>
        </is>
      </c>
      <c r="E4457" s="11">
        <f t="array" ref="E4457">_xlfn.XLOOKUP(D4457,Insumos!B:B,Insumos!C:$C)</f>
        <v/>
      </c>
      <c r="F4457" s="14" t="n">
        <v>0.1666</v>
      </c>
      <c r="G4457" s="92">
        <f t="array" ref="G4457">IF(B4457="insumo",_xlfn.XLOOKUP($D4457,Insumos!$B$1:$B$996,Insumos!$D$1:$D$996),"")</f>
        <v/>
      </c>
      <c r="H4457" s="92" t="n">
        <v>1.75855555555556</v>
      </c>
      <c r="I4457" s="2162" t="n">
        <v>0</v>
      </c>
      <c r="J4457" s="2162" t="n">
        <v>0</v>
      </c>
      <c r="K4457" s="2162" t="n"/>
    </row>
    <row r="4458" outlineLevel="2" ht="15.75" customHeight="1">
      <c r="A4458" s="1067" t="n">
        <v>1</v>
      </c>
      <c r="B4458" s="1067" t="inlineStr">
        <is>
          <t>Serviço</t>
        </is>
      </c>
      <c r="C4458" s="1067" t="inlineStr">
        <is>
          <t>Textura acrílica, acabamento granulado, aplicação em paredes externas - 1 demão - Cimento Queimado</t>
        </is>
      </c>
      <c r="D4458" s="1067" t="inlineStr">
        <is>
          <t>Textura acrílica, acabamento granulado, aplicação em paredes externas - 1 demão - Cimento Queimado</t>
        </is>
      </c>
      <c r="E4458" s="1068" t="inlineStr">
        <is>
          <t>M2</t>
        </is>
      </c>
      <c r="F4458" s="1067" t="n"/>
      <c r="G4458" s="1069">
        <f t="array" ref="G4458">IF(B4458="insumo",_xlfn.XLOOKUP($D4458,Insumos!$B$1:$B$996,Insumos!$D$1:$D$996),"")</f>
        <v/>
      </c>
      <c r="H4458" s="1069" t="n">
        <v>51.2585555555556</v>
      </c>
      <c r="I4458" s="2161" t="n">
        <v>0</v>
      </c>
      <c r="J4458" s="2161" t="n">
        <v>0</v>
      </c>
      <c r="K4458" s="2161" t="n"/>
    </row>
    <row r="4459" outlineLevel="3" ht="15.75" customHeight="1">
      <c r="A4459" s="10" t="n">
        <v>1</v>
      </c>
      <c r="B4459" s="10" t="inlineStr">
        <is>
          <t>Insumo</t>
        </is>
      </c>
      <c r="C4459" s="10" t="inlineStr">
        <is>
          <t>Textura acrílica, acabamento granulado, aplicação em paredes externas - 1 demão - Cimento Queimado</t>
        </is>
      </c>
      <c r="D4459" s="10" t="inlineStr">
        <is>
          <t>Cimento Queimado 4,2kg Elegance - Cor: Tubarão</t>
        </is>
      </c>
      <c r="E4459" s="11">
        <f t="array" ref="E4459">_xlfn.XLOOKUP(D4459,Insumos!B:B,Insumos!C:$C)</f>
        <v/>
      </c>
      <c r="F4459" s="14" t="n">
        <v>1.5</v>
      </c>
      <c r="G4459" s="92">
        <f t="array" ref="G4459">IF(B4459="insumo",_xlfn.XLOOKUP($D4459,Insumos!$B$1:$B$996,Insumos!$D$1:$D$996),"")</f>
        <v/>
      </c>
      <c r="H4459" s="92" t="n">
        <v>49.5</v>
      </c>
      <c r="I4459" s="2162" t="n">
        <v>0</v>
      </c>
      <c r="J4459" s="2162" t="n">
        <v>0</v>
      </c>
      <c r="K4459" s="2162" t="n"/>
    </row>
    <row r="4460" outlineLevel="3" ht="15.75" customHeight="1">
      <c r="A4460" s="10" t="n">
        <v>19</v>
      </c>
      <c r="B4460" s="10" t="inlineStr">
        <is>
          <t>Insumo</t>
        </is>
      </c>
      <c r="C4460" s="10" t="inlineStr">
        <is>
          <t>Textura acrílica, acabamento granulado, aplicação em paredes externas - 1 demão - Cimento Queimado</t>
        </is>
      </c>
      <c r="D4460" s="10" t="inlineStr">
        <is>
          <t>Selador Primer Ibratin - 4,2kg - 3,6L</t>
        </is>
      </c>
      <c r="E4460" s="11">
        <f t="array" ref="E4460">_xlfn.XLOOKUP(D4460,Insumos!B:B,Insumos!C:$C)</f>
        <v/>
      </c>
      <c r="F4460" s="14" t="n">
        <v>0.1666</v>
      </c>
      <c r="G4460" s="92">
        <f t="array" ref="G4460">IF(B4460="insumo",_xlfn.XLOOKUP($D4460,Insumos!$B$1:$B$996,Insumos!$D$1:$D$996),"")</f>
        <v/>
      </c>
      <c r="H4460" s="92" t="n">
        <v>1.75855555555556</v>
      </c>
      <c r="I4460" s="2162" t="n">
        <v>0</v>
      </c>
      <c r="J4460" s="2162" t="n">
        <v>0</v>
      </c>
      <c r="K4460" s="2162" t="n"/>
    </row>
    <row r="4461" outlineLevel="2" ht="15.75" customHeight="1">
      <c r="A4461" s="1067" t="n">
        <v>1</v>
      </c>
      <c r="B4461" s="1067" t="inlineStr">
        <is>
          <t>Serviço</t>
        </is>
      </c>
      <c r="C4461" s="1067" t="inlineStr">
        <is>
          <t>Textura acrílica, acabamento granulado, aplicação em paredes externas - 1 demão - Effeti Branco</t>
        </is>
      </c>
      <c r="D4461" s="1067" t="inlineStr">
        <is>
          <t>Textura acrílica, acabamento granulado, aplicação em paredes externas - 1 demão - Effeti Branco</t>
        </is>
      </c>
      <c r="E4461" s="1068" t="inlineStr">
        <is>
          <t>M2</t>
        </is>
      </c>
      <c r="F4461" s="1067" t="n"/>
      <c r="G4461" s="1069">
        <f t="array" ref="G4461">IF(B4461="insumo",_xlfn.XLOOKUP($D4461,Insumos!$B$1:$B$996,Insumos!$D$1:$D$996),"")</f>
        <v/>
      </c>
      <c r="H4461" s="1069" t="n">
        <v>43.7585555555556</v>
      </c>
      <c r="I4461" s="2161" t="n">
        <v>0</v>
      </c>
      <c r="J4461" s="2161" t="n">
        <v>0</v>
      </c>
      <c r="K4461" s="2161" t="n"/>
    </row>
    <row r="4462" outlineLevel="3" ht="15.75" customHeight="1">
      <c r="A4462" s="10" t="n">
        <v>1</v>
      </c>
      <c r="B4462" s="10" t="inlineStr">
        <is>
          <t>Insumo</t>
        </is>
      </c>
      <c r="C4462" s="10" t="inlineStr">
        <is>
          <t>Textura acrílica, acabamento granulado, aplicação em paredes externas - 1 demão - Effeti Branco</t>
        </is>
      </c>
      <c r="D4462" s="10" t="inlineStr">
        <is>
          <t>Textura Ibratin: Effetti Branco</t>
        </is>
      </c>
      <c r="E4462" s="11">
        <f t="array" ref="E4462">_xlfn.XLOOKUP(D4462,Insumos!B:B,Insumos!C:$C)</f>
        <v/>
      </c>
      <c r="F4462" s="14" t="n">
        <v>1.5</v>
      </c>
      <c r="G4462" s="92">
        <f t="array" ref="G4462">IF(B4462="insumo",_xlfn.XLOOKUP($D4462,Insumos!$B$1:$B$996,Insumos!$D$1:$D$996),"")</f>
        <v/>
      </c>
      <c r="H4462" s="92" t="n">
        <v>42</v>
      </c>
      <c r="I4462" s="2162" t="n">
        <v>0</v>
      </c>
      <c r="J4462" s="2162" t="n">
        <v>0</v>
      </c>
      <c r="K4462" s="2162" t="n"/>
    </row>
    <row r="4463" outlineLevel="3" ht="15.75" customHeight="1">
      <c r="A4463" s="10" t="n">
        <v>19</v>
      </c>
      <c r="B4463" s="10" t="inlineStr">
        <is>
          <t>Insumo</t>
        </is>
      </c>
      <c r="C4463" s="10" t="inlineStr">
        <is>
          <t>Textura acrílica, acabamento granulado, aplicação em paredes externas - 1 demão - Effeti Branco</t>
        </is>
      </c>
      <c r="D4463" s="10" t="inlineStr">
        <is>
          <t>Selador Primer Ibratin - 4,2kg - 3,6L</t>
        </is>
      </c>
      <c r="E4463" s="11">
        <f t="array" ref="E4463">_xlfn.XLOOKUP(D4463,Insumos!B:B,Insumos!C:$C)</f>
        <v/>
      </c>
      <c r="F4463" s="14" t="n">
        <v>0.1666</v>
      </c>
      <c r="G4463" s="92">
        <f t="array" ref="G4463">IF(B4463="insumo",_xlfn.XLOOKUP($D4463,Insumos!$B$1:$B$996,Insumos!$D$1:$D$996),"")</f>
        <v/>
      </c>
      <c r="H4463" s="92" t="n">
        <v>1.75855555555556</v>
      </c>
      <c r="I4463" s="2162" t="n">
        <v>0</v>
      </c>
      <c r="J4463" s="2162" t="n">
        <v>0</v>
      </c>
      <c r="K4463" s="2162" t="n"/>
    </row>
    <row r="4464" outlineLevel="2" ht="15.75" customHeight="1">
      <c r="A4464" s="1067" t="n">
        <v>1</v>
      </c>
      <c r="B4464" s="1067" t="inlineStr">
        <is>
          <t>Serviço</t>
        </is>
      </c>
      <c r="C4464" s="1067" t="inlineStr">
        <is>
          <t>Textura acrílica, acabamento granulado, aplicação em paredes externas - 1 demão - Essen Máximo</t>
        </is>
      </c>
      <c r="D4464" s="1067" t="inlineStr">
        <is>
          <t>Textura acrílica, acabamento granulado, aplicação em paredes externas - 1 demão - Essen Máximo</t>
        </is>
      </c>
      <c r="E4464" s="1068" t="inlineStr">
        <is>
          <t>M2</t>
        </is>
      </c>
      <c r="F4464" s="1067" t="n"/>
      <c r="G4464" s="1069">
        <f t="array" ref="G4464">IF(B4464="insumo",_xlfn.XLOOKUP($D4464,Insumos!$B$1:$B$996,Insumos!$D$1:$D$996),"")</f>
        <v/>
      </c>
      <c r="H4464" s="1069" t="n">
        <v>6.20855555555556</v>
      </c>
      <c r="I4464" s="2161" t="n">
        <v>0</v>
      </c>
      <c r="J4464" s="2161" t="n">
        <v>0</v>
      </c>
      <c r="K4464" s="2161" t="n"/>
    </row>
    <row r="4465" outlineLevel="3" ht="15.75" customHeight="1">
      <c r="A4465" s="10" t="n">
        <v>1</v>
      </c>
      <c r="B4465" s="10" t="inlineStr">
        <is>
          <t>Insumo</t>
        </is>
      </c>
      <c r="C4465" s="10" t="inlineStr">
        <is>
          <t>Textura acrílica, acabamento granulado, aplicação em paredes externas - 1 demão - Essen Máximo</t>
        </is>
      </c>
      <c r="D4465" s="10" t="inlineStr">
        <is>
          <t>Textura Efeito Estrelado - Cor: Palha - 4,2kg</t>
        </is>
      </c>
      <c r="E4465" s="11">
        <f t="array" ref="E4465">_xlfn.XLOOKUP(D4465,Insumos!B:B,Insumos!C:$C)</f>
        <v/>
      </c>
      <c r="F4465" s="14" t="n">
        <v>0.21</v>
      </c>
      <c r="G4465" s="92">
        <f t="array" ref="G4465">IF(B4465="insumo",_xlfn.XLOOKUP($D4465,Insumos!$B$1:$B$996,Insumos!$D$1:$D$996),"")</f>
        <v/>
      </c>
      <c r="H4465" s="92" t="n">
        <v>4.45</v>
      </c>
      <c r="I4465" s="2162" t="n">
        <v>0</v>
      </c>
      <c r="J4465" s="2162" t="n">
        <v>0</v>
      </c>
      <c r="K4465" s="2162" t="n"/>
    </row>
    <row r="4466" outlineLevel="3" ht="15.75" customHeight="1">
      <c r="A4466" s="10" t="n">
        <v>19</v>
      </c>
      <c r="B4466" s="10" t="inlineStr">
        <is>
          <t>Insumo</t>
        </is>
      </c>
      <c r="C4466" s="10" t="inlineStr">
        <is>
          <t>Textura acrílica, acabamento granulado, aplicação em paredes externas - 1 demão - Essen Máximo</t>
        </is>
      </c>
      <c r="D4466" s="10" t="inlineStr">
        <is>
          <t>Selador Primer Ibratin - 4,2kg - 3,6L</t>
        </is>
      </c>
      <c r="E4466" s="11">
        <f t="array" ref="E4466">_xlfn.XLOOKUP(D4466,Insumos!B:B,Insumos!C:$C)</f>
        <v/>
      </c>
      <c r="F4466" s="14" t="n">
        <v>0.1666</v>
      </c>
      <c r="G4466" s="92">
        <f t="array" ref="G4466">IF(B4466="insumo",_xlfn.XLOOKUP($D4466,Insumos!$B$1:$B$996,Insumos!$D$1:$D$996),"")</f>
        <v/>
      </c>
      <c r="H4466" s="92" t="n">
        <v>1.75855555555556</v>
      </c>
      <c r="I4466" s="2162" t="n">
        <v>0</v>
      </c>
      <c r="J4466" s="2162" t="n">
        <v>0</v>
      </c>
      <c r="K4466" s="2162" t="n"/>
    </row>
    <row r="4467" outlineLevel="2" ht="15.75" customHeight="1">
      <c r="A4467" s="1067" t="n">
        <v>1</v>
      </c>
      <c r="B4467" s="1067" t="inlineStr">
        <is>
          <t>Serviço</t>
        </is>
      </c>
      <c r="C4467" s="1067" t="inlineStr">
        <is>
          <t>Textura acrílica, acabamento granulado, aplicação em paredes externas - 1 demão - Cinza Geada</t>
        </is>
      </c>
      <c r="D4467" s="1067" t="inlineStr">
        <is>
          <t>Textura acrílica, acabamento granulado, aplicação em paredes externas - 1 demão - Cinza Geada</t>
        </is>
      </c>
      <c r="E4467" s="1068" t="inlineStr">
        <is>
          <t>M2</t>
        </is>
      </c>
      <c r="F4467" s="1067" t="n"/>
      <c r="G4467" s="1069">
        <f t="array" ref="G4467">IF(B4467="insumo",_xlfn.XLOOKUP($D4467,Insumos!$B$1:$B$996,Insumos!$D$1:$D$996),"")</f>
        <v/>
      </c>
      <c r="H4467" s="1069" t="n">
        <v>13.3535294117647</v>
      </c>
      <c r="I4467" s="2161" t="n">
        <v>0</v>
      </c>
      <c r="J4467" s="2161" t="n">
        <v>0</v>
      </c>
      <c r="K4467" s="2161" t="n"/>
    </row>
    <row r="4468" outlineLevel="3" ht="15.75" customHeight="1">
      <c r="A4468" s="10" t="n">
        <v>5</v>
      </c>
      <c r="B4468" s="10" t="inlineStr">
        <is>
          <t>Insumo</t>
        </is>
      </c>
      <c r="C4468" s="10" t="inlineStr">
        <is>
          <t>Textura acrílica, acabamento granulado, aplicação em paredes externas - 1 demão - Cinza Geada</t>
        </is>
      </c>
      <c r="D4468" s="10" t="inlineStr">
        <is>
          <t>Textura acrilica branca - Coral</t>
        </is>
      </c>
      <c r="E4468" s="11">
        <f t="array" ref="E4468">_xlfn.XLOOKUP(D4468,Insumos!B:B,Insumos!C:$C)</f>
        <v/>
      </c>
      <c r="F4468" s="14" t="n">
        <v>0.8333333333333334</v>
      </c>
      <c r="G4468" s="92">
        <f t="array" ref="G4468">IF(B4468="insumo",_xlfn.XLOOKUP($D4468,Insumos!$B$1:$B$996,Insumos!$D$1:$D$996),"")</f>
        <v/>
      </c>
      <c r="H4468" s="92" t="n">
        <v>6.99666666666667</v>
      </c>
      <c r="I4468" s="2162" t="n">
        <v>0</v>
      </c>
      <c r="J4468" s="2162" t="n">
        <v>0</v>
      </c>
      <c r="K4468" s="2162" t="n"/>
    </row>
    <row r="4469" outlineLevel="3" ht="15.75" customHeight="1">
      <c r="A4469" s="10" t="n">
        <v>1</v>
      </c>
      <c r="B4469" s="10" t="inlineStr">
        <is>
          <t>Insumo</t>
        </is>
      </c>
      <c r="C4469" s="10" t="inlineStr">
        <is>
          <t>Textura acrílica, acabamento granulado, aplicação em paredes externas - 1 demão - Cinza Geada</t>
        </is>
      </c>
      <c r="D4469" s="10" t="inlineStr">
        <is>
          <t>Rende Muito Cinza Geada - Tinta Coral</t>
        </is>
      </c>
      <c r="E4469" s="11">
        <f t="array" ref="E4469">_xlfn.XLOOKUP(D4469,Insumos!B:B,Insumos!C:$C)</f>
        <v/>
      </c>
      <c r="F4469" s="14" t="n">
        <v>0.09411764705882353</v>
      </c>
      <c r="G4469" s="92">
        <f t="array" ref="G4469">IF(B4469="insumo",_xlfn.XLOOKUP($D4469,Insumos!$B$1:$B$996,Insumos!$D$1:$D$996),"")</f>
        <v/>
      </c>
      <c r="H4469" s="92" t="n">
        <v>3.82352941176471</v>
      </c>
      <c r="I4469" s="2162" t="n">
        <v>0</v>
      </c>
      <c r="J4469" s="2162" t="n">
        <v>0</v>
      </c>
      <c r="K4469" s="2162" t="n"/>
    </row>
    <row r="4470" outlineLevel="3" ht="15.75" customHeight="1">
      <c r="A4470" s="10" t="n">
        <v>19</v>
      </c>
      <c r="B4470" s="10" t="inlineStr">
        <is>
          <t>Insumo</t>
        </is>
      </c>
      <c r="C4470" s="10" t="inlineStr">
        <is>
          <t>Textura acrílica, acabamento granulado, aplicação em paredes externas - 1 demão - Cinza Geada</t>
        </is>
      </c>
      <c r="D4470" s="10" t="inlineStr">
        <is>
          <t>Selador Primer Ibratin - 4,2kg - 3,6L</t>
        </is>
      </c>
      <c r="E4470" s="11">
        <f t="array" ref="E4470">_xlfn.XLOOKUP(D4470,Insumos!B:B,Insumos!C:$C)</f>
        <v/>
      </c>
      <c r="F4470" s="14" t="n">
        <v>0.24</v>
      </c>
      <c r="G4470" s="92">
        <f t="array" ref="G4470">IF(B4470="insumo",_xlfn.XLOOKUP($D4470,Insumos!$B$1:$B$996,Insumos!$D$1:$D$996),"")</f>
        <v/>
      </c>
      <c r="H4470" s="92" t="n">
        <v>2.53333333333333</v>
      </c>
      <c r="I4470" s="2162" t="n">
        <v>0</v>
      </c>
      <c r="J4470" s="2162" t="n">
        <v>0</v>
      </c>
      <c r="K4470" s="2162" t="n"/>
    </row>
    <row r="4471" outlineLevel="2" ht="15.75" customHeight="1">
      <c r="A4471" s="1067" t="n">
        <v>1</v>
      </c>
      <c r="B4471" s="1067" t="inlineStr">
        <is>
          <t>Serviço</t>
        </is>
      </c>
      <c r="C4471" s="1067" t="inlineStr">
        <is>
          <t>Textura acrílica, acabamento granulado, aplicação em paredes externas - 1 demão - Imensidão Cinza</t>
        </is>
      </c>
      <c r="D4471" s="1067" t="inlineStr">
        <is>
          <t>Textura acrílica, acabamento granulado, aplicação em paredes externas - 1 demão - Imensidão Cinza</t>
        </is>
      </c>
      <c r="E4471" s="1068" t="inlineStr">
        <is>
          <t>M2</t>
        </is>
      </c>
      <c r="F4471" s="1067" t="n"/>
      <c r="G4471" s="1069">
        <f t="array" ref="G4471">IF(B4471="insumo",_xlfn.XLOOKUP($D4471,Insumos!$B$1:$B$996,Insumos!$D$1:$D$996),"")</f>
        <v/>
      </c>
      <c r="H4471" s="1069" t="n">
        <v>11.1965333333333</v>
      </c>
      <c r="I4471" s="2161" t="n">
        <v>0</v>
      </c>
      <c r="J4471" s="2161" t="n">
        <v>0</v>
      </c>
      <c r="K4471" s="2161" t="n"/>
    </row>
    <row r="4472" outlineLevel="3" ht="15.75" customHeight="1">
      <c r="A4472" s="10" t="n">
        <v>5</v>
      </c>
      <c r="B4472" s="10" t="inlineStr">
        <is>
          <t>Insumo</t>
        </is>
      </c>
      <c r="C4472" s="10" t="inlineStr">
        <is>
          <t>Textura acrílica, acabamento granulado, aplicação em paredes externas - 1 demão - Imensidão Cinza</t>
        </is>
      </c>
      <c r="D4472" s="10" t="inlineStr">
        <is>
          <t>Textura acrilica branca - Coral</t>
        </is>
      </c>
      <c r="E4472" s="11">
        <f t="array" ref="E4472">_xlfn.XLOOKUP(D4472,Insumos!B:B,Insumos!C:$C)</f>
        <v/>
      </c>
      <c r="F4472" s="14" t="n">
        <v>0.8333333333333334</v>
      </c>
      <c r="G4472" s="92">
        <f t="array" ref="G4472">IF(B4472="insumo",_xlfn.XLOOKUP($D4472,Insumos!$B$1:$B$996,Insumos!$D$1:$D$996),"")</f>
        <v/>
      </c>
      <c r="H4472" s="92" t="n">
        <v>6.99666666666667</v>
      </c>
      <c r="I4472" s="2162" t="n">
        <v>0</v>
      </c>
      <c r="J4472" s="2162" t="n">
        <v>0</v>
      </c>
      <c r="K4472" s="2162" t="n"/>
    </row>
    <row r="4473" outlineLevel="3" ht="15.75" customHeight="1">
      <c r="A4473" s="10" t="n">
        <v>1</v>
      </c>
      <c r="B4473" s="10" t="inlineStr">
        <is>
          <t>Insumo</t>
        </is>
      </c>
      <c r="C4473" s="10" t="inlineStr">
        <is>
          <t>Textura acrílica, acabamento granulado, aplicação em paredes externas - 1 demão - Imensidão Cinza</t>
        </is>
      </c>
      <c r="D4473" s="10" t="inlineStr">
        <is>
          <t>Coralit Ultra Resistência Alto Brilho Imensidão Cinza</t>
        </is>
      </c>
      <c r="E4473" s="11">
        <f t="array" ref="E4473">_xlfn.XLOOKUP(D4473,Insumos!B:B,Insumos!C:$C)</f>
        <v/>
      </c>
      <c r="F4473" s="14" t="n">
        <v>0.048</v>
      </c>
      <c r="G4473" s="92">
        <f t="array" ref="G4473">IF(B4473="insumo",_xlfn.XLOOKUP($D4473,Insumos!$B$1:$B$996,Insumos!$D$1:$D$996),"")</f>
        <v/>
      </c>
      <c r="H4473" s="92" t="n">
        <v>1.66653333333333</v>
      </c>
      <c r="I4473" s="2162" t="n">
        <v>0</v>
      </c>
      <c r="J4473" s="2162" t="n">
        <v>0</v>
      </c>
      <c r="K4473" s="2162" t="n"/>
    </row>
    <row r="4474" outlineLevel="3" ht="15.75" customHeight="1">
      <c r="A4474" s="10" t="n">
        <v>19</v>
      </c>
      <c r="B4474" s="10" t="inlineStr">
        <is>
          <t>Insumo</t>
        </is>
      </c>
      <c r="C4474" s="10" t="inlineStr">
        <is>
          <t>Textura acrílica, acabamento granulado, aplicação em paredes externas - 1 demão - Imensidão Cinza</t>
        </is>
      </c>
      <c r="D4474" s="10" t="inlineStr">
        <is>
          <t>Selador Primer Ibratin - 4,2kg - 3,6L</t>
        </is>
      </c>
      <c r="E4474" s="11">
        <f t="array" ref="E4474">_xlfn.XLOOKUP(D4474,Insumos!B:B,Insumos!C:$C)</f>
        <v/>
      </c>
      <c r="F4474" s="14" t="n">
        <v>0.24</v>
      </c>
      <c r="G4474" s="92">
        <f t="array" ref="G4474">IF(B4474="insumo",_xlfn.XLOOKUP($D4474,Insumos!$B$1:$B$996,Insumos!$D$1:$D$996),"")</f>
        <v/>
      </c>
      <c r="H4474" s="92" t="n">
        <v>2.53333333333333</v>
      </c>
      <c r="I4474" s="2162" t="n">
        <v>0</v>
      </c>
      <c r="J4474" s="2162" t="n">
        <v>0</v>
      </c>
      <c r="K4474" s="2162" t="n"/>
    </row>
    <row r="4475" outlineLevel="2" ht="15.75" customHeight="1">
      <c r="A4475" s="1067" t="n">
        <v>1</v>
      </c>
      <c r="B4475" s="1067" t="inlineStr">
        <is>
          <t>Serviço</t>
        </is>
      </c>
      <c r="C4475" s="1067" t="inlineStr">
        <is>
          <t>Textura acrílica, acabamento granulado, aplicação em paredes externas - 1 demão - Preto Fosco</t>
        </is>
      </c>
      <c r="D4475" s="1067" t="inlineStr">
        <is>
          <t>Textura acrílica, acabamento granulado, aplicação em paredes externas - 1 demão - Preto Fosco</t>
        </is>
      </c>
      <c r="E4475" s="1068" t="inlineStr">
        <is>
          <t>M2</t>
        </is>
      </c>
      <c r="F4475" s="1067" t="n"/>
      <c r="G4475" s="1069">
        <f t="array" ref="G4475">IF(B4475="insumo",_xlfn.XLOOKUP($D4475,Insumos!$B$1:$B$996,Insumos!$D$1:$D$996),"")</f>
        <v/>
      </c>
      <c r="H4475" s="1069" t="n">
        <v>11.9286666666667</v>
      </c>
      <c r="I4475" s="2161" t="n">
        <v>0</v>
      </c>
      <c r="J4475" s="2161" t="n">
        <v>0</v>
      </c>
      <c r="K4475" s="2161" t="n"/>
    </row>
    <row r="4476" outlineLevel="3" ht="15.75" customHeight="1">
      <c r="A4476" s="10" t="n">
        <v>5</v>
      </c>
      <c r="B4476" s="10" t="inlineStr">
        <is>
          <t>Insumo</t>
        </is>
      </c>
      <c r="C4476" s="10" t="inlineStr">
        <is>
          <t>Textura acrílica, acabamento granulado, aplicação em paredes externas - 1 demão - Preto Fosco</t>
        </is>
      </c>
      <c r="D4476" s="10" t="inlineStr">
        <is>
          <t>Textura acrilica branca - Coral</t>
        </is>
      </c>
      <c r="E4476" s="11">
        <f t="array" ref="E4476">_xlfn.XLOOKUP(D4476,Insumos!B:B,Insumos!C:$C)</f>
        <v/>
      </c>
      <c r="F4476" s="14" t="n">
        <v>0.8333333333333334</v>
      </c>
      <c r="G4476" s="92">
        <f t="array" ref="G4476">IF(B4476="insumo",_xlfn.XLOOKUP($D4476,Insumos!$B$1:$B$996,Insumos!$D$1:$D$996),"")</f>
        <v/>
      </c>
      <c r="H4476" s="92" t="n">
        <v>6.99666666666667</v>
      </c>
      <c r="I4476" s="2162" t="n">
        <v>0</v>
      </c>
      <c r="J4476" s="2162" t="n">
        <v>0</v>
      </c>
      <c r="K4476" s="2162" t="n"/>
    </row>
    <row r="4477" outlineLevel="3" ht="15.75" customHeight="1">
      <c r="A4477" s="10" t="n">
        <v>1</v>
      </c>
      <c r="B4477" s="10" t="inlineStr">
        <is>
          <t>Insumo</t>
        </is>
      </c>
      <c r="C4477" s="10" t="inlineStr">
        <is>
          <t>Textura acrílica, acabamento granulado, aplicação em paredes externas - 1 demão - Preto Fosco</t>
        </is>
      </c>
      <c r="D4477" s="10" t="inlineStr">
        <is>
          <t>Coralit Ultra Resistência Fosco Preto - Coral</t>
        </is>
      </c>
      <c r="E4477" s="11">
        <f t="array" ref="E4477">_xlfn.XLOOKUP(D4477,Insumos!B:B,Insumos!C:$C)</f>
        <v/>
      </c>
      <c r="F4477" s="14" t="n">
        <v>0.048</v>
      </c>
      <c r="G4477" s="92">
        <f t="array" ref="G4477">IF(B4477="insumo",_xlfn.XLOOKUP($D4477,Insumos!$B$1:$B$996,Insumos!$D$1:$D$996),"")</f>
        <v/>
      </c>
      <c r="H4477" s="92" t="n">
        <v>2.39866666666667</v>
      </c>
      <c r="I4477" s="2162" t="n">
        <v>0</v>
      </c>
      <c r="J4477" s="2162" t="n">
        <v>0</v>
      </c>
      <c r="K4477" s="2162" t="n"/>
    </row>
    <row r="4478" outlineLevel="3" ht="15.75" customHeight="1">
      <c r="A4478" s="10" t="n">
        <v>19</v>
      </c>
      <c r="B4478" s="10" t="inlineStr">
        <is>
          <t>Insumo</t>
        </is>
      </c>
      <c r="C4478" s="10" t="inlineStr">
        <is>
          <t>Textura acrílica, acabamento granulado, aplicação em paredes externas - 1 demão - Preto Fosco</t>
        </is>
      </c>
      <c r="D4478" s="10" t="inlineStr">
        <is>
          <t>Selador Primer Ibratin - 4,2kg - 3,6L</t>
        </is>
      </c>
      <c r="E4478" s="11">
        <f t="array" ref="E4478">_xlfn.XLOOKUP(D4478,Insumos!B:B,Insumos!C:$C)</f>
        <v/>
      </c>
      <c r="F4478" s="14" t="n">
        <v>0.24</v>
      </c>
      <c r="G4478" s="92">
        <f t="array" ref="G4478">IF(B4478="insumo",_xlfn.XLOOKUP($D4478,Insumos!$B$1:$B$996,Insumos!$D$1:$D$996),"")</f>
        <v/>
      </c>
      <c r="H4478" s="92" t="n">
        <v>2.53333333333333</v>
      </c>
      <c r="I4478" s="2162" t="n">
        <v>0</v>
      </c>
      <c r="J4478" s="2162" t="n">
        <v>0</v>
      </c>
      <c r="K4478" s="2162" t="n"/>
    </row>
    <row r="4479" outlineLevel="2" ht="15.75" customHeight="1">
      <c r="A4479" s="1067" t="n">
        <v>1</v>
      </c>
      <c r="B4479" s="1067" t="inlineStr">
        <is>
          <t>Serviço</t>
        </is>
      </c>
      <c r="C4479" s="1067" t="inlineStr">
        <is>
          <t>Textura acrílica, acabamento rolado e desempenado  aplicação em paredes externas - 1 demão</t>
        </is>
      </c>
      <c r="D4479" s="1067" t="inlineStr">
        <is>
          <t>Textura acrílica, acabamento rolado e desempenado  aplicação em paredes externas - 1 demão</t>
        </is>
      </c>
      <c r="E4479" s="1068" t="inlineStr">
        <is>
          <t>M2</t>
        </is>
      </c>
      <c r="F4479" s="1067" t="n"/>
      <c r="G4479" s="1069">
        <f t="array" ref="G4479">IF(B4479="insumo",_xlfn.XLOOKUP($D4479,Insumos!$B$1:$B$996,Insumos!$D$1:$D$996),"")</f>
        <v/>
      </c>
      <c r="H4479" s="1069" t="n">
        <v>36.3636363636364</v>
      </c>
      <c r="I4479" s="2161" t="n">
        <v>0</v>
      </c>
      <c r="J4479" s="2161" t="n">
        <v>0</v>
      </c>
      <c r="K4479" s="2161" t="n"/>
    </row>
    <row r="4480" outlineLevel="3" ht="15.75" customHeight="1">
      <c r="A4480" s="10" t="n">
        <v>5</v>
      </c>
      <c r="B4480" s="10" t="inlineStr">
        <is>
          <t>Insumo</t>
        </is>
      </c>
      <c r="C4480" s="10" t="inlineStr">
        <is>
          <t>Textura acrílica, acabamento rolado e desempenado  aplicação em paredes externas - 1 demão</t>
        </is>
      </c>
      <c r="D4480" s="10" t="inlineStr">
        <is>
          <t>MASSA PREMIUM PARA TEXTURA LISA DE BASE ACRILICA</t>
        </is>
      </c>
      <c r="E4480" s="11">
        <f t="array" ref="E4480">_xlfn.XLOOKUP(D4480,Insumos!B:B,Insumos!C:$C)</f>
        <v/>
      </c>
      <c r="F4480" s="14" t="n">
        <v>4</v>
      </c>
      <c r="G4480" s="92">
        <f t="array" ref="G4480">IF(B4480="insumo",_xlfn.XLOOKUP($D4480,Insumos!$B$1:$B$996,Insumos!$D$1:$D$996),"")</f>
        <v/>
      </c>
      <c r="H4480" s="92" t="n">
        <v>36.3636363636364</v>
      </c>
      <c r="I4480" s="2162" t="n">
        <v>0</v>
      </c>
      <c r="J4480" s="2162" t="n">
        <v>0</v>
      </c>
      <c r="K4480" s="2162" t="n"/>
    </row>
    <row r="4481" outlineLevel="2" ht="15.75" customHeight="1">
      <c r="A4481" s="1067" t="n">
        <v>1</v>
      </c>
      <c r="B4481" s="1067" t="inlineStr">
        <is>
          <t>Serviço</t>
        </is>
      </c>
      <c r="C4481" s="1067" t="inlineStr">
        <is>
          <t>Fundo selador latex acrilico em paredes externas - 1 demao</t>
        </is>
      </c>
      <c r="D4481" s="1067" t="inlineStr">
        <is>
          <t>Fundo selador latex acrilico em paredes externas - 1 demao</t>
        </is>
      </c>
      <c r="E4481" s="1068" t="inlineStr">
        <is>
          <t>M2</t>
        </is>
      </c>
      <c r="F4481" s="1067" t="n"/>
      <c r="G4481" s="1069">
        <f t="array" ref="G4481">IF(B4481="insumo",_xlfn.XLOOKUP($D4481,Insumos!$B$1:$B$996,Insumos!$D$1:$D$996),"")</f>
        <v/>
      </c>
      <c r="H4481" s="1069" t="n">
        <v>1.75855555555556</v>
      </c>
      <c r="I4481" s="2161" t="n">
        <v>0</v>
      </c>
      <c r="J4481" s="2161" t="n">
        <v>0</v>
      </c>
      <c r="K4481" s="2161" t="n"/>
    </row>
    <row r="4482" outlineLevel="3" ht="15.75" customHeight="1">
      <c r="A4482" s="10" t="n">
        <v>19</v>
      </c>
      <c r="B4482" s="10" t="inlineStr">
        <is>
          <t>Insumo</t>
        </is>
      </c>
      <c r="C4482" s="10" t="inlineStr">
        <is>
          <t>Fundo selador latex acrilico em paredes externas - 1 demao</t>
        </is>
      </c>
      <c r="D4482" s="10" t="inlineStr">
        <is>
          <t>Selador Primer Ibratin - 4,2kg - 3,6L</t>
        </is>
      </c>
      <c r="E4482" s="11">
        <f t="array" ref="E4482">_xlfn.XLOOKUP(D4482,Insumos!B:B,Insumos!C:$C)</f>
        <v/>
      </c>
      <c r="F4482" s="14" t="n">
        <v>0.1666</v>
      </c>
      <c r="G4482" s="92">
        <f t="array" ref="G4482">IF(B4482="insumo",_xlfn.XLOOKUP($D4482,Insumos!$B$1:$B$996,Insumos!$D$1:$D$996),"")</f>
        <v/>
      </c>
      <c r="H4482" s="92" t="n">
        <v>1.75855555555556</v>
      </c>
      <c r="I4482" s="2162" t="n">
        <v>0</v>
      </c>
      <c r="J4482" s="2162" t="n">
        <v>0</v>
      </c>
      <c r="K4482" s="2162" t="n"/>
    </row>
    <row r="4483" outlineLevel="2" ht="15.75" customHeight="1">
      <c r="A4483" s="1067" t="n">
        <v>1</v>
      </c>
      <c r="B4483" s="1067" t="inlineStr">
        <is>
          <t>Serviço</t>
        </is>
      </c>
      <c r="C4483" s="1067" t="inlineStr">
        <is>
          <t>Pintura projetada, aplicação em paredes externas - 2 demão - Elefante</t>
        </is>
      </c>
      <c r="D4483" s="1067" t="inlineStr">
        <is>
          <t>Pintura projetada, aplicação em paredes externas - 2 demão - Elefante</t>
        </is>
      </c>
      <c r="E4483" s="1068" t="inlineStr">
        <is>
          <t>M2</t>
        </is>
      </c>
      <c r="F4483" s="1067" t="n"/>
      <c r="G4483" s="1069">
        <f t="array" ref="G4483">IF(B4483="insumo",_xlfn.XLOOKUP($D4483,Insumos!$B$1:$B$996,Insumos!$D$1:$D$996),"")</f>
        <v/>
      </c>
      <c r="H4483" s="1069" t="n">
        <v>54.3556666666667</v>
      </c>
      <c r="I4483" s="2161" t="n">
        <v>0</v>
      </c>
      <c r="J4483" s="2161" t="n">
        <v>0</v>
      </c>
      <c r="K4483" s="2161" t="n"/>
    </row>
    <row r="4484" outlineLevel="3" ht="15.75" customHeight="1">
      <c r="A4484" s="10" t="n">
        <v>36</v>
      </c>
      <c r="B4484" s="10" t="inlineStr">
        <is>
          <t>Insumo</t>
        </is>
      </c>
      <c r="C4484" s="10" t="inlineStr">
        <is>
          <t>Pintura projetada, aplicação em paredes externas - 2 demão - Elefante</t>
        </is>
      </c>
      <c r="D4484" s="10" t="inlineStr">
        <is>
          <t>LIXA DAGUA 225X275MM GR100</t>
        </is>
      </c>
      <c r="E4484" s="11">
        <f t="array" ref="E4484">_xlfn.XLOOKUP(D4484,Insumos!B:B,Insumos!C:$C)</f>
        <v/>
      </c>
      <c r="F4484" s="14" t="n">
        <v>0.1</v>
      </c>
      <c r="G4484" s="92">
        <f t="array" ref="G4484">IF(B4484="insumo",_xlfn.XLOOKUP($D4484,Insumos!$B$1:$B$996,Insumos!$D$1:$D$996),"")</f>
        <v/>
      </c>
      <c r="H4484" s="92" t="n">
        <v>0.189</v>
      </c>
      <c r="I4484" s="2162" t="n">
        <v>0</v>
      </c>
      <c r="J4484" s="2162" t="n">
        <v>0</v>
      </c>
      <c r="K4484" s="2162" t="n"/>
    </row>
    <row r="4485" outlineLevel="3" ht="15.75" customHeight="1">
      <c r="A4485" s="10" t="n">
        <v>1</v>
      </c>
      <c r="B4485" s="10" t="inlineStr">
        <is>
          <t>Insumo</t>
        </is>
      </c>
      <c r="C4485" s="10" t="inlineStr">
        <is>
          <t>Pintura projetada, aplicação em paredes externas - 2 demão - Elefante</t>
        </is>
      </c>
      <c r="D4485" s="10" t="inlineStr">
        <is>
          <t>TINTA ACRILICA PREMIUM COR ELEFANTE</t>
        </is>
      </c>
      <c r="E4485" s="11">
        <f t="array" ref="E4485">_xlfn.XLOOKUP(D4485,Insumos!B:B,Insumos!C:$C)</f>
        <v/>
      </c>
      <c r="F4485" s="14" t="n">
        <v>1.5</v>
      </c>
      <c r="G4485" s="92">
        <f t="array" ref="G4485">IF(B4485="insumo",_xlfn.XLOOKUP($D4485,Insumos!$B$1:$B$996,Insumos!$D$1:$D$996),"")</f>
        <v/>
      </c>
      <c r="H4485" s="92" t="n">
        <v>54.1666666666667</v>
      </c>
      <c r="I4485" s="2162" t="n">
        <v>0</v>
      </c>
      <c r="J4485" s="2162" t="n">
        <v>0</v>
      </c>
      <c r="K4485" s="2162" t="n"/>
    </row>
    <row r="4486" outlineLevel="2" ht="15.75" customHeight="1">
      <c r="A4486" s="1067" t="n">
        <v>1</v>
      </c>
      <c r="B4486" s="1067" t="inlineStr">
        <is>
          <t>Serviço</t>
        </is>
      </c>
      <c r="C4486" s="1067" t="inlineStr">
        <is>
          <t>Pintura projetada, aplicação em paredes externas - 2 demão - Branco neve</t>
        </is>
      </c>
      <c r="D4486" s="1067" t="inlineStr">
        <is>
          <t>Pintura projetada, aplicação em paredes externas - 2 demão - Branco neve</t>
        </is>
      </c>
      <c r="E4486" s="1068" t="inlineStr">
        <is>
          <t>M2</t>
        </is>
      </c>
      <c r="F4486" s="1067" t="n"/>
      <c r="G4486" s="1069">
        <f t="array" ref="G4486">IF(B4486="insumo",_xlfn.XLOOKUP($D4486,Insumos!$B$1:$B$996,Insumos!$D$1:$D$996),"")</f>
        <v/>
      </c>
      <c r="H4486" s="1069" t="n">
        <v>33.264</v>
      </c>
      <c r="I4486" s="2161" t="n">
        <v>0</v>
      </c>
      <c r="J4486" s="2161" t="n">
        <v>0</v>
      </c>
      <c r="K4486" s="2161" t="n"/>
    </row>
    <row r="4487" outlineLevel="3" ht="15.75" customHeight="1">
      <c r="A4487" s="10" t="n">
        <v>36</v>
      </c>
      <c r="B4487" s="10" t="inlineStr">
        <is>
          <t>Insumo</t>
        </is>
      </c>
      <c r="C4487" s="10" t="inlineStr">
        <is>
          <t>Pintura projetada, aplicação em paredes externas - 2 demão - Branco neve</t>
        </is>
      </c>
      <c r="D4487" s="10" t="inlineStr">
        <is>
          <t>LIXA DAGUA 225X275MM GR100</t>
        </is>
      </c>
      <c r="E4487" s="11">
        <f t="array" ref="E4487">_xlfn.XLOOKUP(D4487,Insumos!B:B,Insumos!C:$C)</f>
        <v/>
      </c>
      <c r="F4487" s="14" t="n">
        <v>0.1</v>
      </c>
      <c r="G4487" s="92">
        <f t="array" ref="G4487">IF(B4487="insumo",_xlfn.XLOOKUP($D4487,Insumos!$B$1:$B$996,Insumos!$D$1:$D$996),"")</f>
        <v/>
      </c>
      <c r="H4487" s="92" t="n">
        <v>0.189</v>
      </c>
      <c r="I4487" s="2162" t="n">
        <v>0</v>
      </c>
      <c r="J4487" s="2162" t="n">
        <v>0</v>
      </c>
      <c r="K4487" s="2162" t="n"/>
    </row>
    <row r="4488" outlineLevel="3" ht="15.75" customHeight="1">
      <c r="A4488" s="10" t="n">
        <v>2</v>
      </c>
      <c r="B4488" s="10" t="inlineStr">
        <is>
          <t>Insumo</t>
        </is>
      </c>
      <c r="C4488" s="10" t="inlineStr">
        <is>
          <t>Pintura projetada, aplicação em paredes externas - 2 demão - Branco neve</t>
        </is>
      </c>
      <c r="D4488" s="10" t="inlineStr">
        <is>
          <t>TINTA ACRILICA PREMIUM COR BRANCO NEVE</t>
        </is>
      </c>
      <c r="E4488" s="11">
        <f t="array" ref="E4488">_xlfn.XLOOKUP(D4488,Insumos!B:B,Insumos!C:$C)</f>
        <v/>
      </c>
      <c r="F4488" s="14" t="n">
        <v>1.5</v>
      </c>
      <c r="G4488" s="92">
        <f t="array" ref="G4488">IF(B4488="insumo",_xlfn.XLOOKUP($D4488,Insumos!$B$1:$B$996,Insumos!$D$1:$D$996),"")</f>
        <v/>
      </c>
      <c r="H4488" s="92" t="n">
        <v>33.075</v>
      </c>
      <c r="I4488" s="2162" t="n">
        <v>0</v>
      </c>
      <c r="J4488" s="2162" t="n">
        <v>0</v>
      </c>
      <c r="K4488" s="2162" t="n"/>
    </row>
    <row r="4489" outlineLevel="2" ht="15.75" customHeight="1">
      <c r="A4489" s="1067" t="n">
        <v>1</v>
      </c>
      <c r="B4489" s="1067" t="inlineStr">
        <is>
          <t>Serviço</t>
        </is>
      </c>
      <c r="C4489" s="1067" t="inlineStr">
        <is>
          <t>Pintura projetada, aplicação em paredes externas - 2 demão - Patativa</t>
        </is>
      </c>
      <c r="D4489" s="1067" t="inlineStr">
        <is>
          <t>Pintura projetada, aplicação em paredes externas - 2 demão - Patativa</t>
        </is>
      </c>
      <c r="E4489" s="1068" t="inlineStr">
        <is>
          <t>M2</t>
        </is>
      </c>
      <c r="F4489" s="1067" t="n"/>
      <c r="G4489" s="1069">
        <f t="array" ref="G4489">IF(B4489="insumo",_xlfn.XLOOKUP($D4489,Insumos!$B$1:$B$996,Insumos!$D$1:$D$996),"")</f>
        <v/>
      </c>
      <c r="H4489" s="1069" t="n">
        <v>93.83775</v>
      </c>
      <c r="I4489" s="2161" t="n">
        <v>0</v>
      </c>
      <c r="J4489" s="2161" t="n">
        <v>0</v>
      </c>
      <c r="K4489" s="2161" t="n"/>
    </row>
    <row r="4490" outlineLevel="3" ht="15.75" customHeight="1">
      <c r="A4490" s="10" t="n">
        <v>36</v>
      </c>
      <c r="B4490" s="10" t="inlineStr">
        <is>
          <t>Insumo</t>
        </is>
      </c>
      <c r="C4490" s="10" t="inlineStr">
        <is>
          <t>Pintura projetada, aplicação em paredes externas - 2 demão - Patativa</t>
        </is>
      </c>
      <c r="D4490" s="10" t="inlineStr">
        <is>
          <t>LIXA DAGUA 225X275MM GR100</t>
        </is>
      </c>
      <c r="E4490" s="11">
        <f t="array" ref="E4490">_xlfn.XLOOKUP(D4490,Insumos!B:B,Insumos!C:$C)</f>
        <v/>
      </c>
      <c r="F4490" s="14" t="n">
        <v>0.1</v>
      </c>
      <c r="G4490" s="92">
        <f t="array" ref="G4490">IF(B4490="insumo",_xlfn.XLOOKUP($D4490,Insumos!$B$1:$B$996,Insumos!$D$1:$D$996),"")</f>
        <v/>
      </c>
      <c r="H4490" s="92" t="n">
        <v>0.189</v>
      </c>
      <c r="I4490" s="2162" t="n">
        <v>0</v>
      </c>
      <c r="J4490" s="2162" t="n">
        <v>0</v>
      </c>
      <c r="K4490" s="2162" t="n"/>
    </row>
    <row r="4491" outlineLevel="3" ht="15.75" customHeight="1">
      <c r="A4491" s="10" t="n">
        <v>1</v>
      </c>
      <c r="B4491" s="10" t="inlineStr">
        <is>
          <t>Insumo</t>
        </is>
      </c>
      <c r="C4491" s="10" t="inlineStr">
        <is>
          <t>Pintura projetada, aplicação em paredes externas - 2 demão - Patativa</t>
        </is>
      </c>
      <c r="D4491" s="10" t="inlineStr">
        <is>
          <t>TINTA ACRILICA PREMIUM COR PATATIVA</t>
        </is>
      </c>
      <c r="E4491" s="11">
        <f t="array" ref="E4491">_xlfn.XLOOKUP(D4491,Insumos!B:B,Insumos!C:$C)</f>
        <v/>
      </c>
      <c r="F4491" s="14" t="n">
        <v>1.5</v>
      </c>
      <c r="G4491" s="92">
        <f t="array" ref="G4491">IF(B4491="insumo",_xlfn.XLOOKUP($D4491,Insumos!$B$1:$B$996,Insumos!$D$1:$D$996),"")</f>
        <v/>
      </c>
      <c r="H4491" s="92" t="n">
        <v>93.64875000000001</v>
      </c>
      <c r="I4491" s="2162" t="n">
        <v>0</v>
      </c>
      <c r="J4491" s="2162" t="n">
        <v>0</v>
      </c>
      <c r="K4491" s="2162" t="n"/>
    </row>
    <row r="4492" outlineLevel="2" ht="15.75" customHeight="1">
      <c r="A4492" s="1067" t="n">
        <v>1</v>
      </c>
      <c r="B4492" s="1067" t="inlineStr">
        <is>
          <t>Serviço</t>
        </is>
      </c>
      <c r="C4492" s="1067" t="inlineStr">
        <is>
          <t>Pintura projetada, aplicação em paredes externas - 2 demão - Cinza Asfalto</t>
        </is>
      </c>
      <c r="D4492" s="1067" t="inlineStr">
        <is>
          <t>Pintura projetada, aplicação em paredes externas - 2 demão - Cinza Asfalto</t>
        </is>
      </c>
      <c r="E4492" s="1068" t="inlineStr">
        <is>
          <t>M2</t>
        </is>
      </c>
      <c r="F4492" s="1067" t="n"/>
      <c r="G4492" s="1069">
        <f t="array" ref="G4492">IF(B4492="insumo",_xlfn.XLOOKUP($D4492,Insumos!$B$1:$B$996,Insumos!$D$1:$D$996),"")</f>
        <v/>
      </c>
      <c r="H4492" s="1069" t="n">
        <v>57.6056666666667</v>
      </c>
      <c r="I4492" s="2161" t="n">
        <v>0</v>
      </c>
      <c r="J4492" s="2161" t="n">
        <v>0</v>
      </c>
      <c r="K4492" s="2161" t="n"/>
    </row>
    <row r="4493" outlineLevel="3" ht="15.75" customHeight="1">
      <c r="A4493" s="10" t="n">
        <v>36</v>
      </c>
      <c r="B4493" s="10" t="inlineStr">
        <is>
          <t>Insumo</t>
        </is>
      </c>
      <c r="C4493" s="10" t="inlineStr">
        <is>
          <t>Pintura projetada, aplicação em paredes externas - 2 demão - Cinza Asfalto</t>
        </is>
      </c>
      <c r="D4493" s="10" t="inlineStr">
        <is>
          <t>LIXA DAGUA 225X275MM GR100</t>
        </is>
      </c>
      <c r="E4493" s="11">
        <f t="array" ref="E4493">_xlfn.XLOOKUP(D4493,Insumos!B:B,Insumos!C:$C)</f>
        <v/>
      </c>
      <c r="F4493" s="14" t="n">
        <v>0.1</v>
      </c>
      <c r="G4493" s="92">
        <f t="array" ref="G4493">IF(B4493="insumo",_xlfn.XLOOKUP($D4493,Insumos!$B$1:$B$996,Insumos!$D$1:$D$996),"")</f>
        <v/>
      </c>
      <c r="H4493" s="92" t="n">
        <v>0.189</v>
      </c>
      <c r="I4493" s="2162" t="n">
        <v>0</v>
      </c>
      <c r="J4493" s="2162" t="n">
        <v>0</v>
      </c>
      <c r="K4493" s="2162" t="n"/>
    </row>
    <row r="4494" outlineLevel="3" ht="15.75" customHeight="1">
      <c r="A4494" s="10" t="n">
        <v>2</v>
      </c>
      <c r="B4494" s="10" t="inlineStr">
        <is>
          <t>Insumo</t>
        </is>
      </c>
      <c r="C4494" s="10" t="inlineStr">
        <is>
          <t>Pintura projetada, aplicação em paredes externas - 2 demão - Cinza Asfalto</t>
        </is>
      </c>
      <c r="D4494" s="10" t="inlineStr">
        <is>
          <t>TINTA ACRILICA PREMIUM COR CINZA ASFALTO</t>
        </is>
      </c>
      <c r="E4494" s="11">
        <f t="array" ref="E4494">_xlfn.XLOOKUP(D4494,Insumos!B:B,Insumos!C:$C)</f>
        <v/>
      </c>
      <c r="F4494" s="14" t="n">
        <v>1.5</v>
      </c>
      <c r="G4494" s="92">
        <f t="array" ref="G4494">IF(B4494="insumo",_xlfn.XLOOKUP($D4494,Insumos!$B$1:$B$996,Insumos!$D$1:$D$996),"")</f>
        <v/>
      </c>
      <c r="H4494" s="92" t="n">
        <v>57.4166666666667</v>
      </c>
      <c r="I4494" s="2162" t="n">
        <v>0</v>
      </c>
      <c r="J4494" s="2162" t="n">
        <v>0</v>
      </c>
      <c r="K4494" s="2162" t="n"/>
    </row>
    <row r="4495" outlineLevel="2" ht="12.75" customHeight="1">
      <c r="A4495" s="1071" t="n">
        <v>1</v>
      </c>
      <c r="B4495" s="1071" t="inlineStr">
        <is>
          <t>Serviço</t>
        </is>
      </c>
      <c r="C4495" s="1067" t="inlineStr">
        <is>
          <t>Pintura Com Tinta Latex Acrilica em Paredes Externas, 3 Demaos (Incluso fundo) - Cor preto</t>
        </is>
      </c>
      <c r="D4495" s="1071" t="inlineStr">
        <is>
          <t>Pintura Com Tinta Latex Acrilica em Paredes Externas, 3 Demaos (Incluso fundo) - Cor preto</t>
        </is>
      </c>
      <c r="E4495" s="1072" t="inlineStr">
        <is>
          <t>M2</t>
        </is>
      </c>
      <c r="F4495" s="1071" t="n"/>
      <c r="G4495" s="1073">
        <f t="array" ref="G4495">IF(B4495="insumo",_xlfn.XLOOKUP($D4495,Insumos!$B$1:$B$996,Insumos!$D$1:$D$996),"")</f>
        <v/>
      </c>
      <c r="H4495" s="1069" t="n">
        <v>35.7862353333333</v>
      </c>
      <c r="I4495" s="2161" t="e">
        <v>#REF!</v>
      </c>
      <c r="J4495" s="2161" t="e">
        <v>#REF!</v>
      </c>
      <c r="K4495" s="2161" t="n"/>
    </row>
    <row r="4496" outlineLevel="3" ht="12.75" customHeight="1">
      <c r="A4496" s="82" t="n">
        <v>31</v>
      </c>
      <c r="B4496" s="82" t="inlineStr">
        <is>
          <t>Insumo</t>
        </is>
      </c>
      <c r="C4496" s="10" t="inlineStr">
        <is>
          <t>Pintura Com Tinta Latex Acrilica em Paredes Externas, 3 Demaos (Incluso fundo) - Cor preto</t>
        </is>
      </c>
      <c r="D4496" s="82" t="inlineStr">
        <is>
          <t>Selador acrilico opaco premium interno/externo</t>
        </is>
      </c>
      <c r="E4496" s="11">
        <f t="array" ref="E4496">_xlfn.XLOOKUP(D4496,Insumos!B:B,Insumos!C:$C)</f>
        <v/>
      </c>
      <c r="F4496" s="2164" t="n">
        <v>0.1666</v>
      </c>
      <c r="G4496" s="92">
        <f t="array" ref="G4496">IF(B4496="insumo",_xlfn.XLOOKUP($D4496,Insumos!$B$1:$B$996,Insumos!$D$1:$D$996),"")</f>
        <v/>
      </c>
      <c r="H4496" s="92" t="n">
        <v>1.077902</v>
      </c>
      <c r="I4496" s="2162" t="e">
        <v>#REF!</v>
      </c>
      <c r="J4496" s="2162" t="e">
        <v>#REF!</v>
      </c>
      <c r="K4496" s="2162" t="n"/>
    </row>
    <row r="4497" outlineLevel="3" ht="12.75" customHeight="1">
      <c r="A4497" s="82" t="n">
        <v>4</v>
      </c>
      <c r="B4497" s="82" t="inlineStr">
        <is>
          <t>Insumo</t>
        </is>
      </c>
      <c r="C4497" s="10" t="inlineStr">
        <is>
          <t>Pintura Com Tinta Latex Acrilica em Paredes Externas, 3 Demaos (Incluso fundo) - Cor preto</t>
        </is>
      </c>
      <c r="D4497" s="82" t="inlineStr">
        <is>
          <t>TINTA ACRILICA PREMIUM COR PRETA</t>
        </is>
      </c>
      <c r="E4497" s="11">
        <f t="array" ref="E4497">_xlfn.XLOOKUP(D4497,Insumos!B:B,Insumos!C:$C)</f>
        <v/>
      </c>
      <c r="F4497" s="2164" t="n">
        <v>0.4998</v>
      </c>
      <c r="G4497" s="92">
        <f t="array" ref="G4497">IF(B4497="insumo",_xlfn.XLOOKUP($D4497,Insumos!$B$1:$B$996,Insumos!$D$1:$D$996),"")</f>
        <v/>
      </c>
      <c r="H4497" s="92" t="n">
        <v>34.7083333333333</v>
      </c>
      <c r="I4497" s="2162" t="e">
        <v>#REF!</v>
      </c>
      <c r="J4497" s="2162" t="e">
        <v>#REF!</v>
      </c>
      <c r="K4497" s="2162" t="n"/>
    </row>
    <row r="4498" outlineLevel="2" ht="12.75" customHeight="1">
      <c r="A4498" s="1071" t="n">
        <v>1</v>
      </c>
      <c r="B4498" s="1071" t="inlineStr">
        <is>
          <t>Serviço</t>
        </is>
      </c>
      <c r="C4498" s="1067" t="inlineStr">
        <is>
          <t>Pintura Com Tinta Latex Acrilica em Paredes Externas, 3 Demaos (Incluso fundo e massa) - Cor preto</t>
        </is>
      </c>
      <c r="D4498" s="1071" t="inlineStr">
        <is>
          <t>Pintura Com Tinta Latex Acrilica em Paredes Externas, 3 Demaos (Incluso fundo e massa) - Cor preto</t>
        </is>
      </c>
      <c r="E4498" s="1072" t="inlineStr">
        <is>
          <t>M2</t>
        </is>
      </c>
      <c r="F4498" s="1071" t="n"/>
      <c r="G4498" s="1073">
        <f t="array" ref="G4498">IF(B4498="insumo",_xlfn.XLOOKUP($D4498,Insumos!$B$1:$B$996,Insumos!$D$1:$D$996),"")</f>
        <v/>
      </c>
      <c r="H4498" s="1069" t="n">
        <v>39.802062</v>
      </c>
      <c r="I4498" s="2161" t="n">
        <v>0</v>
      </c>
      <c r="J4498" s="2161" t="n">
        <v>0</v>
      </c>
      <c r="K4498" s="2161" t="n"/>
    </row>
    <row r="4499" outlineLevel="3" ht="12.75" customHeight="1">
      <c r="A4499" s="82" t="n">
        <v>36</v>
      </c>
      <c r="B4499" s="82" t="inlineStr">
        <is>
          <t>Insumo</t>
        </is>
      </c>
      <c r="C4499" s="10" t="inlineStr">
        <is>
          <t>Pintura Com Tinta Latex Acrilica em Paredes Externas, 3 Demaos (Incluso fundo e massa) - Cor preto</t>
        </is>
      </c>
      <c r="D4499" s="82" t="inlineStr">
        <is>
          <t>LIXA DAGUA 225X275MM GR100</t>
        </is>
      </c>
      <c r="E4499" s="11">
        <f t="array" ref="E4499">_xlfn.XLOOKUP(D4499,Insumos!B:B,Insumos!C:$C)</f>
        <v/>
      </c>
      <c r="F4499" s="2164" t="n">
        <v>0.1</v>
      </c>
      <c r="G4499" s="92">
        <f t="array" ref="G4499">IF(B4499="insumo",_xlfn.XLOOKUP($D4499,Insumos!$B$1:$B$996,Insumos!$D$1:$D$996),"")</f>
        <v/>
      </c>
      <c r="H4499" s="92" t="n">
        <v>0.189</v>
      </c>
      <c r="I4499" s="2162" t="n">
        <v>0</v>
      </c>
      <c r="J4499" s="2162" t="n">
        <v>0</v>
      </c>
      <c r="K4499" s="2162" t="n"/>
    </row>
    <row r="4500" outlineLevel="3" ht="12.75" customHeight="1">
      <c r="A4500" s="82" t="n">
        <v>21</v>
      </c>
      <c r="B4500" s="82" t="inlineStr">
        <is>
          <t>Insumo</t>
        </is>
      </c>
      <c r="C4500" s="10" t="inlineStr">
        <is>
          <t>Pintura Com Tinta Latex Acrilica em Paredes Externas, 3 Demaos (Incluso fundo e massa) - Cor preto</t>
        </is>
      </c>
      <c r="D4500" s="82" t="inlineStr">
        <is>
          <t>Massa corrida para superfícies de ambientes internos</t>
        </is>
      </c>
      <c r="E4500" s="11">
        <f t="array" ref="E4500">_xlfn.XLOOKUP(D4500,Insumos!B:B,Insumos!C:$C)</f>
        <v/>
      </c>
      <c r="F4500" s="2164" t="n">
        <v>0.8667</v>
      </c>
      <c r="G4500" s="92">
        <f t="array" ref="G4500">IF(B4500="insumo",_xlfn.XLOOKUP($D4500,Insumos!$B$1:$B$996,Insumos!$D$1:$D$996),"")</f>
        <v/>
      </c>
      <c r="H4500" s="92" t="n">
        <v>4.16016</v>
      </c>
      <c r="I4500" s="2162" t="n">
        <v>0</v>
      </c>
      <c r="J4500" s="2162" t="n">
        <v>0</v>
      </c>
      <c r="K4500" s="2162" t="n"/>
    </row>
    <row r="4501" outlineLevel="3" ht="12.75" customHeight="1">
      <c r="A4501" s="82" t="n">
        <v>31</v>
      </c>
      <c r="B4501" s="82" t="inlineStr">
        <is>
          <t>Insumo</t>
        </is>
      </c>
      <c r="C4501" s="10" t="inlineStr">
        <is>
          <t>Pintura Com Tinta Latex Acrilica em Paredes Externas, 3 Demaos (Incluso fundo e massa) - Cor preto</t>
        </is>
      </c>
      <c r="D4501" s="82" t="inlineStr">
        <is>
          <t>Selador acrilico opaco premium interno/externo</t>
        </is>
      </c>
      <c r="E4501" s="11">
        <f t="array" ref="E4501">_xlfn.XLOOKUP(D4501,Insumos!B:B,Insumos!C:$C)</f>
        <v/>
      </c>
      <c r="F4501" s="2164" t="n">
        <v>0.1666</v>
      </c>
      <c r="G4501" s="92">
        <f t="array" ref="G4501">IF(B4501="insumo",_xlfn.XLOOKUP($D4501,Insumos!$B$1:$B$996,Insumos!$D$1:$D$996),"")</f>
        <v/>
      </c>
      <c r="H4501" s="92" t="n">
        <v>1.077902</v>
      </c>
      <c r="I4501" s="2162" t="n">
        <v>0</v>
      </c>
      <c r="J4501" s="2162" t="n">
        <v>0</v>
      </c>
      <c r="K4501" s="2162" t="n"/>
    </row>
    <row r="4502" outlineLevel="3" ht="12.75" customHeight="1">
      <c r="A4502" s="82" t="n">
        <v>4</v>
      </c>
      <c r="B4502" s="82" t="inlineStr">
        <is>
          <t>Insumo</t>
        </is>
      </c>
      <c r="C4502" s="10" t="inlineStr">
        <is>
          <t>Pintura Com Tinta Latex Acrilica em Paredes Externas, 3 Demaos (Incluso fundo e massa) - Cor preto</t>
        </is>
      </c>
      <c r="D4502" s="82" t="inlineStr">
        <is>
          <t>TINTA ACRILICA PREMIUM COR PRETA</t>
        </is>
      </c>
      <c r="E4502" s="11">
        <f t="array" ref="E4502">_xlfn.XLOOKUP(D4502,Insumos!B:B,Insumos!C:$C)</f>
        <v/>
      </c>
      <c r="F4502" s="2164" t="n">
        <v>0.495</v>
      </c>
      <c r="G4502" s="92">
        <f t="array" ref="G4502">IF(B4502="insumo",_xlfn.XLOOKUP($D4502,Insumos!$B$1:$B$996,Insumos!$D$1:$D$996),"")</f>
        <v/>
      </c>
      <c r="H4502" s="92" t="n">
        <v>34.375</v>
      </c>
      <c r="I4502" s="2162" t="n">
        <v>0</v>
      </c>
      <c r="J4502" s="2162" t="n">
        <v>0</v>
      </c>
      <c r="K4502" s="2162" t="n"/>
    </row>
    <row r="4503" outlineLevel="2" ht="12.75" customHeight="1">
      <c r="A4503" s="1071" t="n">
        <v>1</v>
      </c>
      <c r="B4503" s="1071" t="inlineStr">
        <is>
          <t>Serviço</t>
        </is>
      </c>
      <c r="C4503" s="1067" t="inlineStr">
        <is>
          <t>Pintura Com Tinta Acetinada em Paredes Externas, 2 Demaos (Incluso fundo e massa) - Cor Cinza claro</t>
        </is>
      </c>
      <c r="D4503" s="1071" t="inlineStr">
        <is>
          <t>Pintura Com Tinta Acetinada em Paredes Externas, 2 Demaos (Incluso fundo e massa) - Cor Cinza claro</t>
        </is>
      </c>
      <c r="E4503" s="1072" t="inlineStr">
        <is>
          <t>M2</t>
        </is>
      </c>
      <c r="F4503" s="1071" t="n"/>
      <c r="G4503" s="1073">
        <f t="array" ref="G4503">IF(B4503="insumo",_xlfn.XLOOKUP($D4503,Insumos!$B$1:$B$996,Insumos!$D$1:$D$996),"")</f>
        <v/>
      </c>
      <c r="H4503" s="1069" t="n">
        <v>22.7816074545455</v>
      </c>
      <c r="I4503" s="2161" t="n">
        <v>0</v>
      </c>
      <c r="J4503" s="2161" t="n">
        <v>0</v>
      </c>
      <c r="K4503" s="2161" t="n"/>
    </row>
    <row r="4504" outlineLevel="3" ht="12.75" customHeight="1">
      <c r="A4504" s="82" t="n">
        <v>36</v>
      </c>
      <c r="B4504" s="82" t="inlineStr">
        <is>
          <t>Insumo</t>
        </is>
      </c>
      <c r="C4504" s="82" t="inlineStr">
        <is>
          <t>Pintura Com Tinta Acetinada em Paredes Externas, 2 Demaos (Incluso fundo e massa) - Cor Cinza claro</t>
        </is>
      </c>
      <c r="D4504" s="82" t="inlineStr">
        <is>
          <t>LIXA DAGUA 225X275MM GR100</t>
        </is>
      </c>
      <c r="E4504" s="11">
        <f t="array" ref="E4504">_xlfn.XLOOKUP(D4504,Insumos!B:B,Insumos!C:$C)</f>
        <v/>
      </c>
      <c r="F4504" s="2164" t="n">
        <v>0.1</v>
      </c>
      <c r="G4504" s="92">
        <f t="array" ref="G4504">IF(B4504="insumo",_xlfn.XLOOKUP($D4504,Insumos!$B$1:$B$996,Insumos!$D$1:$D$996),"")</f>
        <v/>
      </c>
      <c r="H4504" s="92" t="n">
        <v>0.189</v>
      </c>
      <c r="I4504" s="2165" t="n">
        <v>0</v>
      </c>
      <c r="J4504" s="2165" t="n">
        <v>0</v>
      </c>
      <c r="K4504" s="2165" t="n"/>
    </row>
    <row r="4505" outlineLevel="3" ht="12.75" customHeight="1">
      <c r="A4505" s="82" t="n">
        <v>21</v>
      </c>
      <c r="B4505" s="82" t="inlineStr">
        <is>
          <t>Insumo</t>
        </is>
      </c>
      <c r="C4505" s="82" t="inlineStr">
        <is>
          <t>Pintura Com Tinta Acetinada em Paredes Externas, 2 Demaos (Incluso fundo e massa) - Cor Cinza claro</t>
        </is>
      </c>
      <c r="D4505" s="82" t="inlineStr">
        <is>
          <t>Massa corrida para superfícies de ambientes internos</t>
        </is>
      </c>
      <c r="E4505" s="11">
        <f t="array" ref="E4505">_xlfn.XLOOKUP(D4505,Insumos!B:B,Insumos!C:$C)</f>
        <v/>
      </c>
      <c r="F4505" s="2164" t="n">
        <v>0.8667</v>
      </c>
      <c r="G4505" s="92">
        <f t="array" ref="G4505">IF(B4505="insumo",_xlfn.XLOOKUP($D4505,Insumos!$B$1:$B$996,Insumos!$D$1:$D$996),"")</f>
        <v/>
      </c>
      <c r="H4505" s="92" t="n">
        <v>4.16016</v>
      </c>
      <c r="I4505" s="2165" t="n">
        <v>0</v>
      </c>
      <c r="J4505" s="2165" t="n">
        <v>0</v>
      </c>
      <c r="K4505" s="2165" t="n"/>
    </row>
    <row r="4506" outlineLevel="3" ht="12.75" customHeight="1">
      <c r="A4506" s="82" t="n">
        <v>31</v>
      </c>
      <c r="B4506" s="82" t="inlineStr">
        <is>
          <t>Insumo</t>
        </is>
      </c>
      <c r="C4506" s="82" t="inlineStr">
        <is>
          <t>Pintura Com Tinta Acetinada em Paredes Externas, 2 Demaos (Incluso fundo e massa) - Cor Cinza claro</t>
        </is>
      </c>
      <c r="D4506" s="82" t="inlineStr">
        <is>
          <t>Selador acrilico opaco premium interno/externo</t>
        </is>
      </c>
      <c r="E4506" s="11">
        <f t="array" ref="E4506">_xlfn.XLOOKUP(D4506,Insumos!B:B,Insumos!C:$C)</f>
        <v/>
      </c>
      <c r="F4506" s="2164" t="n">
        <v>0.1666</v>
      </c>
      <c r="G4506" s="92">
        <f t="array" ref="G4506">IF(B4506="insumo",_xlfn.XLOOKUP($D4506,Insumos!$B$1:$B$996,Insumos!$D$1:$D$996),"")</f>
        <v/>
      </c>
      <c r="H4506" s="92" t="n">
        <v>1.077902</v>
      </c>
      <c r="I4506" s="2165" t="n">
        <v>0</v>
      </c>
      <c r="J4506" s="2165" t="n">
        <v>0</v>
      </c>
      <c r="K4506" s="2165" t="n"/>
    </row>
    <row r="4507" outlineLevel="3" ht="12.75" customHeight="1">
      <c r="A4507" s="82" t="n">
        <v>1</v>
      </c>
      <c r="B4507" s="82" t="inlineStr">
        <is>
          <t>Insumo</t>
        </is>
      </c>
      <c r="C4507" s="82" t="inlineStr">
        <is>
          <t>Pintura Com Tinta Acetinada em Paredes Externas, 2 Demaos (Incluso fundo e massa) - Cor Cinza claro</t>
        </is>
      </c>
      <c r="D4507" s="82" t="inlineStr">
        <is>
          <t>Suvinil Toque Acetinada Completo Sambaqui</t>
        </is>
      </c>
      <c r="E4507" s="11">
        <f t="array" ref="E4507">_xlfn.XLOOKUP(D4507,Insumos!B:B,Insumos!C:$C)</f>
        <v/>
      </c>
      <c r="F4507" s="2164">
        <f>(16/110)*2</f>
        <v/>
      </c>
      <c r="G4507" s="92">
        <f t="array" ref="G4507">IF(B4507="insumo",_xlfn.XLOOKUP($D4507,Insumos!$B$1:$B$996,Insumos!$D$1:$D$996),"")</f>
        <v/>
      </c>
      <c r="H4507" s="92" t="n">
        <v>17.3545454545455</v>
      </c>
      <c r="I4507" s="2165" t="n">
        <v>0</v>
      </c>
      <c r="J4507" s="2165" t="n">
        <v>0</v>
      </c>
      <c r="K4507" s="2165" t="n"/>
    </row>
    <row r="4508" outlineLevel="2" ht="12.75" customHeight="1">
      <c r="A4508" s="1071" t="n">
        <v>1</v>
      </c>
      <c r="B4508" s="1071" t="inlineStr">
        <is>
          <t>Serviço</t>
        </is>
      </c>
      <c r="C4508" s="1071" t="inlineStr">
        <is>
          <t>Pintura Com Tinta Acetinada em Paredes Externas, 2 Demaos (Incluso fundo e massa) - Cor Marrom</t>
        </is>
      </c>
      <c r="D4508" s="1071" t="inlineStr">
        <is>
          <t>Pintura Com Tinta Acetinada em Paredes Externas, 2 Demaos (Incluso fundo e massa) - Cor Marrom</t>
        </is>
      </c>
      <c r="E4508" s="1072" t="inlineStr">
        <is>
          <t>M2</t>
        </is>
      </c>
      <c r="F4508" s="1071" t="n"/>
      <c r="G4508" s="1073">
        <f t="array" ref="G4508">IF(B4508="insumo",_xlfn.XLOOKUP($D4508,Insumos!$B$1:$B$996,Insumos!$D$1:$D$996),"")</f>
        <v/>
      </c>
      <c r="H4508" s="1073" t="n">
        <v>24.6906983636364</v>
      </c>
      <c r="I4508" s="2163" t="n">
        <v>0</v>
      </c>
      <c r="J4508" s="2163" t="n">
        <v>0</v>
      </c>
      <c r="K4508" s="2163" t="n"/>
    </row>
    <row r="4509" outlineLevel="3" ht="12.75" customHeight="1">
      <c r="A4509" s="82" t="n">
        <v>36</v>
      </c>
      <c r="B4509" s="82" t="inlineStr">
        <is>
          <t>Insumo</t>
        </is>
      </c>
      <c r="C4509" s="82" t="inlineStr">
        <is>
          <t>Pintura Com Tinta Acetinada em Paredes Externas, 2 Demaos (Incluso fundo e massa) - Cor Marrom</t>
        </is>
      </c>
      <c r="D4509" s="82" t="inlineStr">
        <is>
          <t>LIXA DAGUA 225X275MM GR100</t>
        </is>
      </c>
      <c r="E4509" s="11">
        <f t="array" ref="E4509">_xlfn.XLOOKUP(D4509,Insumos!B:B,Insumos!C:$C)</f>
        <v/>
      </c>
      <c r="F4509" s="2164" t="n">
        <v>0.1</v>
      </c>
      <c r="G4509" s="92">
        <f t="array" ref="G4509">IF(B4509="insumo",_xlfn.XLOOKUP($D4509,Insumos!$B$1:$B$996,Insumos!$D$1:$D$996),"")</f>
        <v/>
      </c>
      <c r="H4509" s="92" t="n">
        <v>0.189</v>
      </c>
      <c r="I4509" s="2165" t="n">
        <v>0</v>
      </c>
      <c r="J4509" s="2165" t="n">
        <v>0</v>
      </c>
      <c r="K4509" s="2165" t="n"/>
    </row>
    <row r="4510" outlineLevel="3" ht="12.75" customHeight="1">
      <c r="A4510" s="82" t="n">
        <v>21</v>
      </c>
      <c r="B4510" s="82" t="inlineStr">
        <is>
          <t>Insumo</t>
        </is>
      </c>
      <c r="C4510" s="82" t="inlineStr">
        <is>
          <t>Pintura Com Tinta Acetinada em Paredes Externas, 2 Demaos (Incluso fundo e massa) - Cor Marrom</t>
        </is>
      </c>
      <c r="D4510" s="82" t="inlineStr">
        <is>
          <t>Massa corrida para superfícies de ambientes internos</t>
        </is>
      </c>
      <c r="E4510" s="11">
        <f t="array" ref="E4510">_xlfn.XLOOKUP(D4510,Insumos!B:B,Insumos!C:$C)</f>
        <v/>
      </c>
      <c r="F4510" s="2164" t="n">
        <v>0.8667</v>
      </c>
      <c r="G4510" s="92">
        <f t="array" ref="G4510">IF(B4510="insumo",_xlfn.XLOOKUP($D4510,Insumos!$B$1:$B$996,Insumos!$D$1:$D$996),"")</f>
        <v/>
      </c>
      <c r="H4510" s="92" t="n">
        <v>4.16016</v>
      </c>
      <c r="I4510" s="2165" t="n">
        <v>0</v>
      </c>
      <c r="J4510" s="2165" t="n">
        <v>0</v>
      </c>
      <c r="K4510" s="2165" t="n"/>
    </row>
    <row r="4511" outlineLevel="3" ht="12.75" customHeight="1">
      <c r="A4511" s="82" t="n">
        <v>31</v>
      </c>
      <c r="B4511" s="82" t="inlineStr">
        <is>
          <t>Insumo</t>
        </is>
      </c>
      <c r="C4511" s="82" t="inlineStr">
        <is>
          <t>Pintura Com Tinta Acetinada em Paredes Externas, 2 Demaos (Incluso fundo e massa) - Cor Marrom</t>
        </is>
      </c>
      <c r="D4511" s="82" t="inlineStr">
        <is>
          <t>Selador acrilico opaco premium interno/externo</t>
        </is>
      </c>
      <c r="E4511" s="11">
        <f t="array" ref="E4511">_xlfn.XLOOKUP(D4511,Insumos!B:B,Insumos!C:$C)</f>
        <v/>
      </c>
      <c r="F4511" s="2164" t="n">
        <v>0.1666</v>
      </c>
      <c r="G4511" s="92">
        <f t="array" ref="G4511">IF(B4511="insumo",_xlfn.XLOOKUP($D4511,Insumos!$B$1:$B$996,Insumos!$D$1:$D$996),"")</f>
        <v/>
      </c>
      <c r="H4511" s="92" t="n">
        <v>1.077902</v>
      </c>
      <c r="I4511" s="2165" t="n">
        <v>0</v>
      </c>
      <c r="J4511" s="2165" t="n">
        <v>0</v>
      </c>
      <c r="K4511" s="2165" t="n"/>
    </row>
    <row r="4512" outlineLevel="3" ht="12.75" customHeight="1">
      <c r="A4512" s="82" t="n">
        <v>1</v>
      </c>
      <c r="B4512" s="82" t="inlineStr">
        <is>
          <t>Insumo</t>
        </is>
      </c>
      <c r="C4512" s="82" t="inlineStr">
        <is>
          <t>Pintura Com Tinta Acetinada em Paredes Externas, 2 Demaos (Incluso fundo e massa) - Cor Marrom</t>
        </is>
      </c>
      <c r="D4512" s="82" t="inlineStr">
        <is>
          <t>Suvinil Toque Acetinada Completo Pinhão</t>
        </is>
      </c>
      <c r="E4512" s="11">
        <f t="array" ref="E4512">_xlfn.XLOOKUP(D4512,Insumos!B:B,Insumos!C:$C)</f>
        <v/>
      </c>
      <c r="F4512" s="2164">
        <f>(16/110)*2</f>
        <v/>
      </c>
      <c r="G4512" s="92">
        <f t="array" ref="G4512">IF(B4512="insumo",_xlfn.XLOOKUP($D4512,Insumos!$B$1:$B$996,Insumos!$D$1:$D$996),"")</f>
        <v/>
      </c>
      <c r="H4512" s="92" t="n">
        <v>19.2636363636364</v>
      </c>
      <c r="I4512" s="2165" t="n">
        <v>0</v>
      </c>
      <c r="J4512" s="2165" t="n">
        <v>0</v>
      </c>
      <c r="K4512" s="2165" t="n"/>
    </row>
    <row r="4513" outlineLevel="2" ht="12.75" customHeight="1">
      <c r="A4513" s="1071" t="n">
        <v>1</v>
      </c>
      <c r="B4513" s="1071" t="inlineStr">
        <is>
          <t>Serviço</t>
        </is>
      </c>
      <c r="C4513" s="1071" t="inlineStr">
        <is>
          <t>Pintura Com  Tinta Acetinada em Paredes Externas, 2 Demaos (Incluso fundo e massa) - Cor Cinza escuro</t>
        </is>
      </c>
      <c r="D4513" s="1071" t="inlineStr">
        <is>
          <t>Pintura Com  Tinta Acetinada em Paredes Externas, 2 Demaos (Incluso fundo e massa) - Cor Cinza escuro</t>
        </is>
      </c>
      <c r="E4513" s="1072" t="inlineStr">
        <is>
          <t>M2</t>
        </is>
      </c>
      <c r="F4513" s="1071" t="n"/>
      <c r="G4513" s="1073">
        <f t="array" ref="G4513">IF(B4513="insumo",_xlfn.XLOOKUP($D4513,Insumos!$B$1:$B$996,Insumos!$D$1:$D$996),"")</f>
        <v/>
      </c>
      <c r="H4513" s="1073" t="n">
        <v>24.7161529090909</v>
      </c>
      <c r="I4513" s="2163" t="n">
        <v>0</v>
      </c>
      <c r="J4513" s="2163" t="n">
        <v>0</v>
      </c>
      <c r="K4513" s="2163" t="n"/>
    </row>
    <row r="4514" outlineLevel="3" ht="12.75" customHeight="1">
      <c r="A4514" s="82" t="n">
        <v>36</v>
      </c>
      <c r="B4514" s="82" t="inlineStr">
        <is>
          <t>Insumo</t>
        </is>
      </c>
      <c r="C4514" s="82" t="inlineStr">
        <is>
          <t>Pintura Com  Tinta Acetinada em Paredes Externas, 2 Demaos (Incluso fundo e massa) - Cor Cinza escuro</t>
        </is>
      </c>
      <c r="D4514" s="82" t="inlineStr">
        <is>
          <t>LIXA DAGUA 225X275MM GR100</t>
        </is>
      </c>
      <c r="E4514" s="11">
        <f t="array" ref="E4514">_xlfn.XLOOKUP(D4514,Insumos!B:B,Insumos!C:$C)</f>
        <v/>
      </c>
      <c r="F4514" s="2164" t="n">
        <v>0.1</v>
      </c>
      <c r="G4514" s="92">
        <f t="array" ref="G4514">IF(B4514="insumo",_xlfn.XLOOKUP($D4514,Insumos!$B$1:$B$996,Insumos!$D$1:$D$996),"")</f>
        <v/>
      </c>
      <c r="H4514" s="92" t="n">
        <v>0.189</v>
      </c>
      <c r="I4514" s="2165" t="n">
        <v>0</v>
      </c>
      <c r="J4514" s="2165" t="n">
        <v>0</v>
      </c>
      <c r="K4514" s="2165" t="n"/>
    </row>
    <row r="4515" outlineLevel="3" ht="12.75" customHeight="1">
      <c r="A4515" s="82" t="n">
        <v>21</v>
      </c>
      <c r="B4515" s="82" t="inlineStr">
        <is>
          <t>Insumo</t>
        </is>
      </c>
      <c r="C4515" s="82" t="inlineStr">
        <is>
          <t>Pintura Com  Tinta Acetinada em Paredes Externas, 2 Demaos (Incluso fundo e massa) - Cor Cinza escuro</t>
        </is>
      </c>
      <c r="D4515" s="82" t="inlineStr">
        <is>
          <t>Massa corrida para superfícies de ambientes internos</t>
        </is>
      </c>
      <c r="E4515" s="11">
        <f t="array" ref="E4515">_xlfn.XLOOKUP(D4515,Insumos!B:B,Insumos!C:$C)</f>
        <v/>
      </c>
      <c r="F4515" s="2164" t="n">
        <v>0.8667</v>
      </c>
      <c r="G4515" s="92">
        <f t="array" ref="G4515">IF(B4515="insumo",_xlfn.XLOOKUP($D4515,Insumos!$B$1:$B$996,Insumos!$D$1:$D$996),"")</f>
        <v/>
      </c>
      <c r="H4515" s="92" t="n">
        <v>4.16016</v>
      </c>
      <c r="I4515" s="2165" t="n">
        <v>0</v>
      </c>
      <c r="J4515" s="2165" t="n">
        <v>0</v>
      </c>
      <c r="K4515" s="2165" t="n"/>
    </row>
    <row r="4516" outlineLevel="3" ht="12.75" customHeight="1">
      <c r="A4516" s="82" t="n">
        <v>31</v>
      </c>
      <c r="B4516" s="82" t="inlineStr">
        <is>
          <t>Insumo</t>
        </is>
      </c>
      <c r="C4516" s="82" t="inlineStr">
        <is>
          <t>Pintura Com  Tinta Acetinada em Paredes Externas, 2 Demaos (Incluso fundo e massa) - Cor Cinza escuro</t>
        </is>
      </c>
      <c r="D4516" s="82" t="inlineStr">
        <is>
          <t>Selador acrilico opaco premium interno/externo</t>
        </is>
      </c>
      <c r="E4516" s="11">
        <f t="array" ref="E4516">_xlfn.XLOOKUP(D4516,Insumos!B:B,Insumos!C:$C)</f>
        <v/>
      </c>
      <c r="F4516" s="2164" t="n">
        <v>0.1666</v>
      </c>
      <c r="G4516" s="92">
        <f t="array" ref="G4516">IF(B4516="insumo",_xlfn.XLOOKUP($D4516,Insumos!$B$1:$B$996,Insumos!$D$1:$D$996),"")</f>
        <v/>
      </c>
      <c r="H4516" s="92" t="n">
        <v>1.077902</v>
      </c>
      <c r="I4516" s="2165" t="n">
        <v>0</v>
      </c>
      <c r="J4516" s="2165" t="n">
        <v>0</v>
      </c>
      <c r="K4516" s="2165" t="n"/>
    </row>
    <row r="4517" outlineLevel="3" ht="12.75" customHeight="1">
      <c r="A4517" s="82" t="n">
        <v>1</v>
      </c>
      <c r="B4517" s="82" t="inlineStr">
        <is>
          <t>Insumo</t>
        </is>
      </c>
      <c r="C4517" s="82" t="inlineStr">
        <is>
          <t>Pintura Com  Tinta Acetinada em Paredes Externas, 2 Demaos (Incluso fundo e massa) - Cor Cinza escuro</t>
        </is>
      </c>
      <c r="D4517" s="82" t="inlineStr">
        <is>
          <t>Suvinil Toque Acetinada Completo Carvão mineral</t>
        </is>
      </c>
      <c r="E4517" s="11">
        <f t="array" ref="E4517">_xlfn.XLOOKUP(D4517,Insumos!B:B,Insumos!C:$C)</f>
        <v/>
      </c>
      <c r="F4517" s="2164">
        <f>(16/110)*2</f>
        <v/>
      </c>
      <c r="G4517" s="92">
        <f t="array" ref="G4517">IF(B4517="insumo",_xlfn.XLOOKUP($D4517,Insumos!$B$1:$B$996,Insumos!$D$1:$D$996),"")</f>
        <v/>
      </c>
      <c r="H4517" s="92" t="n">
        <v>19.2890909090909</v>
      </c>
      <c r="I4517" s="2165" t="n">
        <v>0</v>
      </c>
      <c r="J4517" s="2165" t="n">
        <v>0</v>
      </c>
      <c r="K4517" s="2165" t="n"/>
    </row>
    <row r="4518" outlineLevel="2" ht="12.75" customHeight="1">
      <c r="A4518" s="1071" t="n">
        <v>1</v>
      </c>
      <c r="B4518" s="1071" t="inlineStr">
        <is>
          <t>Serviço</t>
        </is>
      </c>
      <c r="C4518" s="1071" t="inlineStr">
        <is>
          <t>Pintura Com  Tinta Acetinada em Paredes Externas, 2 Demaos (Incluso fundo e massa) - Cor Branco</t>
        </is>
      </c>
      <c r="D4518" s="1071" t="inlineStr">
        <is>
          <t>Pintura Com  Tinta Acetinada em Paredes Externas, 2 Demaos (Incluso fundo e massa) - Cor Branco</t>
        </is>
      </c>
      <c r="E4518" s="1072" t="inlineStr">
        <is>
          <t>M2</t>
        </is>
      </c>
      <c r="F4518" s="1071" t="n"/>
      <c r="G4518" s="1073">
        <f t="array" ref="G4518">IF(B4518="insumo",_xlfn.XLOOKUP($D4518,Insumos!$B$1:$B$996,Insumos!$D$1:$D$996),"")</f>
        <v/>
      </c>
      <c r="H4518" s="1073" t="n">
        <v>17.8698902828283</v>
      </c>
      <c r="I4518" s="2163" t="n">
        <v>0</v>
      </c>
      <c r="J4518" s="2163" t="n">
        <v>0</v>
      </c>
      <c r="K4518" s="2163" t="n"/>
    </row>
    <row r="4519" outlineLevel="3" ht="12.75" customHeight="1">
      <c r="A4519" s="82" t="n">
        <v>36</v>
      </c>
      <c r="B4519" s="82" t="inlineStr">
        <is>
          <t>Insumo</t>
        </is>
      </c>
      <c r="C4519" s="82" t="inlineStr">
        <is>
          <t>Pintura Com  Tinta Acetinada em Paredes Externas, 2 Demaos (Incluso fundo e massa) - Cor Branco</t>
        </is>
      </c>
      <c r="D4519" s="82" t="inlineStr">
        <is>
          <t>LIXA DAGUA 225X275MM GR100</t>
        </is>
      </c>
      <c r="E4519" s="11">
        <f t="array" ref="E4519">_xlfn.XLOOKUP(D4519,Insumos!B:B,Insumos!C:$C)</f>
        <v/>
      </c>
      <c r="F4519" s="2164" t="n">
        <v>0.1</v>
      </c>
      <c r="G4519" s="92">
        <f t="array" ref="G4519">IF(B4519="insumo",_xlfn.XLOOKUP($D4519,Insumos!$B$1:$B$996,Insumos!$D$1:$D$996),"")</f>
        <v/>
      </c>
      <c r="H4519" s="92" t="n">
        <v>0.189</v>
      </c>
      <c r="I4519" s="2165" t="n">
        <v>0</v>
      </c>
      <c r="J4519" s="2165" t="n">
        <v>0</v>
      </c>
      <c r="K4519" s="2165" t="n"/>
    </row>
    <row r="4520" outlineLevel="3" ht="12.75" customHeight="1">
      <c r="A4520" s="82" t="n">
        <v>21</v>
      </c>
      <c r="B4520" s="82" t="inlineStr">
        <is>
          <t>Insumo</t>
        </is>
      </c>
      <c r="C4520" s="82" t="inlineStr">
        <is>
          <t>Pintura Com  Tinta Acetinada em Paredes Externas, 2 Demaos (Incluso fundo e massa) - Cor Branco</t>
        </is>
      </c>
      <c r="D4520" s="82" t="inlineStr">
        <is>
          <t>Massa corrida para superfícies de ambientes internos</t>
        </is>
      </c>
      <c r="E4520" s="11">
        <f t="array" ref="E4520">_xlfn.XLOOKUP(D4520,Insumos!B:B,Insumos!C:$C)</f>
        <v/>
      </c>
      <c r="F4520" s="2164" t="n">
        <v>0.8667</v>
      </c>
      <c r="G4520" s="92">
        <f t="array" ref="G4520">IF(B4520="insumo",_xlfn.XLOOKUP($D4520,Insumos!$B$1:$B$996,Insumos!$D$1:$D$996),"")</f>
        <v/>
      </c>
      <c r="H4520" s="92" t="n">
        <v>4.16016</v>
      </c>
      <c r="I4520" s="2165" t="n">
        <v>0</v>
      </c>
      <c r="J4520" s="2165" t="n">
        <v>0</v>
      </c>
      <c r="K4520" s="2165" t="n"/>
    </row>
    <row r="4521" outlineLevel="3" ht="12.75" customHeight="1">
      <c r="A4521" s="82" t="n">
        <v>31</v>
      </c>
      <c r="B4521" s="82" t="inlineStr">
        <is>
          <t>Insumo</t>
        </is>
      </c>
      <c r="C4521" s="82" t="inlineStr">
        <is>
          <t>Pintura Com  Tinta Acetinada em Paredes Externas, 2 Demaos (Incluso fundo e massa) - Cor Branco</t>
        </is>
      </c>
      <c r="D4521" s="82" t="inlineStr">
        <is>
          <t>Selador acrilico opaco premium interno/externo</t>
        </is>
      </c>
      <c r="E4521" s="11">
        <f t="array" ref="E4521">_xlfn.XLOOKUP(D4521,Insumos!B:B,Insumos!C:$C)</f>
        <v/>
      </c>
      <c r="F4521" s="2164" t="n">
        <v>0.1666</v>
      </c>
      <c r="G4521" s="92">
        <f t="array" ref="G4521">IF(B4521="insumo",_xlfn.XLOOKUP($D4521,Insumos!$B$1:$B$996,Insumos!$D$1:$D$996),"")</f>
        <v/>
      </c>
      <c r="H4521" s="92" t="n">
        <v>1.077902</v>
      </c>
      <c r="I4521" s="2165" t="n">
        <v>0</v>
      </c>
      <c r="J4521" s="2165" t="n">
        <v>0</v>
      </c>
      <c r="K4521" s="2165" t="n"/>
    </row>
    <row r="4522" outlineLevel="3" ht="12.75" customHeight="1">
      <c r="A4522" s="82" t="n">
        <v>2</v>
      </c>
      <c r="B4522" s="82" t="inlineStr">
        <is>
          <t>Insumo</t>
        </is>
      </c>
      <c r="C4522" s="82" t="inlineStr">
        <is>
          <t>Pintura Com  Tinta Acetinada em Paredes Externas, 2 Demaos (Incluso fundo e massa) - Cor Branco</t>
        </is>
      </c>
      <c r="D4522" s="82" t="inlineStr">
        <is>
          <t>Tinta ACRÍLICO TOQUE DE SEDA ACETINADO</t>
        </is>
      </c>
      <c r="E4522" s="11">
        <f t="array" ref="E4522">_xlfn.XLOOKUP(D4522,Insumos!B:B,Insumos!C:$C)</f>
        <v/>
      </c>
      <c r="F4522" s="2164">
        <f>(16/110)*2</f>
        <v/>
      </c>
      <c r="G4522" s="92">
        <f t="array" ref="G4522">IF(B4522="insumo",_xlfn.XLOOKUP($D4522,Insumos!$B$1:$B$996,Insumos!$D$1:$D$996),"")</f>
        <v/>
      </c>
      <c r="H4522" s="92" t="n">
        <v>12.4428282828283</v>
      </c>
      <c r="I4522" s="2165" t="n">
        <v>0</v>
      </c>
      <c r="J4522" s="2165" t="n">
        <v>0</v>
      </c>
      <c r="K4522" s="2165" t="n"/>
    </row>
    <row r="4523" outlineLevel="2" ht="12.75" customHeight="1">
      <c r="A4523" s="1071" t="n">
        <v>1</v>
      </c>
      <c r="B4523" s="1071" t="inlineStr">
        <is>
          <t>Serviço</t>
        </is>
      </c>
      <c r="C4523" s="1071" t="inlineStr">
        <is>
          <t>Pintura Com Tinta Fosca em Paredes Externas, 2 Demaos (Incluso fundo e massa) - Cor Cinza claro</t>
        </is>
      </c>
      <c r="D4523" s="1071" t="inlineStr">
        <is>
          <t>Pintura Com Tinta Fosca em Paredes Externas, 2 Demaos (Incluso fundo e massa) - Cor Cinza claro</t>
        </is>
      </c>
      <c r="E4523" s="1072" t="inlineStr">
        <is>
          <t>M2</t>
        </is>
      </c>
      <c r="F4523" s="1071" t="n"/>
      <c r="G4523" s="1073">
        <f t="array" ref="G4523">IF(B4523="insumo",_xlfn.XLOOKUP($D4523,Insumos!$B$1:$B$996,Insumos!$D$1:$D$996),"")</f>
        <v/>
      </c>
      <c r="H4523" s="1073" t="n">
        <v>18.6979710909091</v>
      </c>
      <c r="I4523" s="2163" t="n">
        <v>0</v>
      </c>
      <c r="J4523" s="2163" t="n">
        <v>0</v>
      </c>
      <c r="K4523" s="2163" t="n"/>
    </row>
    <row r="4524" outlineLevel="3" ht="12.75" customHeight="1">
      <c r="A4524" s="82" t="n">
        <v>36</v>
      </c>
      <c r="B4524" s="82" t="inlineStr">
        <is>
          <t>Insumo</t>
        </is>
      </c>
      <c r="C4524" s="82" t="inlineStr">
        <is>
          <t>Pintura Com Tinta Fosca em Paredes Externas, 2 Demaos (Incluso fundo e massa) - Cor Cinza claro</t>
        </is>
      </c>
      <c r="D4524" s="82" t="inlineStr">
        <is>
          <t>LIXA DAGUA 225X275MM GR100</t>
        </is>
      </c>
      <c r="E4524" s="11">
        <f t="array" ref="E4524">_xlfn.XLOOKUP(D4524,Insumos!B:B,Insumos!C:$C)</f>
        <v/>
      </c>
      <c r="F4524" s="2164" t="n">
        <v>0.1</v>
      </c>
      <c r="G4524" s="92">
        <f t="array" ref="G4524">IF(B4524="insumo",_xlfn.XLOOKUP($D4524,Insumos!$B$1:$B$996,Insumos!$D$1:$D$996),"")</f>
        <v/>
      </c>
      <c r="H4524" s="92" t="n">
        <v>0.189</v>
      </c>
      <c r="I4524" s="2165" t="n">
        <v>0</v>
      </c>
      <c r="J4524" s="2165" t="n">
        <v>0</v>
      </c>
      <c r="K4524" s="2165" t="n"/>
    </row>
    <row r="4525" outlineLevel="3" ht="12.75" customHeight="1">
      <c r="A4525" s="82" t="n">
        <v>21</v>
      </c>
      <c r="B4525" s="82" t="inlineStr">
        <is>
          <t>Insumo</t>
        </is>
      </c>
      <c r="C4525" s="82" t="inlineStr">
        <is>
          <t>Pintura Com Tinta Fosca em Paredes Externas, 2 Demaos (Incluso fundo e massa) - Cor Cinza claro</t>
        </is>
      </c>
      <c r="D4525" s="82" t="inlineStr">
        <is>
          <t>Massa corrida para superfícies de ambientes internos</t>
        </is>
      </c>
      <c r="E4525" s="11">
        <f t="array" ref="E4525">_xlfn.XLOOKUP(D4525,Insumos!B:B,Insumos!C:$C)</f>
        <v/>
      </c>
      <c r="F4525" s="2164" t="n">
        <v>0.8667</v>
      </c>
      <c r="G4525" s="92">
        <f t="array" ref="G4525">IF(B4525="insumo",_xlfn.XLOOKUP($D4525,Insumos!$B$1:$B$996,Insumos!$D$1:$D$996),"")</f>
        <v/>
      </c>
      <c r="H4525" s="92" t="n">
        <v>4.16016</v>
      </c>
      <c r="I4525" s="2165" t="n">
        <v>0</v>
      </c>
      <c r="J4525" s="2165" t="n">
        <v>0</v>
      </c>
      <c r="K4525" s="2165" t="n"/>
    </row>
    <row r="4526" outlineLevel="3" ht="12.75" customHeight="1">
      <c r="A4526" s="82" t="n">
        <v>31</v>
      </c>
      <c r="B4526" s="82" t="inlineStr">
        <is>
          <t>Insumo</t>
        </is>
      </c>
      <c r="C4526" s="82" t="inlineStr">
        <is>
          <t>Pintura Com Tinta Fosca em Paredes Externas, 2 Demaos (Incluso fundo e massa) - Cor Cinza claro</t>
        </is>
      </c>
      <c r="D4526" s="82" t="inlineStr">
        <is>
          <t>Selador acrilico opaco premium interno/externo</t>
        </is>
      </c>
      <c r="E4526" s="11">
        <f t="array" ref="E4526">_xlfn.XLOOKUP(D4526,Insumos!B:B,Insumos!C:$C)</f>
        <v/>
      </c>
      <c r="F4526" s="2164" t="n">
        <v>0.1666</v>
      </c>
      <c r="G4526" s="92">
        <f t="array" ref="G4526">IF(B4526="insumo",_xlfn.XLOOKUP($D4526,Insumos!$B$1:$B$996,Insumos!$D$1:$D$996),"")</f>
        <v/>
      </c>
      <c r="H4526" s="92" t="n">
        <v>1.077902</v>
      </c>
      <c r="I4526" s="2165" t="n">
        <v>0</v>
      </c>
      <c r="J4526" s="2165" t="n">
        <v>0</v>
      </c>
      <c r="K4526" s="2165" t="n"/>
    </row>
    <row r="4527" outlineLevel="3" ht="12.75" customHeight="1">
      <c r="A4527" s="82" t="n">
        <v>1</v>
      </c>
      <c r="B4527" s="82" t="inlineStr">
        <is>
          <t>Insumo</t>
        </is>
      </c>
      <c r="C4527" s="82" t="inlineStr">
        <is>
          <t>Pintura Com Tinta Fosca em Paredes Externas, 2 Demaos (Incluso fundo e massa) - Cor Cinza claro</t>
        </is>
      </c>
      <c r="D4527" s="82" t="inlineStr">
        <is>
          <t>Suvinil Toque Fosco Completo Sambaqui</t>
        </is>
      </c>
      <c r="E4527" s="11">
        <f t="array" ref="E4527">_xlfn.XLOOKUP(D4527,Insumos!B:B,Insumos!C:$C)</f>
        <v/>
      </c>
      <c r="F4527" s="2164">
        <f>(16/110)*2</f>
        <v/>
      </c>
      <c r="G4527" s="92">
        <f t="array" ref="G4527">IF(B4527="insumo",_xlfn.XLOOKUP($D4527,Insumos!$B$1:$B$996,Insumos!$D$1:$D$996),"")</f>
        <v/>
      </c>
      <c r="H4527" s="92" t="n">
        <v>13.2709090909091</v>
      </c>
      <c r="I4527" s="2165" t="n">
        <v>0</v>
      </c>
      <c r="J4527" s="2165" t="n">
        <v>0</v>
      </c>
      <c r="K4527" s="2165" t="n"/>
    </row>
    <row r="4528" outlineLevel="2" ht="12.75" customHeight="1">
      <c r="A4528" s="1071" t="n">
        <v>1</v>
      </c>
      <c r="B4528" s="1071" t="inlineStr">
        <is>
          <t>Serviço</t>
        </is>
      </c>
      <c r="C4528" s="1071" t="inlineStr">
        <is>
          <t>Pintura Com Tinta Fosca em Paredes Externas, 2 Demaos (Incluso fundo e massa) - Cor Marrom</t>
        </is>
      </c>
      <c r="D4528" s="1071" t="inlineStr">
        <is>
          <t>Pintura Com Tinta Fosca em Paredes Externas, 2 Demaos (Incluso fundo e massa) - Cor Marrom</t>
        </is>
      </c>
      <c r="E4528" s="1072" t="inlineStr">
        <is>
          <t>M2</t>
        </is>
      </c>
      <c r="F4528" s="1071" t="n"/>
      <c r="G4528" s="1073">
        <f t="array" ref="G4528">IF(B4528="insumo",_xlfn.XLOOKUP($D4528,Insumos!$B$1:$B$996,Insumos!$D$1:$D$996),"")</f>
        <v/>
      </c>
      <c r="H4528" s="1073" t="n">
        <v>21.207062</v>
      </c>
      <c r="I4528" s="2163" t="n">
        <v>0</v>
      </c>
      <c r="J4528" s="2163" t="n">
        <v>0</v>
      </c>
      <c r="K4528" s="2163" t="n"/>
    </row>
    <row r="4529" outlineLevel="3" ht="12.75" customHeight="1">
      <c r="A4529" s="82" t="n">
        <v>36</v>
      </c>
      <c r="B4529" s="82" t="inlineStr">
        <is>
          <t>Insumo</t>
        </is>
      </c>
      <c r="C4529" s="82" t="inlineStr">
        <is>
          <t>Pintura Com Tinta Fosca em Paredes Externas, 2 Demaos (Incluso fundo e massa) - Cor Marrom</t>
        </is>
      </c>
      <c r="D4529" s="82" t="inlineStr">
        <is>
          <t>LIXA DAGUA 225X275MM GR100</t>
        </is>
      </c>
      <c r="E4529" s="11">
        <f t="array" ref="E4529">_xlfn.XLOOKUP(D4529,Insumos!B:B,Insumos!C:$C)</f>
        <v/>
      </c>
      <c r="F4529" s="2164" t="n">
        <v>0.1</v>
      </c>
      <c r="G4529" s="92">
        <f t="array" ref="G4529">IF(B4529="insumo",_xlfn.XLOOKUP($D4529,Insumos!$B$1:$B$996,Insumos!$D$1:$D$996),"")</f>
        <v/>
      </c>
      <c r="H4529" s="92" t="n">
        <v>0.189</v>
      </c>
      <c r="I4529" s="2165" t="n">
        <v>0</v>
      </c>
      <c r="J4529" s="2165" t="n">
        <v>0</v>
      </c>
      <c r="K4529" s="2165" t="n"/>
    </row>
    <row r="4530" outlineLevel="3" ht="12.75" customHeight="1">
      <c r="A4530" s="82" t="n">
        <v>21</v>
      </c>
      <c r="B4530" s="82" t="inlineStr">
        <is>
          <t>Insumo</t>
        </is>
      </c>
      <c r="C4530" s="82" t="inlineStr">
        <is>
          <t>Pintura Com Tinta Fosca em Paredes Externas, 2 Demaos (Incluso fundo e massa) - Cor Marrom</t>
        </is>
      </c>
      <c r="D4530" s="82" t="inlineStr">
        <is>
          <t>Massa corrida para superfícies de ambientes internos</t>
        </is>
      </c>
      <c r="E4530" s="11">
        <f t="array" ref="E4530">_xlfn.XLOOKUP(D4530,Insumos!B:B,Insumos!C:$C)</f>
        <v/>
      </c>
      <c r="F4530" s="2164" t="n">
        <v>0.8667</v>
      </c>
      <c r="G4530" s="92">
        <f t="array" ref="G4530">IF(B4530="insumo",_xlfn.XLOOKUP($D4530,Insumos!$B$1:$B$996,Insumos!$D$1:$D$996),"")</f>
        <v/>
      </c>
      <c r="H4530" s="92" t="n">
        <v>4.16016</v>
      </c>
      <c r="I4530" s="2165" t="n">
        <v>0</v>
      </c>
      <c r="J4530" s="2165" t="n">
        <v>0</v>
      </c>
      <c r="K4530" s="2165" t="n"/>
    </row>
    <row r="4531" outlineLevel="3" ht="12.75" customHeight="1">
      <c r="A4531" s="82" t="n">
        <v>31</v>
      </c>
      <c r="B4531" s="82" t="inlineStr">
        <is>
          <t>Insumo</t>
        </is>
      </c>
      <c r="C4531" s="82" t="inlineStr">
        <is>
          <t>Pintura Com Tinta Fosca em Paredes Externas, 2 Demaos (Incluso fundo e massa) - Cor Marrom</t>
        </is>
      </c>
      <c r="D4531" s="82" t="inlineStr">
        <is>
          <t>Selador acrilico opaco premium interno/externo</t>
        </is>
      </c>
      <c r="E4531" s="11">
        <f t="array" ref="E4531">_xlfn.XLOOKUP(D4531,Insumos!B:B,Insumos!C:$C)</f>
        <v/>
      </c>
      <c r="F4531" s="2164" t="n">
        <v>0.1666</v>
      </c>
      <c r="G4531" s="92">
        <f t="array" ref="G4531">IF(B4531="insumo",_xlfn.XLOOKUP($D4531,Insumos!$B$1:$B$996,Insumos!$D$1:$D$996),"")</f>
        <v/>
      </c>
      <c r="H4531" s="92" t="n">
        <v>1.077902</v>
      </c>
      <c r="I4531" s="2165" t="n">
        <v>0</v>
      </c>
      <c r="J4531" s="2165" t="n">
        <v>0</v>
      </c>
      <c r="K4531" s="2165" t="n"/>
    </row>
    <row r="4532" outlineLevel="3" ht="12.75" customHeight="1">
      <c r="A4532" s="82" t="n">
        <v>1</v>
      </c>
      <c r="B4532" s="82" t="inlineStr">
        <is>
          <t>Insumo</t>
        </is>
      </c>
      <c r="C4532" s="82" t="inlineStr">
        <is>
          <t>Pintura Com Tinta Fosca em Paredes Externas, 2 Demaos (Incluso fundo e massa) - Cor Marrom</t>
        </is>
      </c>
      <c r="D4532" s="82" t="inlineStr">
        <is>
          <t>Suvinil Toque Fosco Completo Pinhão</t>
        </is>
      </c>
      <c r="E4532" s="11">
        <f t="array" ref="E4532">_xlfn.XLOOKUP(D4532,Insumos!B:B,Insumos!C:$C)</f>
        <v/>
      </c>
      <c r="F4532" s="2164">
        <f>(16/110)*2</f>
        <v/>
      </c>
      <c r="G4532" s="92">
        <f t="array" ref="G4532">IF(B4532="insumo",_xlfn.XLOOKUP($D4532,Insumos!$B$1:$B$996,Insumos!$D$1:$D$996),"")</f>
        <v/>
      </c>
      <c r="H4532" s="92" t="n">
        <v>15.78</v>
      </c>
      <c r="I4532" s="2165" t="n">
        <v>0</v>
      </c>
      <c r="J4532" s="2165" t="n">
        <v>0</v>
      </c>
      <c r="K4532" s="2165" t="n"/>
    </row>
    <row r="4533" outlineLevel="2" ht="12.75" customHeight="1">
      <c r="A4533" s="1071" t="n">
        <v>1</v>
      </c>
      <c r="B4533" s="1071" t="inlineStr">
        <is>
          <t>Serviço</t>
        </is>
      </c>
      <c r="C4533" s="1071" t="inlineStr">
        <is>
          <t>Pintura Com  Tinta Fosca em Paredes Externas, 2 Demaos (Incluso fundo e massa) - Cor Cinza escuro</t>
        </is>
      </c>
      <c r="D4533" s="1071" t="inlineStr">
        <is>
          <t>Pintura Com  Tinta Fosca em Paredes Externas, 2 Demaos (Incluso fundo e massa) - Cor Cinza escuro</t>
        </is>
      </c>
      <c r="E4533" s="1072" t="inlineStr">
        <is>
          <t>M2</t>
        </is>
      </c>
      <c r="F4533" s="1071" t="n"/>
      <c r="G4533" s="1073">
        <f t="array" ref="G4533">IF(B4533="insumo",_xlfn.XLOOKUP($D4533,Insumos!$B$1:$B$996,Insumos!$D$1:$D$996),"")</f>
        <v/>
      </c>
      <c r="H4533" s="1073" t="n">
        <v>21.5525165454545</v>
      </c>
      <c r="I4533" s="2163" t="n">
        <v>0</v>
      </c>
      <c r="J4533" s="2163" t="n">
        <v>0</v>
      </c>
      <c r="K4533" s="2163" t="n"/>
    </row>
    <row r="4534" outlineLevel="3" ht="12.75" customHeight="1">
      <c r="A4534" s="82" t="n">
        <v>36</v>
      </c>
      <c r="B4534" s="82" t="inlineStr">
        <is>
          <t>Insumo</t>
        </is>
      </c>
      <c r="C4534" s="82" t="inlineStr">
        <is>
          <t>Pintura Com  Tinta Fosca em Paredes Externas, 2 Demaos (Incluso fundo e massa) - Cor Cinza escuro</t>
        </is>
      </c>
      <c r="D4534" s="82" t="inlineStr">
        <is>
          <t>LIXA DAGUA 225X275MM GR100</t>
        </is>
      </c>
      <c r="E4534" s="11">
        <f t="array" ref="E4534">_xlfn.XLOOKUP(D4534,Insumos!B:B,Insumos!C:$C)</f>
        <v/>
      </c>
      <c r="F4534" s="2164" t="n">
        <v>0.1</v>
      </c>
      <c r="G4534" s="92">
        <f t="array" ref="G4534">IF(B4534="insumo",_xlfn.XLOOKUP($D4534,Insumos!$B$1:$B$996,Insumos!$D$1:$D$996),"")</f>
        <v/>
      </c>
      <c r="H4534" s="92" t="n">
        <v>0.189</v>
      </c>
      <c r="I4534" s="2165" t="n">
        <v>0</v>
      </c>
      <c r="J4534" s="2165" t="n">
        <v>0</v>
      </c>
      <c r="K4534" s="2165" t="n"/>
    </row>
    <row r="4535" outlineLevel="3" ht="12.75" customHeight="1">
      <c r="A4535" s="82" t="n">
        <v>21</v>
      </c>
      <c r="B4535" s="82" t="inlineStr">
        <is>
          <t>Insumo</t>
        </is>
      </c>
      <c r="C4535" s="82" t="inlineStr">
        <is>
          <t>Pintura Com  Tinta Fosca em Paredes Externas, 2 Demaos (Incluso fundo e massa) - Cor Cinza escuro</t>
        </is>
      </c>
      <c r="D4535" s="82" t="inlineStr">
        <is>
          <t>Massa corrida para superfícies de ambientes internos</t>
        </is>
      </c>
      <c r="E4535" s="11">
        <f t="array" ref="E4535">_xlfn.XLOOKUP(D4535,Insumos!B:B,Insumos!C:$C)</f>
        <v/>
      </c>
      <c r="F4535" s="2164" t="n">
        <v>0.8667</v>
      </c>
      <c r="G4535" s="92">
        <f t="array" ref="G4535">IF(B4535="insumo",_xlfn.XLOOKUP($D4535,Insumos!$B$1:$B$996,Insumos!$D$1:$D$996),"")</f>
        <v/>
      </c>
      <c r="H4535" s="92" t="n">
        <v>4.16016</v>
      </c>
      <c r="I4535" s="2165" t="n">
        <v>0</v>
      </c>
      <c r="J4535" s="2165" t="n">
        <v>0</v>
      </c>
      <c r="K4535" s="2165" t="n"/>
    </row>
    <row r="4536" outlineLevel="3" ht="12.75" customHeight="1">
      <c r="A4536" s="82" t="n">
        <v>31</v>
      </c>
      <c r="B4536" s="82" t="inlineStr">
        <is>
          <t>Insumo</t>
        </is>
      </c>
      <c r="C4536" s="82" t="inlineStr">
        <is>
          <t>Pintura Com  Tinta Fosca em Paredes Externas, 2 Demaos (Incluso fundo e massa) - Cor Cinza escuro</t>
        </is>
      </c>
      <c r="D4536" s="82" t="inlineStr">
        <is>
          <t>Selador acrilico opaco premium interno/externo</t>
        </is>
      </c>
      <c r="E4536" s="11">
        <f t="array" ref="E4536">_xlfn.XLOOKUP(D4536,Insumos!B:B,Insumos!C:$C)</f>
        <v/>
      </c>
      <c r="F4536" s="2164" t="n">
        <v>0.1666</v>
      </c>
      <c r="G4536" s="92">
        <f t="array" ref="G4536">IF(B4536="insumo",_xlfn.XLOOKUP($D4536,Insumos!$B$1:$B$996,Insumos!$D$1:$D$996),"")</f>
        <v/>
      </c>
      <c r="H4536" s="92" t="n">
        <v>1.077902</v>
      </c>
      <c r="I4536" s="2165" t="n">
        <v>0</v>
      </c>
      <c r="J4536" s="2165" t="n">
        <v>0</v>
      </c>
      <c r="K4536" s="2165" t="n"/>
    </row>
    <row r="4537" outlineLevel="3" ht="12.75" customHeight="1">
      <c r="A4537" s="82" t="n">
        <v>1</v>
      </c>
      <c r="B4537" s="82" t="inlineStr">
        <is>
          <t>Insumo</t>
        </is>
      </c>
      <c r="C4537" s="82" t="inlineStr">
        <is>
          <t>Pintura Com  Tinta Fosca em Paredes Externas, 2 Demaos (Incluso fundo e massa) - Cor Cinza escuro</t>
        </is>
      </c>
      <c r="D4537" s="82" t="inlineStr">
        <is>
          <t>Suvinil Toque Fosco Completo Carvão mineral</t>
        </is>
      </c>
      <c r="E4537" s="11">
        <f t="array" ref="E4537">_xlfn.XLOOKUP(D4537,Insumos!B:B,Insumos!C:$C)</f>
        <v/>
      </c>
      <c r="F4537" s="2164">
        <f>(16/110)*2</f>
        <v/>
      </c>
      <c r="G4537" s="92">
        <f t="array" ref="G4537">IF(B4537="insumo",_xlfn.XLOOKUP($D4537,Insumos!$B$1:$B$996,Insumos!$D$1:$D$996),"")</f>
        <v/>
      </c>
      <c r="H4537" s="92" t="n">
        <v>16.1254545454545</v>
      </c>
      <c r="I4537" s="2165" t="n">
        <v>0</v>
      </c>
      <c r="J4537" s="2165" t="n">
        <v>0</v>
      </c>
      <c r="K4537" s="2165" t="n"/>
    </row>
    <row r="4538" outlineLevel="2" ht="12.75" customHeight="1">
      <c r="A4538" s="1071" t="n">
        <v>1</v>
      </c>
      <c r="B4538" s="1071" t="inlineStr">
        <is>
          <t>Serviço</t>
        </is>
      </c>
      <c r="C4538" s="1071" t="inlineStr">
        <is>
          <t>Pintura Com  Tinta Fosca em Paredes Externas, 2 Demaos (Incluso fundo e massa) - Cor Branco</t>
        </is>
      </c>
      <c r="D4538" s="1071" t="inlineStr">
        <is>
          <t>Pintura Com  Tinta Fosca em Paredes Externas, 2 Demaos (Incluso fundo e massa) - Cor Branco</t>
        </is>
      </c>
      <c r="E4538" s="1072" t="inlineStr">
        <is>
          <t>M2</t>
        </is>
      </c>
      <c r="F4538" s="1071" t="n"/>
      <c r="G4538" s="1073">
        <f t="array" ref="G4538">IF(B4538="insumo",_xlfn.XLOOKUP($D4538,Insumos!$B$1:$B$996,Insumos!$D$1:$D$996),"")</f>
        <v/>
      </c>
      <c r="H4538" s="1073" t="n">
        <v>15.4456478585859</v>
      </c>
      <c r="I4538" s="2163" t="n">
        <v>0</v>
      </c>
      <c r="J4538" s="2163" t="n">
        <v>0</v>
      </c>
      <c r="K4538" s="2163" t="n"/>
    </row>
    <row r="4539" outlineLevel="3" ht="12.75" customHeight="1">
      <c r="A4539" s="82" t="n">
        <v>36</v>
      </c>
      <c r="B4539" s="82" t="inlineStr">
        <is>
          <t>Insumo</t>
        </is>
      </c>
      <c r="C4539" s="82" t="inlineStr">
        <is>
          <t>Pintura Com  Tinta Fosca em Paredes Externas, 2 Demaos (Incluso fundo e massa) - Cor Branco</t>
        </is>
      </c>
      <c r="D4539" s="82" t="inlineStr">
        <is>
          <t>LIXA DAGUA 225X275MM GR100</t>
        </is>
      </c>
      <c r="E4539" s="11">
        <f t="array" ref="E4539">_xlfn.XLOOKUP(D4539,Insumos!B:B,Insumos!C:$C)</f>
        <v/>
      </c>
      <c r="F4539" s="2164" t="n">
        <v>0.1</v>
      </c>
      <c r="G4539" s="92">
        <f t="array" ref="G4539">IF(B4539="insumo",_xlfn.XLOOKUP($D4539,Insumos!$B$1:$B$996,Insumos!$D$1:$D$996),"")</f>
        <v/>
      </c>
      <c r="H4539" s="92" t="n">
        <v>0.189</v>
      </c>
      <c r="I4539" s="2165" t="n">
        <v>0</v>
      </c>
      <c r="J4539" s="2165" t="n">
        <v>0</v>
      </c>
      <c r="K4539" s="2165" t="n"/>
    </row>
    <row r="4540" outlineLevel="3" ht="12.75" customHeight="1">
      <c r="A4540" s="82" t="n">
        <v>21</v>
      </c>
      <c r="B4540" s="82" t="inlineStr">
        <is>
          <t>Insumo</t>
        </is>
      </c>
      <c r="C4540" s="82" t="inlineStr">
        <is>
          <t>Pintura Com  Tinta Fosca em Paredes Externas, 2 Demaos (Incluso fundo e massa) - Cor Branco</t>
        </is>
      </c>
      <c r="D4540" s="82" t="inlineStr">
        <is>
          <t>Massa corrida para superfícies de ambientes internos</t>
        </is>
      </c>
      <c r="E4540" s="11">
        <f t="array" ref="E4540">_xlfn.XLOOKUP(D4540,Insumos!B:B,Insumos!C:$C)</f>
        <v/>
      </c>
      <c r="F4540" s="2164" t="n">
        <v>0.8667</v>
      </c>
      <c r="G4540" s="92">
        <f t="array" ref="G4540">IF(B4540="insumo",_xlfn.XLOOKUP($D4540,Insumos!$B$1:$B$996,Insumos!$D$1:$D$996),"")</f>
        <v/>
      </c>
      <c r="H4540" s="92" t="n">
        <v>4.16016</v>
      </c>
      <c r="I4540" s="2165" t="n">
        <v>0</v>
      </c>
      <c r="J4540" s="2165" t="n">
        <v>0</v>
      </c>
      <c r="K4540" s="2165" t="n"/>
    </row>
    <row r="4541" outlineLevel="3" ht="12.75" customHeight="1">
      <c r="A4541" s="82" t="n">
        <v>31</v>
      </c>
      <c r="B4541" s="82" t="inlineStr">
        <is>
          <t>Insumo</t>
        </is>
      </c>
      <c r="C4541" s="82" t="inlineStr">
        <is>
          <t>Pintura Com  Tinta Fosca em Paredes Externas, 2 Demaos (Incluso fundo e massa) - Cor Branco</t>
        </is>
      </c>
      <c r="D4541" s="82" t="inlineStr">
        <is>
          <t>Selador acrilico opaco premium interno/externo</t>
        </is>
      </c>
      <c r="E4541" s="11">
        <f t="array" ref="E4541">_xlfn.XLOOKUP(D4541,Insumos!B:B,Insumos!C:$C)</f>
        <v/>
      </c>
      <c r="F4541" s="2164" t="n">
        <v>0.1666</v>
      </c>
      <c r="G4541" s="92">
        <f t="array" ref="G4541">IF(B4541="insumo",_xlfn.XLOOKUP($D4541,Insumos!$B$1:$B$996,Insumos!$D$1:$D$996),"")</f>
        <v/>
      </c>
      <c r="H4541" s="92" t="n">
        <v>1.077902</v>
      </c>
      <c r="I4541" s="2165" t="n">
        <v>0</v>
      </c>
      <c r="J4541" s="2165" t="n">
        <v>0</v>
      </c>
      <c r="K4541" s="2165" t="n"/>
    </row>
    <row r="4542" outlineLevel="3" ht="12.75" customHeight="1">
      <c r="A4542" s="82" t="n">
        <v>2</v>
      </c>
      <c r="B4542" s="82" t="inlineStr">
        <is>
          <t>Insumo</t>
        </is>
      </c>
      <c r="C4542" s="82" t="inlineStr">
        <is>
          <t>Pintura Com  Tinta Fosca em Paredes Externas, 2 Demaos (Incluso fundo e massa) - Cor Branco</t>
        </is>
      </c>
      <c r="D4542" s="82" t="inlineStr">
        <is>
          <t>Suvinil Toque Fosco Completo branco</t>
        </is>
      </c>
      <c r="E4542" s="11">
        <f t="array" ref="E4542">_xlfn.XLOOKUP(D4542,Insumos!B:B,Insumos!C:$C)</f>
        <v/>
      </c>
      <c r="F4542" s="2164">
        <f>(16/110)*2</f>
        <v/>
      </c>
      <c r="G4542" s="92">
        <f t="array" ref="G4542">IF(B4542="insumo",_xlfn.XLOOKUP($D4542,Insumos!$B$1:$B$996,Insumos!$D$1:$D$996),"")</f>
        <v/>
      </c>
      <c r="H4542" s="92" t="n">
        <v>10.0185858585859</v>
      </c>
      <c r="I4542" s="2165" t="n">
        <v>0</v>
      </c>
      <c r="J4542" s="2165" t="n">
        <v>0</v>
      </c>
      <c r="K4542" s="2165" t="n"/>
    </row>
    <row r="4543" outlineLevel="2" ht="12.75" customHeight="1">
      <c r="A4543" s="1071" t="n">
        <v>1</v>
      </c>
      <c r="B4543" s="1071" t="inlineStr">
        <is>
          <t>Serviço</t>
        </is>
      </c>
      <c r="C4543" s="1071" t="inlineStr">
        <is>
          <t>Pintura com tinta suviflez emborrachada, 2 demãos, parede externa</t>
        </is>
      </c>
      <c r="D4543" s="1071" t="inlineStr">
        <is>
          <t>Pintura com tinta suviflez emborrachada, 2 demãos, parede externa</t>
        </is>
      </c>
      <c r="E4543" s="1072" t="inlineStr">
        <is>
          <t>M2</t>
        </is>
      </c>
      <c r="F4543" s="1071" t="n"/>
      <c r="G4543" s="1073">
        <f t="array" ref="G4543">IF(B4543="insumo",_xlfn.XLOOKUP($D4543,Insumos!$B$1:$B$996,Insumos!$D$1:$D$996),"")</f>
        <v/>
      </c>
      <c r="H4543" s="1073" t="n">
        <v>3.3192</v>
      </c>
      <c r="I4543" s="2163" t="n">
        <v>0</v>
      </c>
      <c r="J4543" s="2163" t="n">
        <v>0</v>
      </c>
      <c r="K4543" s="2163" t="n"/>
    </row>
    <row r="4544" outlineLevel="3" ht="12.75" customHeight="1">
      <c r="A4544" s="82" t="n">
        <v>1</v>
      </c>
      <c r="B4544" s="82" t="inlineStr">
        <is>
          <t>Insumo</t>
        </is>
      </c>
      <c r="C4544" s="82" t="inlineStr">
        <is>
          <t>Pintura com tinta suviflez emborrachada, 2 demãos, parede externa</t>
        </is>
      </c>
      <c r="D4544" s="82" t="inlineStr">
        <is>
          <t>Impermeabilizante Suviflex 18 Litros Branco Suvinil</t>
        </is>
      </c>
      <c r="E4544" s="11">
        <f t="array" ref="E4544">_xlfn.XLOOKUP(D4544,Insumos!B:B,Insumos!C:$C)</f>
        <v/>
      </c>
      <c r="F4544" s="2164">
        <f>(18/250)*2</f>
        <v/>
      </c>
      <c r="G4544" s="92">
        <f t="array" ref="G4544">IF(B4544="insumo",_xlfn.XLOOKUP($D4544,Insumos!$B$1:$B$996,Insumos!$D$1:$D$996),"")</f>
        <v/>
      </c>
      <c r="H4544" s="92" t="n">
        <v>3.3192</v>
      </c>
      <c r="I4544" s="2165" t="n">
        <v>0</v>
      </c>
      <c r="J4544" s="2165" t="n">
        <v>0</v>
      </c>
      <c r="K4544" s="2165" t="n"/>
    </row>
    <row r="4545" outlineLevel="2" ht="12.75" customHeight="1">
      <c r="A4545" s="1071" t="n">
        <v>1</v>
      </c>
      <c r="B4545" s="1071" t="inlineStr">
        <is>
          <t>Serviço</t>
        </is>
      </c>
      <c r="C4545" s="1071" t="inlineStr">
        <is>
          <t>Pintura Com  Tinta Fosca em Paredes Externas, 1 Demaos</t>
        </is>
      </c>
      <c r="D4545" s="1071" t="inlineStr">
        <is>
          <t>Pintura Com  Tinta Fosca em Paredes Externas, 1 Demaos</t>
        </is>
      </c>
      <c r="E4545" s="1072" t="inlineStr">
        <is>
          <t>M2</t>
        </is>
      </c>
      <c r="F4545" s="1071" t="n"/>
      <c r="G4545" s="1073">
        <f t="array" ref="G4545">IF(B4545="insumo",_xlfn.XLOOKUP($D4545,Insumos!$B$1:$B$996,Insumos!$D$1:$D$996),"")</f>
        <v/>
      </c>
      <c r="H4545" s="1073" t="n">
        <v>5.3904347826087</v>
      </c>
      <c r="I4545" s="2163" t="n">
        <v>0</v>
      </c>
      <c r="J4545" s="2163" t="n">
        <v>0</v>
      </c>
      <c r="K4545" s="2163" t="n"/>
    </row>
    <row r="4546" outlineLevel="3" ht="12.75" customHeight="1">
      <c r="A4546" s="82" t="n">
        <v>2</v>
      </c>
      <c r="B4546" s="82" t="inlineStr">
        <is>
          <t>Insumo</t>
        </is>
      </c>
      <c r="C4546" s="82" t="inlineStr">
        <is>
          <t>Pintura Com  Tinta Fosca em Paredes Externas, 1 Demaos</t>
        </is>
      </c>
      <c r="D4546" s="82" t="inlineStr">
        <is>
          <t>Suvinil Toque Fosco Completo branco</t>
        </is>
      </c>
      <c r="E4546" s="11">
        <f t="array" ref="E4546">_xlfn.XLOOKUP(D4546,Insumos!B:B,Insumos!C:$C)</f>
        <v/>
      </c>
      <c r="F4546" s="2164">
        <f>18/115</f>
        <v/>
      </c>
      <c r="G4546" s="92">
        <f t="array" ref="G4546">IF(B4546="insumo",_xlfn.XLOOKUP($D4546,Insumos!$B$1:$B$996,Insumos!$D$1:$D$996),"")</f>
        <v/>
      </c>
      <c r="H4546" s="92" t="n">
        <v>5.3904347826087</v>
      </c>
      <c r="I4546" s="2165" t="n">
        <v>0</v>
      </c>
      <c r="J4546" s="2165" t="n">
        <v>0</v>
      </c>
      <c r="K4546" s="2165" t="n"/>
    </row>
    <row r="4547" outlineLevel="2" ht="12.75" customHeight="1">
      <c r="A4547" s="1071" t="n">
        <v>1</v>
      </c>
      <c r="B4547" s="1071" t="inlineStr">
        <is>
          <t>Serviço</t>
        </is>
      </c>
      <c r="C4547" s="1071" t="inlineStr">
        <is>
          <t>Massa texturizada pigmentada acrilica Granelli Manchester Mínimo, cor bege escuro, em Paredes Externas, 1 Demaos</t>
        </is>
      </c>
      <c r="D4547" s="1071" t="inlineStr">
        <is>
          <t>Massa texturizada pigmentada acrilica Granelli Manchester Mínimo, cor bege escuro, em Paredes Externas, 1 Demaos</t>
        </is>
      </c>
      <c r="E4547" s="1072" t="inlineStr">
        <is>
          <t>M2</t>
        </is>
      </c>
      <c r="F4547" s="1071" t="n"/>
      <c r="G4547" s="1073">
        <f t="array" ref="G4547">IF(B4547="insumo",_xlfn.XLOOKUP($D4547,Insumos!$B$1:$B$996,Insumos!$D$1:$D$996),"")</f>
        <v/>
      </c>
      <c r="H4547" s="1073" t="n">
        <v>44.2</v>
      </c>
      <c r="I4547" s="2163" t="n">
        <v>0</v>
      </c>
      <c r="J4547" s="2163" t="n">
        <v>0</v>
      </c>
      <c r="K4547" s="2163" t="n"/>
    </row>
    <row r="4548" outlineLevel="3" ht="12.75" customHeight="1">
      <c r="A4548" s="82" t="n">
        <v>1</v>
      </c>
      <c r="B4548" s="82" t="inlineStr">
        <is>
          <t>Insumo</t>
        </is>
      </c>
      <c r="C4548" s="82" t="inlineStr">
        <is>
          <t>Massa texturizada pigmentada acrilica Granelli Manchester Mínimo, cor bege escuro, em Paredes Externas, 1 Demaos</t>
        </is>
      </c>
      <c r="D4548" s="82" t="inlineStr">
        <is>
          <t>MASSA TEXTURIZADA ACRÍLICA IBRATIN PADRÃO GRANELLI 898A0R MANCHESTER MÍNIMO - BEGE ESCURO</t>
        </is>
      </c>
      <c r="E4548" s="11">
        <f t="array" ref="E4548">_xlfn.XLOOKUP(D4548,Insumos!B:B,Insumos!C:$C)</f>
        <v/>
      </c>
      <c r="F4548" s="2164" t="n">
        <v>1.7</v>
      </c>
      <c r="G4548" s="92">
        <f t="array" ref="G4548">IF(B4548="insumo",_xlfn.XLOOKUP($D4548,Insumos!$B$1:$B$996,Insumos!$D$1:$D$996),"")</f>
        <v/>
      </c>
      <c r="H4548" s="92" t="n">
        <v>44.2</v>
      </c>
      <c r="I4548" s="2165" t="n">
        <v>0</v>
      </c>
      <c r="J4548" s="2165" t="n">
        <v>0</v>
      </c>
      <c r="K4548" s="2165" t="n"/>
    </row>
    <row r="4549" outlineLevel="2" ht="12.75" customHeight="1">
      <c r="A4549" s="1071" t="n">
        <v>1</v>
      </c>
      <c r="B4549" s="1071" t="inlineStr">
        <is>
          <t>Serviço</t>
        </is>
      </c>
      <c r="C4549" s="1071" t="inlineStr">
        <is>
          <t>Massa texturizada pigmentada acrilica Granelli Manchester, cor marrom, Máximo em Paredes Externas, 1 Demaos</t>
        </is>
      </c>
      <c r="D4549" s="1071" t="inlineStr">
        <is>
          <t>Massa texturizada pigmentada acrilica Granelli Manchester, cor marrom, Máximo em Paredes Externas, 1 Demaos</t>
        </is>
      </c>
      <c r="E4549" s="1072" t="inlineStr">
        <is>
          <t>M2</t>
        </is>
      </c>
      <c r="F4549" s="1071" t="n"/>
      <c r="G4549" s="1073">
        <f t="array" ref="G4549">IF(B4549="insumo",_xlfn.XLOOKUP($D4549,Insumos!$B$1:$B$996,Insumos!$D$1:$D$996),"")</f>
        <v/>
      </c>
      <c r="H4549" s="1073" t="n">
        <v>48</v>
      </c>
      <c r="I4549" s="2163" t="n">
        <v>0</v>
      </c>
      <c r="J4549" s="2163" t="n">
        <v>0</v>
      </c>
      <c r="K4549" s="2163" t="n"/>
    </row>
    <row r="4550" outlineLevel="3" ht="12.75" customHeight="1">
      <c r="A4550" s="82" t="n">
        <v>1</v>
      </c>
      <c r="B4550" s="82" t="inlineStr">
        <is>
          <t>Insumo</t>
        </is>
      </c>
      <c r="C4550" s="82" t="inlineStr">
        <is>
          <t>Massa texturizada pigmentada acrilica Granelli Manchester, cor marrom, Máximo em Paredes Externas, 1 Demaos</t>
        </is>
      </c>
      <c r="D4550" s="82" t="inlineStr">
        <is>
          <t>MASSA TEXTURIZADA ACRÍLICA IBRATIN PADRÃO GRANELLI 898A0A MANCHESTER MÁXIMO - MARROM</t>
        </is>
      </c>
      <c r="E4550" s="11">
        <f t="array" ref="E4550">_xlfn.XLOOKUP(D4550,Insumos!B:B,Insumos!C:$C)</f>
        <v/>
      </c>
      <c r="F4550" s="2164" t="n">
        <v>1.6</v>
      </c>
      <c r="G4550" s="92">
        <f t="array" ref="G4550">IF(B4550="insumo",_xlfn.XLOOKUP($D4550,Insumos!$B$1:$B$996,Insumos!$D$1:$D$996),"")</f>
        <v/>
      </c>
      <c r="H4550" s="92" t="n">
        <v>48</v>
      </c>
      <c r="I4550" s="2165" t="n">
        <v>0</v>
      </c>
      <c r="J4550" s="2165" t="n">
        <v>0</v>
      </c>
      <c r="K4550" s="2165" t="n"/>
    </row>
    <row r="4551" outlineLevel="2" ht="12.75" customHeight="1">
      <c r="A4551" s="1071" t="n">
        <v>1</v>
      </c>
      <c r="B4551" s="1071" t="inlineStr">
        <is>
          <t>Serviço</t>
        </is>
      </c>
      <c r="C4551" s="1071" t="inlineStr">
        <is>
          <t>Massa texturizada pigmentada acrilica Granelli Manchester Claro, corbege claro, em Paredes Externas, 1 Demaos</t>
        </is>
      </c>
      <c r="D4551" s="1071" t="inlineStr">
        <is>
          <t>Massa texturizada pigmentada acrilica Granelli Manchester Claro, corbege claro, em Paredes Externas, 1 Demaos</t>
        </is>
      </c>
      <c r="E4551" s="1072" t="inlineStr">
        <is>
          <t>M2</t>
        </is>
      </c>
      <c r="F4551" s="1071" t="n"/>
      <c r="G4551" s="1073">
        <f t="array" ref="G4551">IF(B4551="insumo",_xlfn.XLOOKUP($D4551,Insumos!$B$1:$B$996,Insumos!$D$1:$D$996),"")</f>
        <v/>
      </c>
      <c r="H4551" s="1073" t="n">
        <v>40</v>
      </c>
      <c r="I4551" s="2163" t="n">
        <v>0</v>
      </c>
      <c r="J4551" s="2163" t="n">
        <v>0</v>
      </c>
      <c r="K4551" s="2163" t="n"/>
    </row>
    <row r="4552" outlineLevel="3" ht="12.75" customHeight="1">
      <c r="A4552" s="82" t="n">
        <v>1</v>
      </c>
      <c r="B4552" s="82" t="inlineStr">
        <is>
          <t>Insumo</t>
        </is>
      </c>
      <c r="C4552" s="82" t="inlineStr">
        <is>
          <t>Massa texturizada pigmentada acrilica Granelli Manchester Claro, corbege claro, em Paredes Externas, 1 Demaos</t>
        </is>
      </c>
      <c r="D4552" s="82" t="inlineStr">
        <is>
          <t xml:space="preserve"> MASSA TEXTURIZADA ACRÍLICA IBRATIN PADRÃO GRANELLI 898A0L MANCHESTER CLARO - BEGE CLARO</t>
        </is>
      </c>
      <c r="E4552" s="11">
        <f t="array" ref="E4552">_xlfn.XLOOKUP(D4552,Insumos!B:B,Insumos!C:$C)</f>
        <v/>
      </c>
      <c r="F4552" s="2164" t="n">
        <v>1.6</v>
      </c>
      <c r="G4552" s="92">
        <f t="array" ref="G4552">IF(B4552="insumo",_xlfn.XLOOKUP($D4552,Insumos!$B$1:$B$996,Insumos!$D$1:$D$996),"")</f>
        <v/>
      </c>
      <c r="H4552" s="92" t="n">
        <v>40</v>
      </c>
      <c r="I4552" s="2165" t="n">
        <v>0</v>
      </c>
      <c r="J4552" s="2165" t="n">
        <v>0</v>
      </c>
      <c r="K4552" s="2165" t="n"/>
    </row>
    <row r="4553" outlineLevel="2" ht="12.75" customHeight="1">
      <c r="A4553" s="1071" t="n">
        <v>1</v>
      </c>
      <c r="B4553" s="1071" t="inlineStr">
        <is>
          <t>Serviço</t>
        </is>
      </c>
      <c r="C4553" s="1071" t="inlineStr">
        <is>
          <t>Pintura com tinta acetinada, 1 demãos, parede externa</t>
        </is>
      </c>
      <c r="D4553" s="1071" t="inlineStr">
        <is>
          <t>Pintura com tinta acetinada, 1 demãos, parede externa</t>
        </is>
      </c>
      <c r="E4553" s="1072" t="inlineStr">
        <is>
          <t>M2</t>
        </is>
      </c>
      <c r="F4553" s="1071" t="n"/>
      <c r="G4553" s="1073">
        <f t="array" ref="G4553">IF(B4553="insumo",_xlfn.XLOOKUP($D4553,Insumos!$B$1:$B$996,Insumos!$D$1:$D$996),"")</f>
        <v/>
      </c>
      <c r="H4553" s="1073" t="n">
        <v>6.69478260869565</v>
      </c>
      <c r="I4553" s="2163" t="n">
        <v>0</v>
      </c>
      <c r="J4553" s="2163" t="n">
        <v>0</v>
      </c>
      <c r="K4553" s="2163" t="n"/>
    </row>
    <row r="4554" outlineLevel="3" ht="12.75" customHeight="1">
      <c r="A4554" s="82" t="n">
        <v>2</v>
      </c>
      <c r="B4554" s="82" t="inlineStr">
        <is>
          <t>Insumo</t>
        </is>
      </c>
      <c r="C4554" s="82" t="inlineStr">
        <is>
          <t>Pintura com tinta acetinada, 1 demãos, parede externa</t>
        </is>
      </c>
      <c r="D4554" s="82" t="inlineStr">
        <is>
          <t>Tinta ACRÍLICO TOQUE DE SEDA ACETINADO</t>
        </is>
      </c>
      <c r="E4554" s="11">
        <f t="array" ref="E4554">_xlfn.XLOOKUP(D4554,Insumos!B:B,Insumos!C:$C)</f>
        <v/>
      </c>
      <c r="F4554" s="2164">
        <f>18/115</f>
        <v/>
      </c>
      <c r="G4554" s="92">
        <f t="array" ref="G4554">IF(B4554="insumo",_xlfn.XLOOKUP($D4554,Insumos!$B$1:$B$996,Insumos!$D$1:$D$996),"")</f>
        <v/>
      </c>
      <c r="H4554" s="92" t="n">
        <v>6.69478260869565</v>
      </c>
      <c r="I4554" s="2165" t="n">
        <v>0</v>
      </c>
      <c r="J4554" s="2165" t="n">
        <v>0</v>
      </c>
      <c r="K4554" s="2165" t="n"/>
    </row>
    <row r="4555" outlineLevel="2" ht="12.75" customHeight="1">
      <c r="A4555" s="1071" t="n">
        <v>1</v>
      </c>
      <c r="B4555" s="1071" t="inlineStr">
        <is>
          <t>Serviço</t>
        </is>
      </c>
      <c r="C4555" s="1071" t="inlineStr">
        <is>
          <t>Pintura Com Tinta Latex Acrilica em Paredes Externas, 3 Demaos (Incluso fundo e massa) - Branco</t>
        </is>
      </c>
      <c r="D4555" s="1071" t="inlineStr">
        <is>
          <t>Pintura Com Tinta Latex Acrilica em Paredes Externas, 3 Demaos (Incluso fundo e massa) - Branco</t>
        </is>
      </c>
      <c r="E4555" s="1072" t="inlineStr">
        <is>
          <t>M2</t>
        </is>
      </c>
      <c r="F4555" s="1071" t="n"/>
      <c r="G4555" s="1073">
        <f t="array" ref="G4555">IF(B4555="insumo",_xlfn.XLOOKUP($D4555,Insumos!$B$1:$B$996,Insumos!$D$1:$D$996),"")</f>
        <v/>
      </c>
      <c r="H4555" s="1073" t="n">
        <v>16.341812</v>
      </c>
      <c r="I4555" s="2163" t="n">
        <v>0</v>
      </c>
      <c r="J4555" s="2163" t="n">
        <v>0</v>
      </c>
      <c r="K4555" s="2163" t="n"/>
    </row>
    <row r="4556" outlineLevel="3" ht="12.75" customHeight="1">
      <c r="A4556" s="82" t="n">
        <v>36</v>
      </c>
      <c r="B4556" s="82" t="inlineStr">
        <is>
          <t>Insumo</t>
        </is>
      </c>
      <c r="C4556" s="82" t="inlineStr">
        <is>
          <t>Pintura Com Tinta Latex Acrilica em Paredes Externas, 3 Demaos (Incluso fundo e massa) - Branco</t>
        </is>
      </c>
      <c r="D4556" s="82" t="inlineStr">
        <is>
          <t>LIXA DAGUA 225X275MM GR100</t>
        </is>
      </c>
      <c r="E4556" s="11">
        <f t="array" ref="E4556">_xlfn.XLOOKUP(D4556,Insumos!B:B,Insumos!C:$C)</f>
        <v/>
      </c>
      <c r="F4556" s="2164" t="n">
        <v>0.1</v>
      </c>
      <c r="G4556" s="92">
        <f t="array" ref="G4556">IF(B4556="insumo",_xlfn.XLOOKUP($D4556,Insumos!$B$1:$B$996,Insumos!$D$1:$D$996),"")</f>
        <v/>
      </c>
      <c r="H4556" s="92" t="n">
        <v>0.189</v>
      </c>
      <c r="I4556" s="2165" t="n">
        <v>0</v>
      </c>
      <c r="J4556" s="2165" t="n">
        <v>0</v>
      </c>
      <c r="K4556" s="2165" t="n"/>
    </row>
    <row r="4557" outlineLevel="3" ht="12.75" customHeight="1">
      <c r="A4557" s="82" t="n">
        <v>21</v>
      </c>
      <c r="B4557" s="82" t="inlineStr">
        <is>
          <t>Insumo</t>
        </is>
      </c>
      <c r="C4557" s="82" t="inlineStr">
        <is>
          <t>Pintura Com Tinta Latex Acrilica em Paredes Externas, 3 Demaos (Incluso fundo e massa) - Branco</t>
        </is>
      </c>
      <c r="D4557" s="82" t="inlineStr">
        <is>
          <t>Massa corrida para superfícies de ambientes internos</t>
        </is>
      </c>
      <c r="E4557" s="11">
        <f t="array" ref="E4557">_xlfn.XLOOKUP(D4557,Insumos!B:B,Insumos!C:$C)</f>
        <v/>
      </c>
      <c r="F4557" s="2164" t="n">
        <v>0.8667</v>
      </c>
      <c r="G4557" s="92">
        <f t="array" ref="G4557">IF(B4557="insumo",_xlfn.XLOOKUP($D4557,Insumos!$B$1:$B$996,Insumos!$D$1:$D$996),"")</f>
        <v/>
      </c>
      <c r="H4557" s="92" t="n">
        <v>4.16016</v>
      </c>
      <c r="I4557" s="2165" t="n">
        <v>0</v>
      </c>
      <c r="J4557" s="2165" t="n">
        <v>0</v>
      </c>
      <c r="K4557" s="2165" t="n"/>
    </row>
    <row r="4558" outlineLevel="3" ht="12.75" customHeight="1">
      <c r="A4558" s="82" t="n">
        <v>31</v>
      </c>
      <c r="B4558" s="82" t="inlineStr">
        <is>
          <t>Insumo</t>
        </is>
      </c>
      <c r="C4558" s="82" t="inlineStr">
        <is>
          <t>Pintura Com Tinta Latex Acrilica em Paredes Externas, 3 Demaos (Incluso fundo e massa) - Branco</t>
        </is>
      </c>
      <c r="D4558" s="82" t="inlineStr">
        <is>
          <t>Selador acrilico opaco premium interno/externo</t>
        </is>
      </c>
      <c r="E4558" s="11">
        <f t="array" ref="E4558">_xlfn.XLOOKUP(D4558,Insumos!B:B,Insumos!C:$C)</f>
        <v/>
      </c>
      <c r="F4558" s="2164" t="n">
        <v>0.1666</v>
      </c>
      <c r="G4558" s="92">
        <f t="array" ref="G4558">IF(B4558="insumo",_xlfn.XLOOKUP($D4558,Insumos!$B$1:$B$996,Insumos!$D$1:$D$996),"")</f>
        <v/>
      </c>
      <c r="H4558" s="92" t="n">
        <v>1.077902</v>
      </c>
      <c r="I4558" s="2165" t="n">
        <v>0</v>
      </c>
      <c r="J4558" s="2165" t="n">
        <v>0</v>
      </c>
      <c r="K4558" s="2165" t="n"/>
    </row>
    <row r="4559" outlineLevel="3" ht="12.75" customHeight="1">
      <c r="A4559" s="82" t="n">
        <v>2</v>
      </c>
      <c r="B4559" s="82" t="inlineStr">
        <is>
          <t>Insumo</t>
        </is>
      </c>
      <c r="C4559" s="82" t="inlineStr">
        <is>
          <t>Pintura Com Tinta Latex Acrilica em Paredes Externas, 3 Demaos (Incluso fundo e massa) - Branco</t>
        </is>
      </c>
      <c r="D4559" s="82" t="inlineStr">
        <is>
          <t>TINTA ACRILICA PREMIUM COR BRANCO NEVE</t>
        </is>
      </c>
      <c r="E4559" s="11">
        <f t="array" ref="E4559">_xlfn.XLOOKUP(D4559,Insumos!B:B,Insumos!C:$C)</f>
        <v/>
      </c>
      <c r="F4559" s="2164" t="n">
        <v>0.495</v>
      </c>
      <c r="G4559" s="92">
        <f t="array" ref="G4559">IF(B4559="insumo",_xlfn.XLOOKUP($D4559,Insumos!$B$1:$B$996,Insumos!$D$1:$D$996),"")</f>
        <v/>
      </c>
      <c r="H4559" s="92" t="n">
        <v>10.91475</v>
      </c>
      <c r="I4559" s="2165" t="n">
        <v>0</v>
      </c>
      <c r="J4559" s="2165" t="n">
        <v>0</v>
      </c>
      <c r="K4559" s="2165" t="n"/>
    </row>
    <row r="4560" outlineLevel="2" ht="12.75" customHeight="1">
      <c r="A4560" s="1071" t="n">
        <v>1</v>
      </c>
      <c r="B4560" s="1071" t="inlineStr">
        <is>
          <t>Serviço</t>
        </is>
      </c>
      <c r="C4560" s="1071" t="inlineStr">
        <is>
          <t>Pintura Com Tinta Latex Acrilica em Paredes Externas, 3 Demaos (Incluso fundo e massa) - Charcoal</t>
        </is>
      </c>
      <c r="D4560" s="1071" t="inlineStr">
        <is>
          <t>Pintura Com Tinta Latex Acrilica em Paredes Externas, 3 Demaos (Incluso fundo e massa) - Charcoal</t>
        </is>
      </c>
      <c r="E4560" s="1072" t="inlineStr">
        <is>
          <t>M2</t>
        </is>
      </c>
      <c r="F4560" s="1071" t="n"/>
      <c r="G4560" s="1073">
        <f t="array" ref="G4560">IF(B4560="insumo",_xlfn.XLOOKUP($D4560,Insumos!$B$1:$B$996,Insumos!$D$1:$D$996),"")</f>
        <v/>
      </c>
      <c r="H4560" s="1073" t="n">
        <v>32.652062</v>
      </c>
      <c r="I4560" s="2163" t="n">
        <v>0</v>
      </c>
      <c r="J4560" s="2163" t="n">
        <v>0</v>
      </c>
      <c r="K4560" s="2163" t="n"/>
    </row>
    <row r="4561" outlineLevel="3" ht="12.75" customHeight="1">
      <c r="A4561" s="82" t="n">
        <v>36</v>
      </c>
      <c r="B4561" s="82" t="inlineStr">
        <is>
          <t>Insumo</t>
        </is>
      </c>
      <c r="C4561" s="82" t="inlineStr">
        <is>
          <t>Pintura Com Tinta Latex Acrilica em Paredes Externas, 3 Demaos (Incluso fundo e massa) - Charcoal</t>
        </is>
      </c>
      <c r="D4561" s="82" t="inlineStr">
        <is>
          <t>LIXA DAGUA 225X275MM GR100</t>
        </is>
      </c>
      <c r="E4561" s="11">
        <f t="array" ref="E4561">_xlfn.XLOOKUP(D4561,Insumos!B:B,Insumos!C:$C)</f>
        <v/>
      </c>
      <c r="F4561" s="2164" t="n">
        <v>0.1</v>
      </c>
      <c r="G4561" s="92">
        <f t="array" ref="G4561">IF(B4561="insumo",_xlfn.XLOOKUP($D4561,Insumos!$B$1:$B$996,Insumos!$D$1:$D$996),"")</f>
        <v/>
      </c>
      <c r="H4561" s="92" t="n">
        <v>0.189</v>
      </c>
      <c r="I4561" s="2165" t="n">
        <v>0</v>
      </c>
      <c r="J4561" s="2165" t="n">
        <v>0</v>
      </c>
      <c r="K4561" s="2165" t="n"/>
    </row>
    <row r="4562" outlineLevel="3" ht="12.75" customHeight="1">
      <c r="A4562" s="82" t="n">
        <v>21</v>
      </c>
      <c r="B4562" s="82" t="inlineStr">
        <is>
          <t>Insumo</t>
        </is>
      </c>
      <c r="C4562" s="82" t="inlineStr">
        <is>
          <t>Pintura Com Tinta Latex Acrilica em Paredes Externas, 3 Demaos (Incluso fundo e massa) - Charcoal</t>
        </is>
      </c>
      <c r="D4562" s="82" t="inlineStr">
        <is>
          <t>Massa corrida para superfícies de ambientes internos</t>
        </is>
      </c>
      <c r="E4562" s="11">
        <f t="array" ref="E4562">_xlfn.XLOOKUP(D4562,Insumos!B:B,Insumos!C:$C)</f>
        <v/>
      </c>
      <c r="F4562" s="2164" t="n">
        <v>0.8667</v>
      </c>
      <c r="G4562" s="92">
        <f t="array" ref="G4562">IF(B4562="insumo",_xlfn.XLOOKUP($D4562,Insumos!$B$1:$B$996,Insumos!$D$1:$D$996),"")</f>
        <v/>
      </c>
      <c r="H4562" s="92" t="n">
        <v>4.16016</v>
      </c>
      <c r="I4562" s="2165" t="n">
        <v>0</v>
      </c>
      <c r="J4562" s="2165" t="n">
        <v>0</v>
      </c>
      <c r="K4562" s="2165" t="n"/>
    </row>
    <row r="4563" outlineLevel="3" ht="12.75" customHeight="1">
      <c r="A4563" s="82" t="n">
        <v>31</v>
      </c>
      <c r="B4563" s="82" t="inlineStr">
        <is>
          <t>Insumo</t>
        </is>
      </c>
      <c r="C4563" s="82" t="inlineStr">
        <is>
          <t>Pintura Com Tinta Latex Acrilica em Paredes Externas, 3 Demaos (Incluso fundo e massa) - Charcoal</t>
        </is>
      </c>
      <c r="D4563" s="82" t="inlineStr">
        <is>
          <t>Selador acrilico opaco premium interno/externo</t>
        </is>
      </c>
      <c r="E4563" s="11">
        <f t="array" ref="E4563">_xlfn.XLOOKUP(D4563,Insumos!B:B,Insumos!C:$C)</f>
        <v/>
      </c>
      <c r="F4563" s="2164" t="n">
        <v>0.1666</v>
      </c>
      <c r="G4563" s="92">
        <f t="array" ref="G4563">IF(B4563="insumo",_xlfn.XLOOKUP($D4563,Insumos!$B$1:$B$996,Insumos!$D$1:$D$996),"")</f>
        <v/>
      </c>
      <c r="H4563" s="92" t="n">
        <v>1.077902</v>
      </c>
      <c r="I4563" s="2165" t="n">
        <v>0</v>
      </c>
      <c r="J4563" s="2165" t="n">
        <v>0</v>
      </c>
      <c r="K4563" s="2165" t="n"/>
    </row>
    <row r="4564" outlineLevel="3" ht="12.75" customHeight="1">
      <c r="A4564" s="82" t="n">
        <v>1</v>
      </c>
      <c r="B4564" s="82" t="inlineStr">
        <is>
          <t>Insumo</t>
        </is>
      </c>
      <c r="C4564" s="82" t="inlineStr">
        <is>
          <t>Pintura Com Tinta Latex Acrilica em Paredes Externas, 3 Demaos (Incluso fundo e massa) - Charcoal</t>
        </is>
      </c>
      <c r="D4564" s="82" t="inlineStr">
        <is>
          <t>TINTA ACRILICA PREMIUM COR CHARCOAL</t>
        </is>
      </c>
      <c r="E4564" s="11">
        <f t="array" ref="E4564">_xlfn.XLOOKUP(D4564,Insumos!B:B,Insumos!C:$C)</f>
        <v/>
      </c>
      <c r="F4564" s="2164" t="n">
        <v>0.495</v>
      </c>
      <c r="G4564" s="92">
        <f t="array" ref="G4564">IF(B4564="insumo",_xlfn.XLOOKUP($D4564,Insumos!$B$1:$B$996,Insumos!$D$1:$D$996),"")</f>
        <v/>
      </c>
      <c r="H4564" s="92" t="n">
        <v>27.225</v>
      </c>
      <c r="I4564" s="2165" t="n">
        <v>0</v>
      </c>
      <c r="J4564" s="2165" t="n">
        <v>0</v>
      </c>
      <c r="K4564" s="2165" t="n"/>
    </row>
    <row r="4565" outlineLevel="2" ht="12.75" customHeight="1">
      <c r="A4565" s="1071" t="n">
        <v>1</v>
      </c>
      <c r="B4565" s="1071" t="inlineStr">
        <is>
          <t>Serviço</t>
        </is>
      </c>
      <c r="C4565" s="1071" t="inlineStr">
        <is>
          <t>Pintura Com Tinta Latex Acrilica em Paredes Externas, 3 Demaos (Incluso fundo e massa) - Empena de concreto</t>
        </is>
      </c>
      <c r="D4565" s="1071" t="inlineStr">
        <is>
          <t>Pintura Com Tinta Latex Acrilica em Paredes Externas, 3 Demaos (Incluso fundo e massa) - Empena de concreto</t>
        </is>
      </c>
      <c r="E4565" s="1072" t="inlineStr">
        <is>
          <t>M2</t>
        </is>
      </c>
      <c r="F4565" s="1071" t="n"/>
      <c r="G4565" s="1073">
        <f t="array" ref="G4565">IF(B4565="insumo",_xlfn.XLOOKUP($D4565,Insumos!$B$1:$B$996,Insumos!$D$1:$D$996),"")</f>
        <v/>
      </c>
      <c r="H4565" s="1073" t="n">
        <v>30.177062</v>
      </c>
      <c r="I4565" s="2163" t="n">
        <v>0</v>
      </c>
      <c r="J4565" s="2163" t="n">
        <v>0</v>
      </c>
      <c r="K4565" s="2163" t="n"/>
    </row>
    <row r="4566" outlineLevel="3" ht="12.75" customHeight="1">
      <c r="A4566" s="82" t="n">
        <v>36</v>
      </c>
      <c r="B4566" s="82" t="inlineStr">
        <is>
          <t>Insumo</t>
        </is>
      </c>
      <c r="C4566" s="82" t="inlineStr">
        <is>
          <t>Pintura Com Tinta Latex Acrilica em Paredes Externas, 3 Demaos (Incluso fundo e massa) - Empena de concreto</t>
        </is>
      </c>
      <c r="D4566" s="82" t="inlineStr">
        <is>
          <t>LIXA DAGUA 225X275MM GR100</t>
        </is>
      </c>
      <c r="E4566" s="11">
        <f t="array" ref="E4566">_xlfn.XLOOKUP(D4566,Insumos!B:B,Insumos!C:$C)</f>
        <v/>
      </c>
      <c r="F4566" s="2164" t="n">
        <v>0.1</v>
      </c>
      <c r="G4566" s="92">
        <f t="array" ref="G4566">IF(B4566="insumo",_xlfn.XLOOKUP($D4566,Insumos!$B$1:$B$996,Insumos!$D$1:$D$996),"")</f>
        <v/>
      </c>
      <c r="H4566" s="92" t="n">
        <v>0.189</v>
      </c>
      <c r="I4566" s="2165" t="n">
        <v>0</v>
      </c>
      <c r="J4566" s="2165" t="n">
        <v>0</v>
      </c>
      <c r="K4566" s="2165" t="n"/>
    </row>
    <row r="4567" outlineLevel="3" ht="12.75" customHeight="1">
      <c r="A4567" s="82" t="n">
        <v>21</v>
      </c>
      <c r="B4567" s="82" t="inlineStr">
        <is>
          <t>Insumo</t>
        </is>
      </c>
      <c r="C4567" s="82" t="inlineStr">
        <is>
          <t>Pintura Com Tinta Latex Acrilica em Paredes Externas, 3 Demaos (Incluso fundo e massa) - Empena de concreto</t>
        </is>
      </c>
      <c r="D4567" s="82" t="inlineStr">
        <is>
          <t>Massa corrida para superfícies de ambientes internos</t>
        </is>
      </c>
      <c r="E4567" s="11">
        <f t="array" ref="E4567">_xlfn.XLOOKUP(D4567,Insumos!B:B,Insumos!C:$C)</f>
        <v/>
      </c>
      <c r="F4567" s="2164" t="n">
        <v>0.8667</v>
      </c>
      <c r="G4567" s="92">
        <f t="array" ref="G4567">IF(B4567="insumo",_xlfn.XLOOKUP($D4567,Insumos!$B$1:$B$996,Insumos!$D$1:$D$996),"")</f>
        <v/>
      </c>
      <c r="H4567" s="92" t="n">
        <v>4.16016</v>
      </c>
      <c r="I4567" s="2165" t="n">
        <v>0</v>
      </c>
      <c r="J4567" s="2165" t="n">
        <v>0</v>
      </c>
      <c r="K4567" s="2165" t="n"/>
    </row>
    <row r="4568" outlineLevel="3" ht="12.75" customHeight="1">
      <c r="A4568" s="82" t="n">
        <v>31</v>
      </c>
      <c r="B4568" s="82" t="inlineStr">
        <is>
          <t>Insumo</t>
        </is>
      </c>
      <c r="C4568" s="82" t="inlineStr">
        <is>
          <t>Pintura Com Tinta Latex Acrilica em Paredes Externas, 3 Demaos (Incluso fundo e massa) - Empena de concreto</t>
        </is>
      </c>
      <c r="D4568" s="82" t="inlineStr">
        <is>
          <t>Selador acrilico opaco premium interno/externo</t>
        </is>
      </c>
      <c r="E4568" s="11">
        <f t="array" ref="E4568">_xlfn.XLOOKUP(D4568,Insumos!B:B,Insumos!C:$C)</f>
        <v/>
      </c>
      <c r="F4568" s="2164" t="n">
        <v>0.1666</v>
      </c>
      <c r="G4568" s="92">
        <f t="array" ref="G4568">IF(B4568="insumo",_xlfn.XLOOKUP($D4568,Insumos!$B$1:$B$996,Insumos!$D$1:$D$996),"")</f>
        <v/>
      </c>
      <c r="H4568" s="92" t="n">
        <v>1.077902</v>
      </c>
      <c r="I4568" s="2165" t="n">
        <v>0</v>
      </c>
      <c r="J4568" s="2165" t="n">
        <v>0</v>
      </c>
      <c r="K4568" s="2165" t="n"/>
    </row>
    <row r="4569" outlineLevel="3" ht="12.75" customHeight="1">
      <c r="A4569" s="82" t="n">
        <v>1</v>
      </c>
      <c r="B4569" s="82" t="inlineStr">
        <is>
          <t>Insumo</t>
        </is>
      </c>
      <c r="C4569" s="82" t="inlineStr">
        <is>
          <t>Pintura Com Tinta Latex Acrilica em Paredes Externas, 3 Demaos (Incluso fundo e massa) - Empena de concreto</t>
        </is>
      </c>
      <c r="D4569" s="82" t="inlineStr">
        <is>
          <t>TINTA ACRILICA PREMIUM COR DESEMPENA DE CONCRETO</t>
        </is>
      </c>
      <c r="E4569" s="11">
        <f t="array" ref="E4569">_xlfn.XLOOKUP(D4569,Insumos!B:B,Insumos!C:$C)</f>
        <v/>
      </c>
      <c r="F4569" s="2164" t="n">
        <v>0.495</v>
      </c>
      <c r="G4569" s="92">
        <f t="array" ref="G4569">IF(B4569="insumo",_xlfn.XLOOKUP($D4569,Insumos!$B$1:$B$996,Insumos!$D$1:$D$996),"")</f>
        <v/>
      </c>
      <c r="H4569" s="92" t="n">
        <v>24.75</v>
      </c>
      <c r="I4569" s="2165" t="n">
        <v>0</v>
      </c>
      <c r="J4569" s="2165" t="n">
        <v>0</v>
      </c>
      <c r="K4569" s="2165" t="n"/>
    </row>
    <row r="4570" outlineLevel="2" ht="12.75" customHeight="1">
      <c r="A4570" s="1071" t="n">
        <v>1</v>
      </c>
      <c r="B4570" s="1071" t="inlineStr">
        <is>
          <t>Serviço</t>
        </is>
      </c>
      <c r="C4570" s="1071" t="inlineStr">
        <is>
          <t>Textura acrílica, acabamento suave, aplicação em paredes externas - 1 demão - Cinza escuro</t>
        </is>
      </c>
      <c r="D4570" s="1071" t="inlineStr">
        <is>
          <t>Textura acrílica, acabamento suave, aplicação em paredes externas - 1 demão - Cinza escuro</t>
        </is>
      </c>
      <c r="E4570" s="1072" t="inlineStr">
        <is>
          <t>M2</t>
        </is>
      </c>
      <c r="F4570" s="1071" t="n"/>
      <c r="G4570" s="1073">
        <f t="array" ref="G4570">IF(B4570="insumo",_xlfn.XLOOKUP($D4570,Insumos!$B$1:$B$996,Insumos!$D$1:$D$996),"")</f>
        <v/>
      </c>
      <c r="H4570" s="1073" t="n">
        <v>211.758555555556</v>
      </c>
      <c r="I4570" s="2163" t="n">
        <v>0</v>
      </c>
      <c r="J4570" s="2163" t="n">
        <v>0</v>
      </c>
      <c r="K4570" s="2163" t="n"/>
    </row>
    <row r="4571" outlineLevel="3" ht="12.75" customHeight="1">
      <c r="A4571" s="82" t="n">
        <v>2</v>
      </c>
      <c r="B4571" s="82" t="inlineStr">
        <is>
          <t>Insumo</t>
        </is>
      </c>
      <c r="C4571" s="82" t="inlineStr">
        <is>
          <t>Textura acrílica, acabamento suave, aplicação em paredes externas - 1 demão - Cinza escuro</t>
        </is>
      </c>
      <c r="D4571" s="82" t="inlineStr">
        <is>
          <t>Textura acrilica Cinza escura - Sto Brasil</t>
        </is>
      </c>
      <c r="E4571" s="11">
        <f t="array" ref="E4571">_xlfn.XLOOKUP(D4571,Insumos!B:B,Insumos!C:$C)</f>
        <v/>
      </c>
      <c r="F4571" s="2164" t="n">
        <v>1.5</v>
      </c>
      <c r="G4571" s="92">
        <f t="array" ref="G4571">IF(B4571="insumo",_xlfn.XLOOKUP($D4571,Insumos!$B$1:$B$996,Insumos!$D$1:$D$996),"")</f>
        <v/>
      </c>
      <c r="H4571" s="92" t="n">
        <v>210</v>
      </c>
      <c r="I4571" s="2165" t="n">
        <v>0</v>
      </c>
      <c r="J4571" s="2165" t="n">
        <v>0</v>
      </c>
      <c r="K4571" s="2165" t="n"/>
    </row>
    <row r="4572" outlineLevel="3" ht="12.75" customHeight="1">
      <c r="A4572" s="82" t="n">
        <v>19</v>
      </c>
      <c r="B4572" s="82" t="inlineStr">
        <is>
          <t>Insumo</t>
        </is>
      </c>
      <c r="C4572" s="82" t="inlineStr">
        <is>
          <t>Textura acrílica, acabamento suave, aplicação em paredes externas - 1 demão - Cinza escuro</t>
        </is>
      </c>
      <c r="D4572" s="82" t="inlineStr">
        <is>
          <t>Selador Primer Ibratin - 4,2kg - 3,6L</t>
        </is>
      </c>
      <c r="E4572" s="11">
        <f t="array" ref="E4572">_xlfn.XLOOKUP(D4572,Insumos!B:B,Insumos!C:$C)</f>
        <v/>
      </c>
      <c r="F4572" s="2164" t="n">
        <v>0.1666</v>
      </c>
      <c r="G4572" s="92">
        <f t="array" ref="G4572">IF(B4572="insumo",_xlfn.XLOOKUP($D4572,Insumos!$B$1:$B$996,Insumos!$D$1:$D$996),"")</f>
        <v/>
      </c>
      <c r="H4572" s="92" t="n">
        <v>1.75855555555556</v>
      </c>
      <c r="I4572" s="2165" t="n">
        <v>0</v>
      </c>
      <c r="J4572" s="2165" t="n">
        <v>0</v>
      </c>
      <c r="K4572" s="2165" t="n"/>
    </row>
    <row r="4573" outlineLevel="1" ht="15.75" customHeight="1">
      <c r="A4573" s="1090" t="n">
        <v>1</v>
      </c>
      <c r="B4573" s="1090" t="inlineStr">
        <is>
          <t>Subetapa</t>
        </is>
      </c>
      <c r="C4573" s="1090" t="inlineStr">
        <is>
          <t>Textura acrílica, acabamento suave, aplicação em paredes externas - 1 demão - Cinza escuro</t>
        </is>
      </c>
      <c r="D4573" s="1090" t="inlineStr">
        <is>
          <t>ACABAMENTOS ESPECIAIS</t>
        </is>
      </c>
      <c r="E4573" s="1091" t="n"/>
      <c r="F4573" s="2160" t="n"/>
      <c r="G4573" s="1091" t="n"/>
      <c r="H4573" s="1091" t="n">
        <v>0</v>
      </c>
      <c r="I4573" s="2160" t="n">
        <v>0</v>
      </c>
      <c r="J4573" s="2160" t="n">
        <v>0</v>
      </c>
      <c r="K4573" s="2160" t="n"/>
    </row>
    <row r="4574" outlineLevel="2" ht="15.75" customHeight="1">
      <c r="A4574" s="1067" t="n">
        <v>1</v>
      </c>
      <c r="B4574" s="1067" t="inlineStr">
        <is>
          <t>Serviço</t>
        </is>
      </c>
      <c r="C4574" s="1067" t="inlineStr">
        <is>
          <t>Acabamento em ACM para Fachadas - Material e mão de obra</t>
        </is>
      </c>
      <c r="D4574" s="1067" t="inlineStr">
        <is>
          <t>Acabamento em ACM para Fachadas - Material e mão de obra</t>
        </is>
      </c>
      <c r="E4574" s="1068" t="inlineStr">
        <is>
          <t>M2</t>
        </is>
      </c>
      <c r="F4574" s="1067" t="n"/>
      <c r="G4574" s="1069">
        <f t="array" ref="G4574">IF(B4574="insumo",_xlfn.XLOOKUP($D4574,Insumos!$B$1:$B$996,Insumos!$D$1:$D$996),"")</f>
        <v/>
      </c>
      <c r="H4574" s="1069" t="n">
        <v>1200</v>
      </c>
      <c r="I4574" s="2161" t="n">
        <v>0</v>
      </c>
      <c r="J4574" s="2161" t="n">
        <v>0</v>
      </c>
      <c r="K4574" s="2161" t="n"/>
    </row>
    <row r="4575" outlineLevel="3" ht="15.75" customHeight="1">
      <c r="A4575" s="10" t="n">
        <v>4</v>
      </c>
      <c r="B4575" s="10" t="inlineStr">
        <is>
          <t>Insumo</t>
        </is>
      </c>
      <c r="C4575" s="10" t="inlineStr">
        <is>
          <t>Acabamento em ACM para Fachadas - Material e mão de obra</t>
        </is>
      </c>
      <c r="D4575" s="10" t="inlineStr">
        <is>
          <t>Acabamento em ACM para Fachadas - Material e mão de obra</t>
        </is>
      </c>
      <c r="E4575" s="11">
        <f t="array" ref="E4575">_xlfn.XLOOKUP(D4575,Insumos!B:B,Insumos!C:$C)</f>
        <v/>
      </c>
      <c r="F4575" s="14" t="n">
        <v>1</v>
      </c>
      <c r="G4575" s="92">
        <f t="array" ref="G4575">IF(B4575="insumo",_xlfn.XLOOKUP($D4575,Insumos!$B$1:$B$996,Insumos!$D$1:$D$996),"")</f>
        <v/>
      </c>
      <c r="H4575" s="92" t="n">
        <v>1200</v>
      </c>
      <c r="I4575" s="2162" t="n">
        <v>0</v>
      </c>
      <c r="J4575" s="2162" t="n">
        <v>0</v>
      </c>
      <c r="K4575" s="2162" t="n"/>
    </row>
    <row r="4576" outlineLevel="2" ht="15.75" customHeight="1">
      <c r="A4576" s="1067" t="n">
        <v>1</v>
      </c>
      <c r="B4576" s="1067" t="inlineStr">
        <is>
          <t>Serviço</t>
        </is>
      </c>
      <c r="C4576" s="1067" t="inlineStr">
        <is>
          <t>Revestimento em ACM, cor bronze, aplicação em Fachada - Material e  Mão de Obra</t>
        </is>
      </c>
      <c r="D4576" s="1067" t="inlineStr">
        <is>
          <t>Revestimento em ACM, cor bronze, aplicação em Fachada - Material e  Mão de Obra</t>
        </is>
      </c>
      <c r="E4576" s="1068" t="inlineStr">
        <is>
          <t>M2</t>
        </is>
      </c>
      <c r="F4576" s="1067" t="n"/>
      <c r="G4576" s="1069">
        <f t="array" ref="G4576">IF(B4576="insumo",_xlfn.XLOOKUP($D4576,Insumos!$B$1:$B$996,Insumos!$D$1:$D$996),"")</f>
        <v/>
      </c>
      <c r="H4576" s="1069" t="n">
        <v>1200</v>
      </c>
      <c r="I4576" s="2161" t="n">
        <v>0</v>
      </c>
      <c r="J4576" s="2161" t="n">
        <v>0</v>
      </c>
      <c r="K4576" s="2161" t="n"/>
    </row>
    <row r="4577" outlineLevel="3" ht="15.75" customHeight="1">
      <c r="A4577" s="10" t="n">
        <v>4</v>
      </c>
      <c r="B4577" s="10" t="inlineStr">
        <is>
          <t>Insumo</t>
        </is>
      </c>
      <c r="C4577" s="10" t="inlineStr">
        <is>
          <t>Revestimento em ACM, cor bronze, aplicação em Fachada - Material e  Mão de Obra</t>
        </is>
      </c>
      <c r="D4577" s="10" t="inlineStr">
        <is>
          <t>Acabamento em ACM para Fachadas - Material e mão de obra</t>
        </is>
      </c>
      <c r="E4577" s="11">
        <f t="array" ref="E4577">_xlfn.XLOOKUP(D4577,Insumos!B:B,Insumos!C:$C)</f>
        <v/>
      </c>
      <c r="F4577" s="14" t="n">
        <v>1</v>
      </c>
      <c r="G4577" s="92">
        <f t="array" ref="G4577">IF(B4577="insumo",_xlfn.XLOOKUP($D4577,Insumos!$B$1:$B$996,Insumos!$D$1:$D$996),"")</f>
        <v/>
      </c>
      <c r="H4577" s="92" t="n">
        <v>1200</v>
      </c>
      <c r="I4577" s="2162" t="n">
        <v>0</v>
      </c>
      <c r="J4577" s="2162" t="n">
        <v>0</v>
      </c>
      <c r="K4577" s="2162" t="n"/>
    </row>
    <row r="4578" outlineLevel="2" ht="15.75" customHeight="1">
      <c r="A4578" s="1067" t="n">
        <v>1</v>
      </c>
      <c r="B4578" s="1067" t="inlineStr">
        <is>
          <t>Serviço</t>
        </is>
      </c>
      <c r="C4578" s="1067" t="inlineStr">
        <is>
          <t>Revestimento em ACM, aplicação em Fachada - Material e  Mão de Obra</t>
        </is>
      </c>
      <c r="D4578" s="1067" t="inlineStr">
        <is>
          <t>Revestimento em ACM, aplicação em Fachada - Material e  Mão de Obra</t>
        </is>
      </c>
      <c r="E4578" s="1068" t="inlineStr">
        <is>
          <t>M2</t>
        </is>
      </c>
      <c r="F4578" s="1067" t="n"/>
      <c r="G4578" s="1069">
        <f t="array" ref="G4578">IF(B4578="insumo",_xlfn.XLOOKUP($D4578,Insumos!$B$1:$B$996,Insumos!$D$1:$D$996),"")</f>
        <v/>
      </c>
      <c r="H4578" s="1069" t="n">
        <v>1200</v>
      </c>
      <c r="I4578" s="2161" t="n">
        <v>0</v>
      </c>
      <c r="J4578" s="2161" t="n">
        <v>0</v>
      </c>
      <c r="K4578" s="2161" t="n"/>
    </row>
    <row r="4579" outlineLevel="3" ht="15.75" customHeight="1">
      <c r="A4579" s="10" t="n">
        <v>4</v>
      </c>
      <c r="B4579" s="10" t="inlineStr">
        <is>
          <t>Insumo</t>
        </is>
      </c>
      <c r="C4579" s="10" t="inlineStr">
        <is>
          <t>Revestimento em ACM, aplicação em Fachada - Material e  Mão de Obra</t>
        </is>
      </c>
      <c r="D4579" s="10" t="inlineStr">
        <is>
          <t>Acabamento em ACM para Fachadas - Material e mão de obra</t>
        </is>
      </c>
      <c r="E4579" s="11">
        <f t="array" ref="E4579">_xlfn.XLOOKUP(D4579,Insumos!B:B,Insumos!C:$C)</f>
        <v/>
      </c>
      <c r="F4579" s="14" t="n">
        <v>1</v>
      </c>
      <c r="G4579" s="92">
        <f t="array" ref="G4579">IF(B4579="insumo",_xlfn.XLOOKUP($D4579,Insumos!$B$1:$B$996,Insumos!$D$1:$D$996),"")</f>
        <v/>
      </c>
      <c r="H4579" s="92" t="n">
        <v>1200</v>
      </c>
      <c r="I4579" s="2162" t="n">
        <v>0</v>
      </c>
      <c r="J4579" s="2162" t="n">
        <v>0</v>
      </c>
      <c r="K4579" s="2162" t="n"/>
    </row>
    <row r="4580" outlineLevel="2" ht="15.75" customHeight="1">
      <c r="A4580" s="1067" t="n">
        <v>1</v>
      </c>
      <c r="B4580" s="1067" t="inlineStr">
        <is>
          <t>Serviço</t>
        </is>
      </c>
      <c r="C4580" s="1067" t="inlineStr">
        <is>
          <t>Revestimento em Vinilico, aplicação em Fachada - Material e  Mão de Obra</t>
        </is>
      </c>
      <c r="D4580" s="1067" t="inlineStr">
        <is>
          <t>Revestimento em Vinilico, aplicação em Fachada - Material e  Mão de Obra</t>
        </is>
      </c>
      <c r="E4580" s="1068" t="inlineStr">
        <is>
          <t>M2</t>
        </is>
      </c>
      <c r="F4580" s="1067" t="n"/>
      <c r="G4580" s="1069">
        <f t="array" ref="G4580">IF(B4580="insumo",_xlfn.XLOOKUP($D4580,Insumos!$B$1:$B$996,Insumos!$D$1:$D$996),"")</f>
        <v/>
      </c>
      <c r="H4580" s="1069" t="n">
        <v>165</v>
      </c>
      <c r="I4580" s="2161" t="n">
        <v>0</v>
      </c>
      <c r="J4580" s="2161" t="n">
        <v>0</v>
      </c>
      <c r="K4580" s="2161" t="n"/>
    </row>
    <row r="4581" outlineLevel="3" ht="15.75" customHeight="1">
      <c r="A4581" s="10" t="n">
        <v>3</v>
      </c>
      <c r="B4581" s="10" t="inlineStr">
        <is>
          <t>Insumo</t>
        </is>
      </c>
      <c r="C4581" s="10" t="inlineStr">
        <is>
          <t>Revestimento em Vinilico, aplicação em Fachada - Material e  Mão de Obra</t>
        </is>
      </c>
      <c r="D4581" s="10" t="inlineStr">
        <is>
          <t>PISO VINILICO RUFFINO SOFISTICATO 2MM - MATERIAL E MÃO DE OBRA</t>
        </is>
      </c>
      <c r="E4581" s="11">
        <f t="array" ref="E4581">_xlfn.XLOOKUP(D4581,Insumos!B:B,Insumos!C:$C)</f>
        <v/>
      </c>
      <c r="F4581" s="14" t="n">
        <v>1.1</v>
      </c>
      <c r="G4581" s="92">
        <f t="array" ref="G4581">IF(B4581="insumo",_xlfn.XLOOKUP($D4581,Insumos!$B$1:$B$996,Insumos!$D$1:$D$996),"")</f>
        <v/>
      </c>
      <c r="H4581" s="92" t="n">
        <v>165</v>
      </c>
      <c r="I4581" s="2162" t="n">
        <v>0</v>
      </c>
      <c r="J4581" s="2162" t="n">
        <v>0</v>
      </c>
      <c r="K4581" s="2162" t="n"/>
    </row>
    <row r="4582" outlineLevel="2" ht="15.75" customHeight="1">
      <c r="A4582" s="1067" t="n">
        <v>1</v>
      </c>
      <c r="B4582" s="1067" t="inlineStr">
        <is>
          <t>Serviço</t>
        </is>
      </c>
      <c r="C4582" s="1067" t="inlineStr">
        <is>
          <t>Painel metálico, aplicação em Fachada - Material e  Mão de Obra</t>
        </is>
      </c>
      <c r="D4582" s="1067" t="inlineStr">
        <is>
          <t>Painel metálico, aplicação em Fachada - Material e  Mão de Obra</t>
        </is>
      </c>
      <c r="E4582" s="1068" t="inlineStr">
        <is>
          <t>M2</t>
        </is>
      </c>
      <c r="F4582" s="1067" t="n"/>
      <c r="G4582" s="1069">
        <f t="array" ref="G4582">IF(B4582="insumo",_xlfn.XLOOKUP($D4582,Insumos!$B$1:$B$996,Insumos!$D$1:$D$996),"")</f>
        <v/>
      </c>
      <c r="H4582" s="1069" t="n">
        <v>1200</v>
      </c>
      <c r="I4582" s="2161" t="n">
        <v>0</v>
      </c>
      <c r="J4582" s="2161" t="n">
        <v>0</v>
      </c>
      <c r="K4582" s="2161" t="n"/>
    </row>
    <row r="4583" outlineLevel="3" ht="15.75" customHeight="1">
      <c r="A4583" s="10" t="n">
        <v>1</v>
      </c>
      <c r="B4583" s="10" t="inlineStr">
        <is>
          <t>Insumo</t>
        </is>
      </c>
      <c r="C4583" s="10" t="inlineStr">
        <is>
          <t>Painel metálico, aplicação em Fachada - Material e  Mão de Obra</t>
        </is>
      </c>
      <c r="D4583" s="10" t="inlineStr">
        <is>
          <t>Painel metálico, aplicação em Fachada - Material e  Mão de Obra</t>
        </is>
      </c>
      <c r="E4583" s="11">
        <f t="array" ref="E4583">_xlfn.XLOOKUP(D4583,Insumos!B:B,Insumos!C:$C)</f>
        <v/>
      </c>
      <c r="F4583" s="14" t="n">
        <v>1</v>
      </c>
      <c r="G4583" s="92">
        <f t="array" ref="G4583">IF(B4583="insumo",_xlfn.XLOOKUP($D4583,Insumos!$B$1:$B$996,Insumos!$D$1:$D$996),"")</f>
        <v/>
      </c>
      <c r="H4583" s="92" t="n">
        <v>1200</v>
      </c>
      <c r="I4583" s="2162" t="n">
        <v>0</v>
      </c>
      <c r="J4583" s="2162" t="n">
        <v>0</v>
      </c>
      <c r="K4583" s="2162" t="n"/>
    </row>
    <row r="4584" outlineLevel="2" ht="15.75" customHeight="1">
      <c r="A4584" s="1067" t="n">
        <v>1</v>
      </c>
      <c r="B4584" s="1067" t="inlineStr">
        <is>
          <t>Serviço</t>
        </is>
      </c>
      <c r="C4584" s="1067" t="inlineStr">
        <is>
          <t>Painel metálico perfurado, aplicação em Fachada</t>
        </is>
      </c>
      <c r="D4584" s="1067" t="inlineStr">
        <is>
          <t>Painel metálico perfurado, aplicação em Fachada</t>
        </is>
      </c>
      <c r="E4584" s="1068" t="inlineStr">
        <is>
          <t>M2</t>
        </is>
      </c>
      <c r="F4584" s="1067" t="n"/>
      <c r="G4584" s="1069">
        <f t="array" ref="G4584">IF(B4584="insumo",_xlfn.XLOOKUP($D4584,Insumos!$B$1:$B$996,Insumos!$D$1:$D$996),"")</f>
        <v/>
      </c>
      <c r="H4584" s="1069" t="n">
        <v>1200</v>
      </c>
      <c r="I4584" s="2161" t="n">
        <v>0</v>
      </c>
      <c r="J4584" s="2161" t="n">
        <v>0</v>
      </c>
      <c r="K4584" s="2161" t="n"/>
    </row>
    <row r="4585" outlineLevel="3" ht="15.75" customHeight="1">
      <c r="A4585" s="10" t="n">
        <v>1</v>
      </c>
      <c r="B4585" s="10" t="inlineStr">
        <is>
          <t>Insumo</t>
        </is>
      </c>
      <c r="C4585" s="10" t="inlineStr">
        <is>
          <t>Painel metálico perfurado, aplicação em Fachada</t>
        </is>
      </c>
      <c r="D4585" s="10" t="inlineStr">
        <is>
          <t>Painel metálico perfurado, aplicação em Fachada</t>
        </is>
      </c>
      <c r="E4585" s="11">
        <f t="array" ref="E4585">_xlfn.XLOOKUP(D4585,Insumos!B:B,Insumos!C:$C)</f>
        <v/>
      </c>
      <c r="F4585" s="14" t="n">
        <v>1</v>
      </c>
      <c r="G4585" s="92">
        <f t="array" ref="G4585">IF(B4585="insumo",_xlfn.XLOOKUP($D4585,Insumos!$B$1:$B$996,Insumos!$D$1:$D$996),"")</f>
        <v/>
      </c>
      <c r="H4585" s="92" t="n">
        <v>1200</v>
      </c>
      <c r="I4585" s="2162" t="n">
        <v>0</v>
      </c>
      <c r="J4585" s="2162" t="n">
        <v>0</v>
      </c>
      <c r="K4585" s="2162" t="n"/>
    </row>
    <row r="4586" outlineLevel="2" ht="15.75" customHeight="1">
      <c r="A4586" s="1067" t="n">
        <v>1</v>
      </c>
      <c r="B4586" s="1067" t="inlineStr">
        <is>
          <t>Serviço</t>
        </is>
      </c>
      <c r="C4586" s="1067" t="inlineStr">
        <is>
          <t>Revestimento externo em Ladrilho Hidráulico 10x10cm - Cor: laranja e off-white - Marca: Ladrilar, com junta de 2 cm e rejunte acrilico cinza platina</t>
        </is>
      </c>
      <c r="D4586" s="1067" t="inlineStr">
        <is>
          <t>Revestimento externo em Ladrilho Hidráulico 10x10cm - Cor: laranja e off-white - Marca: Ladrilar, com junta de 2 cm e rejunte acrilico cinza platina</t>
        </is>
      </c>
      <c r="E4586" s="1068" t="inlineStr">
        <is>
          <t>M2</t>
        </is>
      </c>
      <c r="F4586" s="1067" t="n"/>
      <c r="G4586" s="1069">
        <f t="array" ref="G4586">IF(B4586="insumo",_xlfn.XLOOKUP($D4586,Insumos!$B$1:$B$996,Insumos!$D$1:$D$996),"")</f>
        <v/>
      </c>
      <c r="H4586" s="1069" t="n">
        <v>450.239275</v>
      </c>
      <c r="I4586" s="2161" t="e">
        <v>#REF!</v>
      </c>
      <c r="J4586" s="2161" t="e">
        <v>#REF!</v>
      </c>
      <c r="K4586" s="2161" t="n"/>
    </row>
    <row r="4587" outlineLevel="3" ht="15.75" customHeight="1">
      <c r="A4587" s="10" t="n">
        <v>1</v>
      </c>
      <c r="B4587" s="10" t="inlineStr">
        <is>
          <t>Insumo</t>
        </is>
      </c>
      <c r="C4587" s="10" t="inlineStr">
        <is>
          <t>Revestimento externo em Ladrilho Hidráulico 10x10cm - Cor: laranja e off-white - Marca: Ladrilar, com junta de 2 cm e rejunte acrilico cinza platina</t>
        </is>
      </c>
      <c r="D4587" s="10" t="inlineStr">
        <is>
          <t>Ladrilho Hidráulico 10x10cm - Cor: laranja - Marca: Ladrilar</t>
        </is>
      </c>
      <c r="E4587" s="11">
        <f t="array" ref="E4587">_xlfn.XLOOKUP(D4587,Insumos!B:B,Insumos!C:$C)</f>
        <v/>
      </c>
      <c r="F4587" s="14">
        <f>1.1/2</f>
        <v/>
      </c>
      <c r="G4587" s="92">
        <f t="array" ref="G4587">IF(B4587="insumo",_xlfn.XLOOKUP($D4587,Insumos!$B$1:$B$996,Insumos!$D$1:$D$996),"")</f>
        <v/>
      </c>
      <c r="H4587" s="92" t="n">
        <v>221.375</v>
      </c>
      <c r="I4587" s="2162" t="e">
        <v>#REF!</v>
      </c>
      <c r="J4587" s="2162" t="e">
        <v>#REF!</v>
      </c>
      <c r="K4587" s="2162" t="n"/>
    </row>
    <row r="4588" outlineLevel="3" ht="15.75" customHeight="1">
      <c r="A4588" s="10" t="n">
        <v>1</v>
      </c>
      <c r="B4588" s="10" t="inlineStr">
        <is>
          <t>Insumo</t>
        </is>
      </c>
      <c r="C4588" s="10" t="inlineStr">
        <is>
          <t>Revestimento externo em Ladrilho Hidráulico 10x10cm - Cor: laranja e off-white - Marca: Ladrilar, com junta de 2 cm e rejunte acrilico cinza platina</t>
        </is>
      </c>
      <c r="D4588" s="10" t="inlineStr">
        <is>
          <t>Ladrilho Hidráulico 10x10cm - Cor: off-white - Marca: Ladrilar</t>
        </is>
      </c>
      <c r="E4588" s="11">
        <f t="array" ref="E4588">_xlfn.XLOOKUP(D4588,Insumos!B:B,Insumos!C:$C)</f>
        <v/>
      </c>
      <c r="F4588" s="14">
        <f>1.1/2</f>
        <v/>
      </c>
      <c r="G4588" s="92">
        <f t="array" ref="G4588">IF(B4588="insumo",_xlfn.XLOOKUP($D4588,Insumos!$B$1:$B$996,Insumos!$D$1:$D$996),"")</f>
        <v/>
      </c>
      <c r="H4588" s="92" t="n">
        <v>221.375</v>
      </c>
      <c r="I4588" s="2162" t="e">
        <v>#REF!</v>
      </c>
      <c r="J4588" s="2162" t="e">
        <v>#REF!</v>
      </c>
      <c r="K4588" s="2162" t="n"/>
    </row>
    <row r="4589" outlineLevel="3" ht="15.75" customHeight="1">
      <c r="A4589" s="10" t="n">
        <v>191</v>
      </c>
      <c r="B4589" s="10" t="inlineStr">
        <is>
          <t>Insumo</t>
        </is>
      </c>
      <c r="C4589" s="10" t="inlineStr">
        <is>
          <t>Revestimento externo em Ladrilho Hidráulico 10x10cm - Cor: laranja e off-white - Marca: Ladrilar, com junta de 2 cm e rejunte acrilico cinza platina</t>
        </is>
      </c>
      <c r="D4589" s="10" t="inlineStr">
        <is>
          <t>Argamassa ACIII</t>
        </is>
      </c>
      <c r="E4589" s="11">
        <f t="array" ref="E4589">_xlfn.XLOOKUP(D4589,Insumos!B:B,Insumos!C:$C)</f>
        <v/>
      </c>
      <c r="F4589" s="14" t="n">
        <v>4.95</v>
      </c>
      <c r="G4589" s="92">
        <f t="array" ref="G4589">IF(B4589="insumo",_xlfn.XLOOKUP($D4589,Insumos!$B$1:$B$996,Insumos!$D$1:$D$996),"")</f>
        <v/>
      </c>
      <c r="H4589" s="92" t="n">
        <v>5.269275</v>
      </c>
      <c r="I4589" s="2162" t="e">
        <v>#REF!</v>
      </c>
      <c r="J4589" s="2162" t="e">
        <v>#REF!</v>
      </c>
      <c r="K4589" s="2162" t="n"/>
    </row>
    <row r="4590" outlineLevel="3" ht="15.75" customHeight="1">
      <c r="A4590" s="10" t="n">
        <v>142</v>
      </c>
      <c r="B4590" s="10" t="inlineStr">
        <is>
          <t>Insumo</t>
        </is>
      </c>
      <c r="C4590" s="10" t="inlineStr">
        <is>
          <t>Revestimento externo em Ladrilho Hidráulico 10x10cm - Cor: laranja e off-white - Marca: Ladrilar, com junta de 2 cm e rejunte acrilico cinza platina</t>
        </is>
      </c>
      <c r="D4590" s="10" t="inlineStr">
        <is>
          <t>Espeçador junta piso 2mm</t>
        </is>
      </c>
      <c r="E4590" s="11">
        <f t="array" ref="E4590">_xlfn.XLOOKUP(D4590,Insumos!B:B,Insumos!C:$C)</f>
        <v/>
      </c>
      <c r="F4590" s="14" t="n">
        <v>4</v>
      </c>
      <c r="G4590" s="92">
        <f t="array" ref="G4590">IF(B4590="insumo",_xlfn.XLOOKUP($D4590,Insumos!$B$1:$B$996,Insumos!$D$1:$D$996),"")</f>
        <v/>
      </c>
      <c r="H4590" s="92" t="n">
        <v>0.32</v>
      </c>
      <c r="I4590" s="2162" t="e">
        <v>#REF!</v>
      </c>
      <c r="J4590" s="2162" t="e">
        <v>#REF!</v>
      </c>
      <c r="K4590" s="2162" t="n"/>
    </row>
    <row r="4591" outlineLevel="3" ht="15.75" customHeight="1">
      <c r="A4591" s="10" t="n">
        <v>36</v>
      </c>
      <c r="B4591" s="10" t="inlineStr">
        <is>
          <t>Insumo</t>
        </is>
      </c>
      <c r="C4591" s="82" t="inlineStr">
        <is>
          <t>Revestimento externo em Ladrilho Hidráulico 10x10cm - Cor: laranja e off-white - Marca: Ladrilar, com junta de 2 cm e rejunte acrilico cinza platina</t>
        </is>
      </c>
      <c r="D4591" s="82" t="inlineStr">
        <is>
          <t>Rejunte Acrilico cinza platina</t>
        </is>
      </c>
      <c r="E4591" s="11">
        <f t="array" ref="E4591">_xlfn.XLOOKUP(D4591,Insumos!B:B,Insumos!C:$C)</f>
        <v/>
      </c>
      <c r="F4591" s="14" t="n">
        <v>0.05</v>
      </c>
      <c r="G4591" s="92">
        <f t="array" ref="G4591">IF(B4591="insumo",_xlfn.XLOOKUP($D4591,Insumos!$B$1:$B$996,Insumos!$D$1:$D$996),"")</f>
        <v/>
      </c>
      <c r="H4591" s="92" t="n">
        <v>1.9</v>
      </c>
      <c r="I4591" s="2162" t="e">
        <v>#REF!</v>
      </c>
      <c r="J4591" s="2162" t="e">
        <v>#REF!</v>
      </c>
      <c r="K4591" s="2162" t="n"/>
    </row>
    <row r="4592" outlineLevel="2" ht="15.75" customHeight="1">
      <c r="A4592" s="1067" t="n">
        <v>1</v>
      </c>
      <c r="B4592" s="1067" t="inlineStr">
        <is>
          <t>Serviço</t>
        </is>
      </c>
      <c r="C4592" s="1067" t="inlineStr">
        <is>
          <t>Revestimento externo em Ladrilho Hidráulico 10x10cm - Cor: laranja e off-white - Marca: Dalle Piagge, com junta de 2 cm e rejunte acrilico cinza platina</t>
        </is>
      </c>
      <c r="D4592" s="1067" t="inlineStr">
        <is>
          <t>Revestimento externo em Ladrilho Hidráulico 10x10cm - Cor: laranja e off-white - Marca: Dalle Piagge, com junta de 2 cm e rejunte acrilico cinza platina</t>
        </is>
      </c>
      <c r="E4592" s="1068" t="inlineStr">
        <is>
          <t>M2</t>
        </is>
      </c>
      <c r="F4592" s="1067" t="n"/>
      <c r="G4592" s="1069">
        <f t="array" ref="G4592">IF(B4592="insumo",_xlfn.XLOOKUP($D4592,Insumos!$B$1:$B$996,Insumos!$D$1:$D$996),"")</f>
        <v/>
      </c>
      <c r="H4592" s="1069" t="n">
        <v>654.289275</v>
      </c>
      <c r="I4592" s="2161" t="n">
        <v>0</v>
      </c>
      <c r="J4592" s="2161" t="n">
        <v>0</v>
      </c>
      <c r="K4592" s="2161" t="n"/>
    </row>
    <row r="4593" outlineLevel="3" ht="15.75" customHeight="1">
      <c r="A4593" s="10" t="n">
        <v>1</v>
      </c>
      <c r="B4593" s="10" t="inlineStr">
        <is>
          <t>Insumo</t>
        </is>
      </c>
      <c r="C4593" s="10" t="inlineStr">
        <is>
          <t>Revestimento externo em Ladrilho Hidráulico 10x10cm - Cor: laranja e off-white - Marca: Dalle Piagge, com junta de 2 cm e rejunte acrilico cinza platina</t>
        </is>
      </c>
      <c r="D4593" s="10" t="inlineStr">
        <is>
          <t>Ladrilho Hidráulico 10x10cm - Cor: laranja - Marca: Dalle Piagge</t>
        </is>
      </c>
      <c r="E4593" s="11">
        <f t="array" ref="E4593">_xlfn.XLOOKUP(D4593,Insumos!B:B,Insumos!C:$C)</f>
        <v/>
      </c>
      <c r="F4593" s="14">
        <f>1.1/2</f>
        <v/>
      </c>
      <c r="G4593" s="92">
        <f t="array" ref="G4593">IF(B4593="insumo",_xlfn.XLOOKUP($D4593,Insumos!$B$1:$B$996,Insumos!$D$1:$D$996),"")</f>
        <v/>
      </c>
      <c r="H4593" s="92" t="n">
        <v>323.4</v>
      </c>
      <c r="I4593" s="2162" t="n">
        <v>0</v>
      </c>
      <c r="J4593" s="2162" t="n">
        <v>0</v>
      </c>
      <c r="K4593" s="2162" t="n"/>
    </row>
    <row r="4594" outlineLevel="3" ht="15.75" customHeight="1">
      <c r="A4594" s="10" t="n">
        <v>1</v>
      </c>
      <c r="B4594" s="10" t="inlineStr">
        <is>
          <t>Insumo</t>
        </is>
      </c>
      <c r="C4594" s="10" t="inlineStr">
        <is>
          <t>Revestimento externo em Ladrilho Hidráulico 10x10cm - Cor: laranja e off-white - Marca: Dalle Piagge, com junta de 2 cm e rejunte acrilico cinza platina</t>
        </is>
      </c>
      <c r="D4594" s="10" t="inlineStr">
        <is>
          <t>Ladrilho Hidráulico 10x10cm - Cor: off-white - Marca: Dalle Piagge</t>
        </is>
      </c>
      <c r="E4594" s="11">
        <f t="array" ref="E4594">_xlfn.XLOOKUP(D4594,Insumos!B:B,Insumos!C:$C)</f>
        <v/>
      </c>
      <c r="F4594" s="14">
        <f>1.1/2</f>
        <v/>
      </c>
      <c r="G4594" s="92">
        <f t="array" ref="G4594">IF(B4594="insumo",_xlfn.XLOOKUP($D4594,Insumos!$B$1:$B$996,Insumos!$D$1:$D$996),"")</f>
        <v/>
      </c>
      <c r="H4594" s="92" t="n">
        <v>323.4</v>
      </c>
      <c r="I4594" s="2162" t="n">
        <v>0</v>
      </c>
      <c r="J4594" s="2162" t="n">
        <v>0</v>
      </c>
      <c r="K4594" s="2162" t="n"/>
    </row>
    <row r="4595" outlineLevel="3" ht="15.75" customHeight="1">
      <c r="A4595" s="10" t="n">
        <v>191</v>
      </c>
      <c r="B4595" s="10" t="inlineStr">
        <is>
          <t>Insumo</t>
        </is>
      </c>
      <c r="C4595" s="10" t="inlineStr">
        <is>
          <t>Revestimento externo em Ladrilho Hidráulico 10x10cm - Cor: laranja e off-white - Marca: Dalle Piagge, com junta de 2 cm e rejunte acrilico cinza platina</t>
        </is>
      </c>
      <c r="D4595" s="10" t="inlineStr">
        <is>
          <t>Argamassa ACIII</t>
        </is>
      </c>
      <c r="E4595" s="11">
        <f t="array" ref="E4595">_xlfn.XLOOKUP(D4595,Insumos!B:B,Insumos!C:$C)</f>
        <v/>
      </c>
      <c r="F4595" s="14" t="n">
        <v>4.95</v>
      </c>
      <c r="G4595" s="92">
        <f t="array" ref="G4595">IF(B4595="insumo",_xlfn.XLOOKUP($D4595,Insumos!$B$1:$B$996,Insumos!$D$1:$D$996),"")</f>
        <v/>
      </c>
      <c r="H4595" s="92" t="n">
        <v>5.269275</v>
      </c>
      <c r="I4595" s="2162" t="n">
        <v>0</v>
      </c>
      <c r="J4595" s="2162" t="n">
        <v>0</v>
      </c>
      <c r="K4595" s="2162" t="n"/>
    </row>
    <row r="4596" outlineLevel="3" ht="15.75" customHeight="1">
      <c r="A4596" s="10" t="n">
        <v>142</v>
      </c>
      <c r="B4596" s="10" t="inlineStr">
        <is>
          <t>Insumo</t>
        </is>
      </c>
      <c r="C4596" s="10" t="inlineStr">
        <is>
          <t>Revestimento externo em Ladrilho Hidráulico 10x10cm - Cor: laranja e off-white - Marca: Dalle Piagge, com junta de 2 cm e rejunte acrilico cinza platina</t>
        </is>
      </c>
      <c r="D4596" s="10" t="inlineStr">
        <is>
          <t>Espeçador junta piso 2mm</t>
        </is>
      </c>
      <c r="E4596" s="11">
        <f t="array" ref="E4596">_xlfn.XLOOKUP(D4596,Insumos!B:B,Insumos!C:$C)</f>
        <v/>
      </c>
      <c r="F4596" s="14" t="n">
        <v>4</v>
      </c>
      <c r="G4596" s="92">
        <f t="array" ref="G4596">IF(B4596="insumo",_xlfn.XLOOKUP($D4596,Insumos!$B$1:$B$996,Insumos!$D$1:$D$996),"")</f>
        <v/>
      </c>
      <c r="H4596" s="92" t="n">
        <v>0.32</v>
      </c>
      <c r="I4596" s="2162" t="n">
        <v>0</v>
      </c>
      <c r="J4596" s="2162" t="n">
        <v>0</v>
      </c>
      <c r="K4596" s="2162" t="n"/>
    </row>
    <row r="4597" outlineLevel="3" ht="15.75" customHeight="1">
      <c r="A4597" s="10" t="n">
        <v>36</v>
      </c>
      <c r="B4597" s="10" t="inlineStr">
        <is>
          <t>Insumo</t>
        </is>
      </c>
      <c r="C4597" s="82" t="inlineStr">
        <is>
          <t>Revestimento externo em Ladrilho Hidráulico 10x10cm - Cor: laranja e off-white - Marca: Dalle Piagge, com junta de 2 cm e rejunte acrilico cinza platina</t>
        </is>
      </c>
      <c r="D4597" s="82" t="inlineStr">
        <is>
          <t>Rejunte Acrilico cinza platina</t>
        </is>
      </c>
      <c r="E4597" s="11">
        <f t="array" ref="E4597">_xlfn.XLOOKUP(D4597,Insumos!B:B,Insumos!C:$C)</f>
        <v/>
      </c>
      <c r="F4597" s="14" t="n">
        <v>0.05</v>
      </c>
      <c r="G4597" s="92">
        <f t="array" ref="G4597">IF(B4597="insumo",_xlfn.XLOOKUP($D4597,Insumos!$B$1:$B$996,Insumos!$D$1:$D$996),"")</f>
        <v/>
      </c>
      <c r="H4597" s="92" t="n">
        <v>1.9</v>
      </c>
      <c r="I4597" s="2162" t="n">
        <v>0</v>
      </c>
      <c r="J4597" s="2162" t="n">
        <v>0</v>
      </c>
      <c r="K4597" s="2162" t="n"/>
    </row>
    <row r="4598" outlineLevel="2" ht="15.75" customHeight="1">
      <c r="A4598" s="1067" t="n">
        <v>1</v>
      </c>
      <c r="B4598" s="1067" t="inlineStr">
        <is>
          <t>Serviço</t>
        </is>
      </c>
      <c r="C4598" s="1067" t="inlineStr">
        <is>
          <t>Revestimento Tresuno Concreto Ripado Cinza</t>
        </is>
      </c>
      <c r="D4598" s="1067" t="inlineStr">
        <is>
          <t>Revestimento Tresuno Concreto Ripado Cinza</t>
        </is>
      </c>
      <c r="E4598" s="1068" t="inlineStr">
        <is>
          <t>M2</t>
        </is>
      </c>
      <c r="F4598" s="1067" t="n"/>
      <c r="G4598" s="1069">
        <f t="array" ref="G4598">IF(B4598="insumo",_xlfn.XLOOKUP($D4598,Insumos!$B$1:$B$996,Insumos!$D$1:$D$996),"")</f>
        <v/>
      </c>
      <c r="H4598" s="1069" t="n">
        <v>323.4755</v>
      </c>
      <c r="I4598" s="2161" t="n">
        <v>0</v>
      </c>
      <c r="J4598" s="2161" t="n">
        <v>0</v>
      </c>
      <c r="K4598" s="2161" t="n"/>
    </row>
    <row r="4599" outlineLevel="3" ht="15.75" customHeight="1">
      <c r="A4599" s="10" t="n">
        <v>1</v>
      </c>
      <c r="B4599" s="10" t="inlineStr">
        <is>
          <t>Insumo</t>
        </is>
      </c>
      <c r="C4599" s="10" t="inlineStr">
        <is>
          <t>Revestimento Tresuno Concreto Ripado Cinza</t>
        </is>
      </c>
      <c r="D4599" s="10" t="inlineStr">
        <is>
          <t>Revestimento Ripado de Concreto</t>
        </is>
      </c>
      <c r="E4599" s="11">
        <f t="array" ref="E4599">_xlfn.XLOOKUP(D4599,Insumos!B:B,Insumos!C:$C)</f>
        <v/>
      </c>
      <c r="F4599" s="14" t="n">
        <v>1.1</v>
      </c>
      <c r="G4599" s="92">
        <f t="array" ref="G4599">IF(B4599="insumo",_xlfn.XLOOKUP($D4599,Insumos!$B$1:$B$996,Insumos!$D$1:$D$996),"")</f>
        <v/>
      </c>
      <c r="H4599" s="92" t="n">
        <v>308</v>
      </c>
      <c r="I4599" s="2162" t="n">
        <v>0</v>
      </c>
      <c r="J4599" s="2162" t="n">
        <v>0</v>
      </c>
      <c r="K4599" s="2162" t="n"/>
    </row>
    <row r="4600" outlineLevel="3" ht="15.75" customHeight="1">
      <c r="A4600" s="10" t="n">
        <v>191</v>
      </c>
      <c r="B4600" s="10" t="inlineStr">
        <is>
          <t>Insumo</t>
        </is>
      </c>
      <c r="C4600" s="10" t="inlineStr">
        <is>
          <t>Revestimento Tresuno Concreto Ripado Cinza</t>
        </is>
      </c>
      <c r="D4600" s="10" t="inlineStr">
        <is>
          <t>Argamassa ACIII</t>
        </is>
      </c>
      <c r="E4600" s="11">
        <f t="array" ref="E4600">_xlfn.XLOOKUP(D4600,Insumos!B:B,Insumos!C:$C)</f>
        <v/>
      </c>
      <c r="F4600" s="14" t="n">
        <v>9</v>
      </c>
      <c r="G4600" s="92">
        <f t="array" ref="G4600">IF(B4600="insumo",_xlfn.XLOOKUP($D4600,Insumos!$B$1:$B$996,Insumos!$D$1:$D$996),"")</f>
        <v/>
      </c>
      <c r="H4600" s="92" t="n">
        <v>9.580500000000001</v>
      </c>
      <c r="I4600" s="2162" t="n">
        <v>0</v>
      </c>
      <c r="J4600" s="2162" t="n">
        <v>0</v>
      </c>
      <c r="K4600" s="2162" t="n"/>
    </row>
    <row r="4601" outlineLevel="3" ht="15.75" customHeight="1">
      <c r="A4601" s="10" t="n">
        <v>142</v>
      </c>
      <c r="B4601" s="10" t="inlineStr">
        <is>
          <t>Insumo</t>
        </is>
      </c>
      <c r="C4601" s="10" t="inlineStr">
        <is>
          <t>Revestimento Tresuno Concreto Ripado Cinza</t>
        </is>
      </c>
      <c r="D4601" s="10" t="inlineStr">
        <is>
          <t>Espeçador junta piso 2mm</t>
        </is>
      </c>
      <c r="E4601" s="11">
        <f t="array" ref="E4601">_xlfn.XLOOKUP(D4601,Insumos!B:B,Insumos!C:$C)</f>
        <v/>
      </c>
      <c r="F4601" s="14" t="n">
        <v>4</v>
      </c>
      <c r="G4601" s="92">
        <f t="array" ref="G4601">IF(B4601="insumo",_xlfn.XLOOKUP($D4601,Insumos!$B$1:$B$996,Insumos!$D$1:$D$996),"")</f>
        <v/>
      </c>
      <c r="H4601" s="92" t="n">
        <v>0.32</v>
      </c>
      <c r="I4601" s="2162" t="n">
        <v>0</v>
      </c>
      <c r="J4601" s="2162" t="n">
        <v>0</v>
      </c>
      <c r="K4601" s="2162" t="n"/>
    </row>
    <row r="4602" outlineLevel="3" ht="15.75" customHeight="1">
      <c r="A4602" s="10" t="n">
        <v>101</v>
      </c>
      <c r="B4602" s="10" t="inlineStr">
        <is>
          <t>Insumo</t>
        </is>
      </c>
      <c r="C4602" s="10" t="inlineStr">
        <is>
          <t>Revestimento Tresuno Concreto Ripado Cinza</t>
        </is>
      </c>
      <c r="D4602" s="10" t="inlineStr">
        <is>
          <t>Rejunte Cimentício</t>
        </is>
      </c>
      <c r="E4602" s="11">
        <f t="array" ref="E4602">_xlfn.XLOOKUP(D4602,Insumos!B:B,Insumos!C:$C)</f>
        <v/>
      </c>
      <c r="F4602" s="14" t="n">
        <v>0.5</v>
      </c>
      <c r="G4602" s="92">
        <f t="array" ref="G4602">IF(B4602="insumo",_xlfn.XLOOKUP($D4602,Insumos!$B$1:$B$996,Insumos!$D$1:$D$996),"")</f>
        <v/>
      </c>
      <c r="H4602" s="92" t="n">
        <v>5.575</v>
      </c>
      <c r="I4602" s="2162" t="n">
        <v>0</v>
      </c>
      <c r="J4602" s="2162" t="n">
        <v>0</v>
      </c>
      <c r="K4602" s="2162" t="n"/>
    </row>
    <row r="4603" outlineLevel="2" ht="15.75" customHeight="1">
      <c r="A4603" s="1067" t="n">
        <v>1</v>
      </c>
      <c r="B4603" s="1067" t="inlineStr">
        <is>
          <t>Serviço</t>
        </is>
      </c>
      <c r="C4603" s="1067" t="inlineStr">
        <is>
          <t>Substrutura de alumínio para fachada ventilada</t>
        </is>
      </c>
      <c r="D4603" s="1067" t="inlineStr">
        <is>
          <t>Substrutura de alumínio para fachada ventilada</t>
        </is>
      </c>
      <c r="E4603" s="1068" t="inlineStr">
        <is>
          <t>M2</t>
        </is>
      </c>
      <c r="F4603" s="1067" t="n"/>
      <c r="G4603" s="1069">
        <f t="array" ref="G4603">IF(B4603="insumo",_xlfn.XLOOKUP($D4603,Insumos!$B$1:$B$996,Insumos!$D$1:$D$996),"")</f>
        <v/>
      </c>
      <c r="H4603" s="1069" t="n">
        <v>305</v>
      </c>
      <c r="I4603" s="2161" t="n">
        <v>0</v>
      </c>
      <c r="J4603" s="2161" t="n">
        <v>0</v>
      </c>
      <c r="K4603" s="2161" t="n"/>
    </row>
    <row r="4604" outlineLevel="3" ht="15.75" customHeight="1">
      <c r="A4604" s="10" t="n">
        <v>3</v>
      </c>
      <c r="B4604" s="10" t="inlineStr">
        <is>
          <t>Insumo</t>
        </is>
      </c>
      <c r="C4604" s="15" t="inlineStr">
        <is>
          <t>Substrutura de alumínio para fachada ventilada</t>
        </is>
      </c>
      <c r="D4604" s="15" t="inlineStr">
        <is>
          <t>Sistema e Instalação de Fachada Ventilada. Mecanização das peças, arremate das esquadrias e Fretes</t>
        </is>
      </c>
      <c r="E4604" s="11">
        <f t="array" ref="E4604">_xlfn.XLOOKUP(D4604,Insumos!B:B,Insumos!C:$C)</f>
        <v/>
      </c>
      <c r="F4604" s="14" t="n">
        <v>1</v>
      </c>
      <c r="G4604" s="92">
        <f t="array" ref="G4604">IF(B4604="insumo",_xlfn.XLOOKUP($D4604,Insumos!$B$1:$B$996,Insumos!$D$1:$D$996),"")</f>
        <v/>
      </c>
      <c r="H4604" s="92" t="n">
        <v>305</v>
      </c>
      <c r="I4604" s="2162" t="n">
        <v>0</v>
      </c>
      <c r="J4604" s="2162" t="n">
        <v>0</v>
      </c>
      <c r="K4604" s="2162" t="n"/>
    </row>
    <row r="4605" outlineLevel="2" ht="15.75" customHeight="1">
      <c r="A4605" s="1067" t="n">
        <v>1</v>
      </c>
      <c r="B4605" s="1067" t="inlineStr">
        <is>
          <t>Serviço</t>
        </is>
      </c>
      <c r="C4605" s="1067" t="inlineStr">
        <is>
          <t>Revestimento Monolítico Acrílico aplicado em Fachadas</t>
        </is>
      </c>
      <c r="D4605" s="1067" t="inlineStr">
        <is>
          <t>Revestimento Monolítico Acrílico aplicado em Fachadas</t>
        </is>
      </c>
      <c r="E4605" s="1068" t="inlineStr">
        <is>
          <t>M2</t>
        </is>
      </c>
      <c r="F4605" s="1067" t="n"/>
      <c r="G4605" s="1069">
        <f t="array" ref="G4605">IF(B4605="insumo",_xlfn.XLOOKUP($D4605,Insumos!$B$1:$B$996,Insumos!$D$1:$D$996),"")</f>
        <v/>
      </c>
      <c r="H4605" s="1069" t="n">
        <v>137.279555555556</v>
      </c>
      <c r="I4605" s="2161" t="n">
        <v>0</v>
      </c>
      <c r="J4605" s="2161" t="n">
        <v>0</v>
      </c>
      <c r="K4605" s="2161" t="n"/>
    </row>
    <row r="4606" outlineLevel="3" ht="15.75" customHeight="1">
      <c r="A4606" s="10" t="n">
        <v>19</v>
      </c>
      <c r="B4606" s="10" t="inlineStr">
        <is>
          <t>Insumo</t>
        </is>
      </c>
      <c r="C4606" s="15" t="inlineStr">
        <is>
          <t>Revestimento Monolítico Acrílico aplicado em Fachadas</t>
        </is>
      </c>
      <c r="D4606" s="15" t="inlineStr">
        <is>
          <t>Selador Primer Ibratin - 4,2kg - 3,6L</t>
        </is>
      </c>
      <c r="E4606" s="11">
        <f t="array" ref="E4606">_xlfn.XLOOKUP(D4606,Insumos!B:B,Insumos!C:$C)</f>
        <v/>
      </c>
      <c r="F4606" s="14" t="n">
        <v>0.1</v>
      </c>
      <c r="G4606" s="92">
        <f t="array" ref="G4606">IF(B4606="insumo",_xlfn.XLOOKUP($D4606,Insumos!$B$1:$B$996,Insumos!$D$1:$D$996),"")</f>
        <v/>
      </c>
      <c r="H4606" s="92" t="n">
        <v>1.05555555555556</v>
      </c>
      <c r="I4606" s="2162" t="n">
        <v>0</v>
      </c>
      <c r="J4606" s="2162" t="n">
        <v>0</v>
      </c>
      <c r="K4606" s="2162" t="n"/>
    </row>
    <row r="4607" outlineLevel="3" ht="15.75" customHeight="1">
      <c r="A4607" s="10" t="n">
        <v>1</v>
      </c>
      <c r="B4607" s="10" t="inlineStr">
        <is>
          <t>Insumo</t>
        </is>
      </c>
      <c r="C4607" s="15" t="inlineStr">
        <is>
          <t>Revestimento Monolítico Acrílico aplicado em Fachadas</t>
        </is>
      </c>
      <c r="D4607" s="15" t="inlineStr">
        <is>
          <t>Revestimento monolítico acrílico (pronto)</t>
        </is>
      </c>
      <c r="E4607" s="11">
        <f t="array" ref="E4607">_xlfn.XLOOKUP(D4607,Insumos!B:B,Insumos!C:$C)</f>
        <v/>
      </c>
      <c r="F4607" s="14" t="n">
        <v>1.8</v>
      </c>
      <c r="G4607" s="92">
        <f t="array" ref="G4607">IF(B4607="insumo",_xlfn.XLOOKUP($D4607,Insumos!$B$1:$B$996,Insumos!$D$1:$D$996),"")</f>
        <v/>
      </c>
      <c r="H4607" s="92" t="n">
        <v>134.784</v>
      </c>
      <c r="I4607" s="2162" t="n">
        <v>0</v>
      </c>
      <c r="J4607" s="2162" t="n">
        <v>0</v>
      </c>
      <c r="K4607" s="2162" t="n"/>
    </row>
    <row r="4608" outlineLevel="3" ht="15.75" customHeight="1">
      <c r="A4608" s="10" t="n">
        <v>5</v>
      </c>
      <c r="B4608" s="10" t="inlineStr">
        <is>
          <t>Insumo</t>
        </is>
      </c>
      <c r="C4608" s="15" t="inlineStr">
        <is>
          <t>Revestimento Monolítico Acrílico aplicado em Fachadas</t>
        </is>
      </c>
      <c r="D4608" s="15" t="inlineStr">
        <is>
          <t>Tela de Fibra de Vidro</t>
        </is>
      </c>
      <c r="E4608" s="11">
        <f t="array" ref="E4608">_xlfn.XLOOKUP(D4608,Insumos!B:B,Insumos!C:$C)</f>
        <v/>
      </c>
      <c r="F4608" s="14" t="n">
        <v>0.05</v>
      </c>
      <c r="G4608" s="92">
        <f t="array" ref="G4608">IF(B4608="insumo",_xlfn.XLOOKUP($D4608,Insumos!$B$1:$B$996,Insumos!$D$1:$D$996),"")</f>
        <v/>
      </c>
      <c r="H4608" s="92" t="n">
        <v>0.405</v>
      </c>
      <c r="I4608" s="2162" t="n">
        <v>0</v>
      </c>
      <c r="J4608" s="2162" t="n">
        <v>0</v>
      </c>
      <c r="K4608" s="2162" t="n"/>
    </row>
    <row r="4609" outlineLevel="3" ht="15.75" customHeight="1">
      <c r="A4609" s="10" t="n">
        <v>10</v>
      </c>
      <c r="B4609" s="10" t="inlineStr">
        <is>
          <t>Insumo</t>
        </is>
      </c>
      <c r="C4609" s="15" t="inlineStr">
        <is>
          <t>Revestimento Monolítico Acrílico aplicado em Fachadas</t>
        </is>
      </c>
      <c r="D4609" s="15" t="inlineStr">
        <is>
          <t>SELANTE ELASTICO MONOCOMPONENTE A BASE DE POLIURETANO (PU) PARA JUNTAS DIVERSAS</t>
        </is>
      </c>
      <c r="E4609" s="11">
        <f t="array" ref="E4609">_xlfn.XLOOKUP(D4609,Insumos!B:B,Insumos!C:$C)</f>
        <v/>
      </c>
      <c r="F4609" s="14" t="n">
        <v>0.05</v>
      </c>
      <c r="G4609" s="92">
        <f t="array" ref="G4609">IF(B4609="insumo",_xlfn.XLOOKUP($D4609,Insumos!$B$1:$B$996,Insumos!$D$1:$D$996),"")</f>
        <v/>
      </c>
      <c r="H4609" s="92" t="n">
        <v>1.035</v>
      </c>
      <c r="I4609" s="2162" t="n">
        <v>0</v>
      </c>
      <c r="J4609" s="2162" t="n">
        <v>0</v>
      </c>
      <c r="K4609" s="2162" t="n"/>
    </row>
    <row r="4610" outlineLevel="2" ht="15.75" customHeight="1">
      <c r="A4610" s="1067" t="n">
        <v>1</v>
      </c>
      <c r="B4610" s="1067" t="inlineStr">
        <is>
          <t>Serviço</t>
        </is>
      </c>
      <c r="C4610" s="1067" t="inlineStr">
        <is>
          <t>Moldura de fachada, com revestimento de tijolinho aderido, cor areia</t>
        </is>
      </c>
      <c r="D4610" s="1067" t="inlineStr">
        <is>
          <t>Moldura de fachada, com revestimento de tijolinho aderido, cor areia</t>
        </is>
      </c>
      <c r="E4610" s="1068" t="inlineStr">
        <is>
          <t>M</t>
        </is>
      </c>
      <c r="F4610" s="1067" t="n"/>
      <c r="G4610" s="1069">
        <f t="array" ref="G4610">IF(B4610="insumo",_xlfn.XLOOKUP($D4610,Insumos!$B$1:$B$996,Insumos!$D$1:$D$996),"")</f>
        <v/>
      </c>
      <c r="H4610" s="1069" t="n">
        <v>36.032</v>
      </c>
      <c r="I4610" s="2161" t="n">
        <v>0</v>
      </c>
      <c r="J4610" s="2161" t="n">
        <v>0</v>
      </c>
      <c r="K4610" s="2161" t="n"/>
    </row>
    <row r="4611" outlineLevel="3" ht="15.75" customHeight="1">
      <c r="A4611" s="10" t="n">
        <v>1</v>
      </c>
      <c r="B4611" s="10" t="inlineStr">
        <is>
          <t>Insumo</t>
        </is>
      </c>
      <c r="C4611" s="10" t="inlineStr">
        <is>
          <t>Moldura de fachada, com revestimento de tijolinho aderido, cor areia</t>
        </is>
      </c>
      <c r="D4611" s="10" t="inlineStr">
        <is>
          <t>tijolinho aderido, cor areia</t>
        </is>
      </c>
      <c r="E4611" s="11">
        <f t="array" ref="E4611">_xlfn.XLOOKUP(D4611,Insumos!B:B,Insumos!C:$C)</f>
        <v/>
      </c>
      <c r="F4611" s="14" t="n">
        <v>0.13</v>
      </c>
      <c r="G4611" s="92">
        <f t="array" ref="G4611">IF(B4611="insumo",_xlfn.XLOOKUP($D4611,Insumos!$B$1:$B$996,Insumos!$D$1:$D$996),"")</f>
        <v/>
      </c>
      <c r="H4611" s="92" t="n">
        <v>31.2</v>
      </c>
      <c r="I4611" s="2162" t="n">
        <v>0</v>
      </c>
      <c r="J4611" s="2162" t="n">
        <v>0</v>
      </c>
      <c r="K4611" s="2162" t="n"/>
    </row>
    <row r="4612" outlineLevel="3" ht="15.75" customHeight="1">
      <c r="A4612" s="10" t="n">
        <v>8</v>
      </c>
      <c r="B4612" s="10" t="inlineStr">
        <is>
          <t>Insumo</t>
        </is>
      </c>
      <c r="C4612" s="10" t="inlineStr">
        <is>
          <t>Moldura de fachada, com revestimento de tijolinho aderido, cor areia</t>
        </is>
      </c>
      <c r="D4612" s="10" t="inlineStr">
        <is>
          <t>ARGAMASSA COLANTE AC II</t>
        </is>
      </c>
      <c r="E4612" s="11">
        <f t="array" ref="E4612">_xlfn.XLOOKUP(D4612,Insumos!B:B,Insumos!C:$C)</f>
        <v/>
      </c>
      <c r="F4612" s="14" t="n">
        <v>0.7</v>
      </c>
      <c r="G4612" s="92">
        <f t="array" ref="G4612">IF(B4612="insumo",_xlfn.XLOOKUP($D4612,Insumos!$B$1:$B$996,Insumos!$D$1:$D$996),"")</f>
        <v/>
      </c>
      <c r="H4612" s="92" t="n">
        <v>0.952</v>
      </c>
      <c r="I4612" s="2162" t="n">
        <v>0</v>
      </c>
      <c r="J4612" s="2162" t="n">
        <v>0</v>
      </c>
      <c r="K4612" s="2162" t="n"/>
    </row>
    <row r="4613" outlineLevel="3" ht="15.75" customHeight="1">
      <c r="A4613" s="10" t="n">
        <v>36</v>
      </c>
      <c r="B4613" s="10" t="inlineStr">
        <is>
          <t>Insumo</t>
        </is>
      </c>
      <c r="C4613" s="10" t="inlineStr">
        <is>
          <t>Moldura de fachada, com revestimento de tijolinho aderido, cor areia</t>
        </is>
      </c>
      <c r="D4613" s="10" t="inlineStr">
        <is>
          <t>Rejunte Acrilico cinza platina</t>
        </is>
      </c>
      <c r="E4613" s="11">
        <f t="array" ref="E4613">_xlfn.XLOOKUP(D4613,Insumos!B:B,Insumos!C:$C)</f>
        <v/>
      </c>
      <c r="F4613" s="14" t="n">
        <v>0.1</v>
      </c>
      <c r="G4613" s="92">
        <f t="array" ref="G4613">IF(B4613="insumo",_xlfn.XLOOKUP($D4613,Insumos!$B$1:$B$996,Insumos!$D$1:$D$996),"")</f>
        <v/>
      </c>
      <c r="H4613" s="92" t="n">
        <v>3.8</v>
      </c>
      <c r="I4613" s="2162" t="n">
        <v>0</v>
      </c>
      <c r="J4613" s="2162" t="n">
        <v>0</v>
      </c>
      <c r="K4613" s="2162" t="n"/>
    </row>
    <row r="4614" outlineLevel="3" ht="15.75" customHeight="1">
      <c r="A4614" s="10" t="n">
        <v>142</v>
      </c>
      <c r="B4614" s="10" t="inlineStr">
        <is>
          <t>Insumo</t>
        </is>
      </c>
      <c r="C4614" s="10" t="inlineStr">
        <is>
          <t>Moldura de fachada, com revestimento de tijolinho aderido, cor areia</t>
        </is>
      </c>
      <c r="D4614" s="10" t="inlineStr">
        <is>
          <t>Espeçador junta piso 2mm</t>
        </is>
      </c>
      <c r="E4614" s="11">
        <f t="array" ref="E4614">_xlfn.XLOOKUP(D4614,Insumos!B:B,Insumos!C:$C)</f>
        <v/>
      </c>
      <c r="F4614" s="14" t="n">
        <v>1</v>
      </c>
      <c r="G4614" s="92">
        <f t="array" ref="G4614">IF(B4614="insumo",_xlfn.XLOOKUP($D4614,Insumos!$B$1:$B$996,Insumos!$D$1:$D$996),"")</f>
        <v/>
      </c>
      <c r="H4614" s="92" t="n">
        <v>0.08</v>
      </c>
      <c r="I4614" s="2162" t="n">
        <v>0</v>
      </c>
      <c r="J4614" s="2162" t="n">
        <v>0</v>
      </c>
      <c r="K4614" s="2162" t="n"/>
    </row>
    <row r="4615" outlineLevel="2" ht="15.75" customHeight="1">
      <c r="A4615" s="1067" t="n">
        <v>1</v>
      </c>
      <c r="B4615" s="1067" t="inlineStr">
        <is>
          <t>Serviço</t>
        </is>
      </c>
      <c r="C4615" s="1067" t="inlineStr">
        <is>
          <t>Moldura de fachada, com revestimento de tijolinho aderido, cor branco pigmentado</t>
        </is>
      </c>
      <c r="D4615" s="1067" t="inlineStr">
        <is>
          <t>Moldura de fachada, com revestimento de tijolinho aderido, cor branco pigmentado</t>
        </is>
      </c>
      <c r="E4615" s="1068" t="inlineStr">
        <is>
          <t>M</t>
        </is>
      </c>
      <c r="F4615" s="1067" t="n"/>
      <c r="G4615" s="1069">
        <f t="array" ref="G4615">IF(B4615="insumo",_xlfn.XLOOKUP($D4615,Insumos!$B$1:$B$996,Insumos!$D$1:$D$996),"")</f>
        <v/>
      </c>
      <c r="H4615" s="1069" t="n">
        <v>42.272</v>
      </c>
      <c r="I4615" s="2161" t="n">
        <v>0</v>
      </c>
      <c r="J4615" s="2161" t="n">
        <v>0</v>
      </c>
      <c r="K4615" s="2161" t="n"/>
    </row>
    <row r="4616" outlineLevel="3" ht="15.75" customHeight="1">
      <c r="A4616" s="10" t="n">
        <v>2</v>
      </c>
      <c r="B4616" s="10" t="inlineStr">
        <is>
          <t>Insumo</t>
        </is>
      </c>
      <c r="C4616" s="10" t="inlineStr">
        <is>
          <t>Moldura de fachada, com revestimento de tijolinho aderido, cor branco pigmentado</t>
        </is>
      </c>
      <c r="D4616" s="10" t="inlineStr">
        <is>
          <t>tijolinho aderido, cor branco pigmentado</t>
        </is>
      </c>
      <c r="E4616" s="11">
        <f t="array" ref="E4616">_xlfn.XLOOKUP(D4616,Insumos!B:B,Insumos!C:$C)</f>
        <v/>
      </c>
      <c r="F4616" s="14" t="n">
        <v>0.13</v>
      </c>
      <c r="G4616" s="92">
        <f t="array" ref="G4616">IF(B4616="insumo",_xlfn.XLOOKUP($D4616,Insumos!$B$1:$B$996,Insumos!$D$1:$D$996),"")</f>
        <v/>
      </c>
      <c r="H4616" s="92" t="n">
        <v>37.44</v>
      </c>
      <c r="I4616" s="2162" t="n">
        <v>0</v>
      </c>
      <c r="J4616" s="2162" t="n">
        <v>0</v>
      </c>
      <c r="K4616" s="2162" t="n"/>
    </row>
    <row r="4617" outlineLevel="3" ht="15.75" customHeight="1">
      <c r="A4617" s="10" t="n">
        <v>8</v>
      </c>
      <c r="B4617" s="10" t="inlineStr">
        <is>
          <t>Insumo</t>
        </is>
      </c>
      <c r="C4617" s="10" t="inlineStr">
        <is>
          <t>Moldura de fachada, com revestimento de tijolinho aderido, cor branco pigmentado</t>
        </is>
      </c>
      <c r="D4617" s="10" t="inlineStr">
        <is>
          <t>ARGAMASSA COLANTE AC II</t>
        </is>
      </c>
      <c r="E4617" s="11">
        <f t="array" ref="E4617">_xlfn.XLOOKUP(D4617,Insumos!B:B,Insumos!C:$C)</f>
        <v/>
      </c>
      <c r="F4617" s="14" t="n">
        <v>0.7</v>
      </c>
      <c r="G4617" s="92">
        <f t="array" ref="G4617">IF(B4617="insumo",_xlfn.XLOOKUP($D4617,Insumos!$B$1:$B$996,Insumos!$D$1:$D$996),"")</f>
        <v/>
      </c>
      <c r="H4617" s="92" t="n">
        <v>0.952</v>
      </c>
      <c r="I4617" s="2162" t="n">
        <v>0</v>
      </c>
      <c r="J4617" s="2162" t="n">
        <v>0</v>
      </c>
      <c r="K4617" s="2162" t="n"/>
    </row>
    <row r="4618" outlineLevel="3" ht="15.75" customHeight="1">
      <c r="A4618" s="10" t="n">
        <v>36</v>
      </c>
      <c r="B4618" s="10" t="inlineStr">
        <is>
          <t>Insumo</t>
        </is>
      </c>
      <c r="C4618" s="10" t="inlineStr">
        <is>
          <t>Moldura de fachada, com revestimento de tijolinho aderido, cor branco pigmentado</t>
        </is>
      </c>
      <c r="D4618" s="10" t="inlineStr">
        <is>
          <t>Rejunte Acrilico cinza platina</t>
        </is>
      </c>
      <c r="E4618" s="11">
        <f t="array" ref="E4618">_xlfn.XLOOKUP(D4618,Insumos!B:B,Insumos!C:$C)</f>
        <v/>
      </c>
      <c r="F4618" s="14" t="n">
        <v>0.1</v>
      </c>
      <c r="G4618" s="92">
        <f t="array" ref="G4618">IF(B4618="insumo",_xlfn.XLOOKUP($D4618,Insumos!$B$1:$B$996,Insumos!$D$1:$D$996),"")</f>
        <v/>
      </c>
      <c r="H4618" s="92" t="n">
        <v>3.8</v>
      </c>
      <c r="I4618" s="2162" t="n">
        <v>0</v>
      </c>
      <c r="J4618" s="2162" t="n">
        <v>0</v>
      </c>
      <c r="K4618" s="2162" t="n"/>
    </row>
    <row r="4619" outlineLevel="3" ht="15.75" customHeight="1">
      <c r="A4619" s="10" t="n">
        <v>142</v>
      </c>
      <c r="B4619" s="10" t="inlineStr">
        <is>
          <t>Insumo</t>
        </is>
      </c>
      <c r="C4619" s="10" t="inlineStr">
        <is>
          <t>Moldura de fachada, com revestimento de tijolinho aderido, cor branco pigmentado</t>
        </is>
      </c>
      <c r="D4619" s="10" t="inlineStr">
        <is>
          <t>Espeçador junta piso 2mm</t>
        </is>
      </c>
      <c r="E4619" s="11">
        <f t="array" ref="E4619">_xlfn.XLOOKUP(D4619,Insumos!B:B,Insumos!C:$C)</f>
        <v/>
      </c>
      <c r="F4619" s="14" t="n">
        <v>1</v>
      </c>
      <c r="G4619" s="92">
        <f t="array" ref="G4619">IF(B4619="insumo",_xlfn.XLOOKUP($D4619,Insumos!$B$1:$B$996,Insumos!$D$1:$D$996),"")</f>
        <v/>
      </c>
      <c r="H4619" s="92" t="n">
        <v>0.08</v>
      </c>
      <c r="I4619" s="2162" t="n">
        <v>0</v>
      </c>
      <c r="J4619" s="2162" t="n">
        <v>0</v>
      </c>
      <c r="K4619" s="2162" t="n"/>
    </row>
    <row r="4620" outlineLevel="2" ht="15.75" customHeight="1">
      <c r="A4620" s="1067" t="n">
        <v>1</v>
      </c>
      <c r="B4620" s="1067" t="inlineStr">
        <is>
          <t>Serviço</t>
        </is>
      </c>
      <c r="C4620" s="1067" t="inlineStr">
        <is>
          <t>Moldura de fachada, com revestimento de marmore travertino romano</t>
        </is>
      </c>
      <c r="D4620" s="1067" t="inlineStr">
        <is>
          <t>Moldura de fachada, com revestimento de marmore travertino romano</t>
        </is>
      </c>
      <c r="E4620" s="1068" t="inlineStr">
        <is>
          <t>M</t>
        </is>
      </c>
      <c r="F4620" s="1067" t="n"/>
      <c r="G4620" s="1069">
        <f t="array" ref="G4620">IF(B4620="insumo",_xlfn.XLOOKUP($D4620,Insumos!$B$1:$B$996,Insumos!$D$1:$D$996),"")</f>
        <v/>
      </c>
      <c r="H4620" s="1069" t="n">
        <v>173.832</v>
      </c>
      <c r="I4620" s="2161" t="e">
        <v>#REF!</v>
      </c>
      <c r="J4620" s="2161" t="e">
        <v>#REF!</v>
      </c>
      <c r="K4620" s="2161" t="n"/>
    </row>
    <row r="4621" outlineLevel="3" ht="15.75" customHeight="1">
      <c r="A4621" s="10" t="n">
        <v>5</v>
      </c>
      <c r="B4621" s="10" t="inlineStr">
        <is>
          <t>Insumo</t>
        </is>
      </c>
      <c r="C4621" s="10" t="inlineStr">
        <is>
          <t>Moldura de fachada, com revestimento de marmore travertino romano</t>
        </is>
      </c>
      <c r="D4621" s="10" t="inlineStr">
        <is>
          <t>Mármore Travertino Romano</t>
        </is>
      </c>
      <c r="E4621" s="11">
        <f t="array" ref="E4621">_xlfn.XLOOKUP(D4621,Insumos!B:B,Insumos!C:$C)</f>
        <v/>
      </c>
      <c r="F4621" s="14" t="n">
        <v>0.13</v>
      </c>
      <c r="G4621" s="92">
        <f t="array" ref="G4621">IF(B4621="insumo",_xlfn.XLOOKUP($D4621,Insumos!$B$1:$B$996,Insumos!$D$1:$D$996),"")</f>
        <v/>
      </c>
      <c r="H4621" s="92" t="n">
        <v>169</v>
      </c>
      <c r="I4621" s="2162" t="e">
        <v>#REF!</v>
      </c>
      <c r="J4621" s="2162" t="e">
        <v>#REF!</v>
      </c>
      <c r="K4621" s="2162" t="n"/>
    </row>
    <row r="4622" outlineLevel="3" ht="15.75" customHeight="1">
      <c r="A4622" s="10" t="n">
        <v>8</v>
      </c>
      <c r="B4622" s="10" t="inlineStr">
        <is>
          <t>Insumo</t>
        </is>
      </c>
      <c r="C4622" s="10" t="inlineStr">
        <is>
          <t>Moldura de fachada, com revestimento de marmore travertino romano</t>
        </is>
      </c>
      <c r="D4622" s="10" t="inlineStr">
        <is>
          <t>ARGAMASSA COLANTE AC II</t>
        </is>
      </c>
      <c r="E4622" s="11">
        <f t="array" ref="E4622">_xlfn.XLOOKUP(D4622,Insumos!B:B,Insumos!C:$C)</f>
        <v/>
      </c>
      <c r="F4622" s="14" t="n">
        <v>0.7</v>
      </c>
      <c r="G4622" s="92">
        <f t="array" ref="G4622">IF(B4622="insumo",_xlfn.XLOOKUP($D4622,Insumos!$B$1:$B$996,Insumos!$D$1:$D$996),"")</f>
        <v/>
      </c>
      <c r="H4622" s="92" t="n">
        <v>0.952</v>
      </c>
      <c r="I4622" s="2162" t="e">
        <v>#REF!</v>
      </c>
      <c r="J4622" s="2162" t="e">
        <v>#REF!</v>
      </c>
      <c r="K4622" s="2162" t="n"/>
    </row>
    <row r="4623" outlineLevel="3" ht="15.75" customHeight="1">
      <c r="A4623" s="10" t="n">
        <v>36</v>
      </c>
      <c r="B4623" s="10" t="inlineStr">
        <is>
          <t>Insumo</t>
        </is>
      </c>
      <c r="C4623" s="10" t="inlineStr">
        <is>
          <t>Moldura de fachada, com revestimento de marmore travertino romano</t>
        </is>
      </c>
      <c r="D4623" s="10" t="inlineStr">
        <is>
          <t>Rejunte Acrilico cinza platina</t>
        </is>
      </c>
      <c r="E4623" s="11">
        <f t="array" ref="E4623">_xlfn.XLOOKUP(D4623,Insumos!B:B,Insumos!C:$C)</f>
        <v/>
      </c>
      <c r="F4623" s="14" t="n">
        <v>0.1</v>
      </c>
      <c r="G4623" s="92">
        <f t="array" ref="G4623">IF(B4623="insumo",_xlfn.XLOOKUP($D4623,Insumos!$B$1:$B$996,Insumos!$D$1:$D$996),"")</f>
        <v/>
      </c>
      <c r="H4623" s="92" t="n">
        <v>3.8</v>
      </c>
      <c r="I4623" s="2162" t="e">
        <v>#REF!</v>
      </c>
      <c r="J4623" s="2162" t="e">
        <v>#REF!</v>
      </c>
      <c r="K4623" s="2162" t="n"/>
    </row>
    <row r="4624" outlineLevel="3" ht="15.75" customHeight="1">
      <c r="A4624" s="10" t="n">
        <v>142</v>
      </c>
      <c r="B4624" s="10" t="inlineStr">
        <is>
          <t>Insumo</t>
        </is>
      </c>
      <c r="C4624" s="10" t="inlineStr">
        <is>
          <t>Moldura de fachada, com revestimento de marmore travertino romano</t>
        </is>
      </c>
      <c r="D4624" s="10" t="inlineStr">
        <is>
          <t>Espeçador junta piso 2mm</t>
        </is>
      </c>
      <c r="E4624" s="11">
        <f t="array" ref="E4624">_xlfn.XLOOKUP(D4624,Insumos!B:B,Insumos!C:$C)</f>
        <v/>
      </c>
      <c r="F4624" s="14" t="n">
        <v>1</v>
      </c>
      <c r="G4624" s="92">
        <f t="array" ref="G4624">IF(B4624="insumo",_xlfn.XLOOKUP($D4624,Insumos!$B$1:$B$996,Insumos!$D$1:$D$996),"")</f>
        <v/>
      </c>
      <c r="H4624" s="92" t="n">
        <v>0.08</v>
      </c>
      <c r="I4624" s="2162" t="e">
        <v>#REF!</v>
      </c>
      <c r="J4624" s="2162" t="e">
        <v>#REF!</v>
      </c>
      <c r="K4624" s="2162" t="n"/>
    </row>
    <row r="4625" outlineLevel="2" ht="15.75" customHeight="1">
      <c r="A4625" s="1067" t="n">
        <v>1</v>
      </c>
      <c r="B4625" s="1067" t="inlineStr">
        <is>
          <t>Serviço</t>
        </is>
      </c>
      <c r="C4625" s="1067" t="inlineStr">
        <is>
          <t>Moldura de fachada, com revestimento de tijolinho aderido, cor vermelho escuro</t>
        </is>
      </c>
      <c r="D4625" s="1067" t="inlineStr">
        <is>
          <t>Moldura de fachada, com revestimento de tijolinho aderido, cor vermelho escuro</t>
        </is>
      </c>
      <c r="E4625" s="1068" t="inlineStr">
        <is>
          <t>M</t>
        </is>
      </c>
      <c r="F4625" s="1067" t="n"/>
      <c r="G4625" s="1069">
        <f t="array" ref="G4625">IF(B4625="insumo",_xlfn.XLOOKUP($D4625,Insumos!$B$1:$B$996,Insumos!$D$1:$D$996),"")</f>
        <v/>
      </c>
      <c r="H4625" s="1069" t="n">
        <v>32.912</v>
      </c>
      <c r="I4625" s="2161" t="n">
        <v>0</v>
      </c>
      <c r="J4625" s="2161" t="n">
        <v>0</v>
      </c>
      <c r="K4625" s="2161" t="n"/>
    </row>
    <row r="4626" outlineLevel="3" ht="15.75" customHeight="1">
      <c r="A4626" s="10" t="n">
        <v>2</v>
      </c>
      <c r="B4626" s="10" t="inlineStr">
        <is>
          <t>Insumo</t>
        </is>
      </c>
      <c r="C4626" s="10" t="inlineStr">
        <is>
          <t>Moldura de fachada, com revestimento de tijolinho aderido, cor vermelho escuro</t>
        </is>
      </c>
      <c r="D4626" s="10" t="inlineStr">
        <is>
          <t>tijolinho aderido, cor vermelho escuro</t>
        </is>
      </c>
      <c r="E4626" s="11">
        <f t="array" ref="E4626">_xlfn.XLOOKUP(D4626,Insumos!B:B,Insumos!C:$C)</f>
        <v/>
      </c>
      <c r="F4626" s="14" t="n">
        <v>0.13</v>
      </c>
      <c r="G4626" s="92">
        <f t="array" ref="G4626">IF(B4626="insumo",_xlfn.XLOOKUP($D4626,Insumos!$B$1:$B$996,Insumos!$D$1:$D$996),"")</f>
        <v/>
      </c>
      <c r="H4626" s="92" t="n">
        <v>28.08</v>
      </c>
      <c r="I4626" s="2162" t="n">
        <v>0</v>
      </c>
      <c r="J4626" s="2162" t="n">
        <v>0</v>
      </c>
      <c r="K4626" s="2162" t="n"/>
    </row>
    <row r="4627" outlineLevel="3" ht="15.75" customHeight="1">
      <c r="A4627" s="10" t="n">
        <v>8</v>
      </c>
      <c r="B4627" s="10" t="inlineStr">
        <is>
          <t>Insumo</t>
        </is>
      </c>
      <c r="C4627" s="10" t="inlineStr">
        <is>
          <t>Moldura de fachada, com revestimento de tijolinho aderido, cor vermelho escuro</t>
        </is>
      </c>
      <c r="D4627" s="10" t="inlineStr">
        <is>
          <t>ARGAMASSA COLANTE AC II</t>
        </is>
      </c>
      <c r="E4627" s="11">
        <f t="array" ref="E4627">_xlfn.XLOOKUP(D4627,Insumos!B:B,Insumos!C:$C)</f>
        <v/>
      </c>
      <c r="F4627" s="14" t="n">
        <v>0.7</v>
      </c>
      <c r="G4627" s="92">
        <f t="array" ref="G4627">IF(B4627="insumo",_xlfn.XLOOKUP($D4627,Insumos!$B$1:$B$996,Insumos!$D$1:$D$996),"")</f>
        <v/>
      </c>
      <c r="H4627" s="92" t="n">
        <v>0.952</v>
      </c>
      <c r="I4627" s="2162" t="n">
        <v>0</v>
      </c>
      <c r="J4627" s="2162" t="n">
        <v>0</v>
      </c>
      <c r="K4627" s="2162" t="n"/>
    </row>
    <row r="4628" outlineLevel="3" ht="15.75" customHeight="1">
      <c r="A4628" s="10" t="n">
        <v>36</v>
      </c>
      <c r="B4628" s="10" t="inlineStr">
        <is>
          <t>Insumo</t>
        </is>
      </c>
      <c r="C4628" s="10" t="inlineStr">
        <is>
          <t>Moldura de fachada, com revestimento de tijolinho aderido, cor vermelho escuro</t>
        </is>
      </c>
      <c r="D4628" s="10" t="inlineStr">
        <is>
          <t>Rejunte Acrilico cinza platina</t>
        </is>
      </c>
      <c r="E4628" s="11">
        <f t="array" ref="E4628">_xlfn.XLOOKUP(D4628,Insumos!B:B,Insumos!C:$C)</f>
        <v/>
      </c>
      <c r="F4628" s="14" t="n">
        <v>0.1</v>
      </c>
      <c r="G4628" s="92">
        <f t="array" ref="G4628">IF(B4628="insumo",_xlfn.XLOOKUP($D4628,Insumos!$B$1:$B$996,Insumos!$D$1:$D$996),"")</f>
        <v/>
      </c>
      <c r="H4628" s="92" t="n">
        <v>3.8</v>
      </c>
      <c r="I4628" s="2162" t="n">
        <v>0</v>
      </c>
      <c r="J4628" s="2162" t="n">
        <v>0</v>
      </c>
      <c r="K4628" s="2162" t="n"/>
    </row>
    <row r="4629" outlineLevel="3" ht="15.75" customHeight="1">
      <c r="A4629" s="10" t="n">
        <v>142</v>
      </c>
      <c r="B4629" s="10" t="inlineStr">
        <is>
          <t>Insumo</t>
        </is>
      </c>
      <c r="C4629" s="10" t="inlineStr">
        <is>
          <t>Moldura de fachada, com revestimento de tijolinho aderido, cor vermelho escuro</t>
        </is>
      </c>
      <c r="D4629" s="10" t="inlineStr">
        <is>
          <t>Espeçador junta piso 2mm</t>
        </is>
      </c>
      <c r="E4629" s="11">
        <f t="array" ref="E4629">_xlfn.XLOOKUP(D4629,Insumos!B:B,Insumos!C:$C)</f>
        <v/>
      </c>
      <c r="F4629" s="14" t="n">
        <v>1</v>
      </c>
      <c r="G4629" s="92">
        <f t="array" ref="G4629">IF(B4629="insumo",_xlfn.XLOOKUP($D4629,Insumos!$B$1:$B$996,Insumos!$D$1:$D$996),"")</f>
        <v/>
      </c>
      <c r="H4629" s="92" t="n">
        <v>0.08</v>
      </c>
      <c r="I4629" s="2162" t="n">
        <v>0</v>
      </c>
      <c r="J4629" s="2162" t="n">
        <v>0</v>
      </c>
      <c r="K4629" s="2162" t="n"/>
    </row>
    <row r="4630" outlineLevel="2" ht="15.75" customHeight="1">
      <c r="A4630" s="1067" t="n">
        <v>1</v>
      </c>
      <c r="B4630" s="1067" t="inlineStr">
        <is>
          <t>Serviço</t>
        </is>
      </c>
      <c r="C4630" s="1067" t="inlineStr">
        <is>
          <t>Moldura de fachada, com revestimento de pastilha azul (OM15645 – 7,5x7,5), com largura de  30 cm - atlas</t>
        </is>
      </c>
      <c r="D4630" s="1067" t="inlineStr">
        <is>
          <t>Moldura de fachada, com revestimento de pastilha azul (OM15645 – 7,5x7,5), com largura de  30 cm - atlas</t>
        </is>
      </c>
      <c r="E4630" s="1068" t="inlineStr">
        <is>
          <t>M</t>
        </is>
      </c>
      <c r="F4630" s="1067" t="n"/>
      <c r="G4630" s="1069">
        <f t="array" ref="G4630">IF(B4630="insumo",_xlfn.XLOOKUP($D4630,Insumos!$B$1:$B$996,Insumos!$D$1:$D$996),"")</f>
        <v/>
      </c>
      <c r="H4630" s="1069" t="n">
        <v>150.380185454545</v>
      </c>
      <c r="I4630" s="2161" t="e">
        <v>#REF!</v>
      </c>
      <c r="J4630" s="2161" t="e">
        <v>#REF!</v>
      </c>
      <c r="K4630" s="2161" t="n"/>
    </row>
    <row r="4631" outlineLevel="3" ht="15.75" customHeight="1">
      <c r="A4631" s="10" t="n">
        <v>1</v>
      </c>
      <c r="B4631" s="10" t="inlineStr">
        <is>
          <t>Insumo</t>
        </is>
      </c>
      <c r="C4631" s="10" t="inlineStr">
        <is>
          <t>Moldura de fachada, com revestimento de pastilha azul (OM15645 – 7,5x7,5), com largura de  30 cm - atlas</t>
        </is>
      </c>
      <c r="D4631" s="10" t="inlineStr">
        <is>
          <t>pastilha azul (OM15645 – 7,5x7,5) - atlas</t>
        </is>
      </c>
      <c r="E4631" s="11">
        <f t="array" ref="E4631">_xlfn.XLOOKUP(D4631,Insumos!B:B,Insumos!C:$C)</f>
        <v/>
      </c>
      <c r="F4631" s="14" t="n">
        <v>0.33</v>
      </c>
      <c r="G4631" s="92">
        <f t="array" ref="G4631">IF(B4631="insumo",_xlfn.XLOOKUP($D4631,Insumos!$B$1:$B$996,Insumos!$D$1:$D$996),"")</f>
        <v/>
      </c>
      <c r="H4631" s="92" t="n">
        <v>56.1</v>
      </c>
      <c r="I4631" s="2162" t="e">
        <v>#REF!</v>
      </c>
      <c r="J4631" s="2162" t="e">
        <v>#REF!</v>
      </c>
      <c r="K4631" s="2162" t="n"/>
    </row>
    <row r="4632" outlineLevel="3" ht="15.75" customHeight="1">
      <c r="A4632" s="10" t="n">
        <v>8</v>
      </c>
      <c r="B4632" s="10" t="inlineStr">
        <is>
          <t>Insumo</t>
        </is>
      </c>
      <c r="C4632" s="10" t="inlineStr">
        <is>
          <t>Moldura de fachada, com revestimento de pastilha azul (OM15645 – 7,5x7,5), com largura de  30 cm - atlas</t>
        </is>
      </c>
      <c r="D4632" s="10" t="inlineStr">
        <is>
          <t>ARGAMASSA COLANTE AC II</t>
        </is>
      </c>
      <c r="E4632" s="11">
        <f t="array" ref="E4632">_xlfn.XLOOKUP(D4632,Insumos!B:B,Insumos!C:$C)</f>
        <v/>
      </c>
      <c r="F4632" s="14">
        <f>2.64+2.7</f>
        <v/>
      </c>
      <c r="G4632" s="92">
        <f t="array" ref="G4632">IF(B4632="insumo",_xlfn.XLOOKUP($D4632,Insumos!$B$1:$B$996,Insumos!$D$1:$D$996),"")</f>
        <v/>
      </c>
      <c r="H4632" s="92" t="n">
        <v>7.2624</v>
      </c>
      <c r="I4632" s="2162" t="e">
        <v>#REF!</v>
      </c>
      <c r="J4632" s="2162" t="e">
        <v>#REF!</v>
      </c>
      <c r="K4632" s="2162" t="n"/>
    </row>
    <row r="4633" outlineLevel="3" ht="15.75" customHeight="1">
      <c r="A4633" s="10" t="n">
        <v>36</v>
      </c>
      <c r="B4633" s="10" t="inlineStr">
        <is>
          <t>Insumo</t>
        </is>
      </c>
      <c r="C4633" s="10" t="inlineStr">
        <is>
          <t>Moldura de fachada, com revestimento de pastilha azul (OM15645 – 7,5x7,5), com largura de  30 cm - atlas</t>
        </is>
      </c>
      <c r="D4633" s="10" t="inlineStr">
        <is>
          <t>Rejunte Acrilico cinza platina</t>
        </is>
      </c>
      <c r="E4633" s="11">
        <f t="array" ref="E4633">_xlfn.XLOOKUP(D4633,Insumos!B:B,Insumos!C:$C)</f>
        <v/>
      </c>
      <c r="F4633" s="14" t="n">
        <v>0.3</v>
      </c>
      <c r="G4633" s="92">
        <f t="array" ref="G4633">IF(B4633="insumo",_xlfn.XLOOKUP($D4633,Insumos!$B$1:$B$996,Insumos!$D$1:$D$996),"")</f>
        <v/>
      </c>
      <c r="H4633" s="92" t="n">
        <v>11.4</v>
      </c>
      <c r="I4633" s="2162" t="e">
        <v>#REF!</v>
      </c>
      <c r="J4633" s="2162" t="e">
        <v>#REF!</v>
      </c>
      <c r="K4633" s="2162" t="n"/>
    </row>
    <row r="4634" outlineLevel="3" ht="15.75" customHeight="1">
      <c r="A4634" s="10" t="n">
        <v>142</v>
      </c>
      <c r="B4634" s="10" t="inlineStr">
        <is>
          <t>Insumo</t>
        </is>
      </c>
      <c r="C4634" s="10" t="inlineStr">
        <is>
          <t>Moldura de fachada, com revestimento de pastilha azul (OM15645 – 7,5x7,5), com largura de  30 cm - atlas</t>
        </is>
      </c>
      <c r="D4634" s="10" t="inlineStr">
        <is>
          <t>Espeçador junta piso 2mm</t>
        </is>
      </c>
      <c r="E4634" s="11">
        <f t="array" ref="E4634">_xlfn.XLOOKUP(D4634,Insumos!B:B,Insumos!C:$C)</f>
        <v/>
      </c>
      <c r="F4634" s="14" t="n">
        <v>0.003</v>
      </c>
      <c r="G4634" s="92">
        <f t="array" ref="G4634">IF(B4634="insumo",_xlfn.XLOOKUP($D4634,Insumos!$B$1:$B$996,Insumos!$D$1:$D$996),"")</f>
        <v/>
      </c>
      <c r="H4634" s="92" t="n">
        <v>0.00024</v>
      </c>
      <c r="I4634" s="2162" t="e">
        <v>#REF!</v>
      </c>
      <c r="J4634" s="2162" t="e">
        <v>#REF!</v>
      </c>
      <c r="K4634" s="2162" t="n"/>
    </row>
    <row r="4635" outlineLevel="3" ht="15.75" customHeight="1">
      <c r="A4635" s="10" t="n">
        <v>5</v>
      </c>
      <c r="B4635" s="10" t="inlineStr">
        <is>
          <t>Insumo</t>
        </is>
      </c>
      <c r="C4635" s="10" t="inlineStr">
        <is>
          <t>Moldura de fachada, com revestimento de pastilha azul (OM15645 – 7,5x7,5), com largura de  30 cm - atlas</t>
        </is>
      </c>
      <c r="D4635" s="10" t="inlineStr">
        <is>
          <t>Moldura EPS - m³</t>
        </is>
      </c>
      <c r="E4635" s="11">
        <f t="array" ref="E4635">_xlfn.XLOOKUP(D4635,Insumos!B:B,Insumos!C:$C)</f>
        <v/>
      </c>
      <c r="F4635" s="14" t="n">
        <v>0.033</v>
      </c>
      <c r="G4635" s="92">
        <f t="array" ref="G4635">IF(B4635="insumo",_xlfn.XLOOKUP($D4635,Insumos!$B$1:$B$996,Insumos!$D$1:$D$996),"")</f>
        <v/>
      </c>
      <c r="H4635" s="92" t="n">
        <v>45.4545454545455</v>
      </c>
      <c r="I4635" s="2162" t="e">
        <v>#REF!</v>
      </c>
      <c r="J4635" s="2162" t="e">
        <v>#REF!</v>
      </c>
      <c r="K4635" s="2162" t="n"/>
    </row>
    <row r="4636" outlineLevel="3" ht="15.75" customHeight="1">
      <c r="A4636" s="10" t="n">
        <v>4</v>
      </c>
      <c r="B4636" s="10" t="inlineStr">
        <is>
          <t>Insumo</t>
        </is>
      </c>
      <c r="C4636" s="10" t="inlineStr">
        <is>
          <t>Moldura de fachada, com revestimento de pastilha azul (OM15645 – 7,5x7,5), com largura de  30 cm - atlas</t>
        </is>
      </c>
      <c r="D4636" s="10" t="inlineStr">
        <is>
          <t>Massa cimentícia armada</t>
        </is>
      </c>
      <c r="E4636" s="11">
        <f t="array" ref="E4636">_xlfn.XLOOKUP(D4636,Insumos!B:B,Insumos!C:$C)</f>
        <v/>
      </c>
      <c r="F4636" s="14" t="n">
        <v>1.5</v>
      </c>
      <c r="G4636" s="92">
        <f t="array" ref="G4636">IF(B4636="insumo",_xlfn.XLOOKUP($D4636,Insumos!$B$1:$B$996,Insumos!$D$1:$D$996),"")</f>
        <v/>
      </c>
      <c r="H4636" s="92" t="n">
        <v>27.49</v>
      </c>
      <c r="I4636" s="2162" t="e">
        <v>#REF!</v>
      </c>
      <c r="J4636" s="2162" t="e">
        <v>#REF!</v>
      </c>
      <c r="K4636" s="2162" t="n"/>
    </row>
    <row r="4637" outlineLevel="3" ht="15.75" customHeight="1">
      <c r="A4637" s="10" t="n">
        <v>5</v>
      </c>
      <c r="B4637" s="10" t="inlineStr">
        <is>
          <t>Insumo</t>
        </is>
      </c>
      <c r="C4637" s="10" t="inlineStr">
        <is>
          <t>Moldura de fachada, com revestimento de pastilha azul (OM15645 – 7,5x7,5), com largura de  30 cm - atlas</t>
        </is>
      </c>
      <c r="D4637" s="10" t="inlineStr">
        <is>
          <t>Tela de Fibra de Vidro</t>
        </is>
      </c>
      <c r="E4637" s="11">
        <f t="array" ref="E4637">_xlfn.XLOOKUP(D4637,Insumos!B:B,Insumos!C:$C)</f>
        <v/>
      </c>
      <c r="F4637" s="14" t="n">
        <v>0.33</v>
      </c>
      <c r="G4637" s="92">
        <f t="array" ref="G4637">IF(B4637="insumo",_xlfn.XLOOKUP($D4637,Insumos!$B$1:$B$996,Insumos!$D$1:$D$996),"")</f>
        <v/>
      </c>
      <c r="H4637" s="92" t="n">
        <v>2.673</v>
      </c>
      <c r="I4637" s="2162" t="e">
        <v>#REF!</v>
      </c>
      <c r="J4637" s="2162" t="e">
        <v>#REF!</v>
      </c>
      <c r="K4637" s="2162" t="n"/>
    </row>
    <row r="4638" outlineLevel="2" ht="12.75" customHeight="1">
      <c r="A4638" s="1071" t="n">
        <v>1</v>
      </c>
      <c r="B4638" s="1071" t="inlineStr">
        <is>
          <t>Serviço</t>
        </is>
      </c>
      <c r="C4638" s="1071" t="inlineStr">
        <is>
          <t>Moldura de fachada, com revestimento externo de porcelanato painel kyoto, 60 x120cm com Junta de 2mm e largura de 30 cm</t>
        </is>
      </c>
      <c r="D4638" s="1071" t="inlineStr">
        <is>
          <t>Moldura de fachada, com revestimento externo de porcelanato painel kyoto, 60 x120cm com Junta de 2mm e largura de 30 cm</t>
        </is>
      </c>
      <c r="E4638" s="1072" t="inlineStr">
        <is>
          <t>M</t>
        </is>
      </c>
      <c r="F4638" s="1071" t="n"/>
      <c r="G4638" s="1073">
        <f t="array" ref="G4638">IF(B4638="insumo",_xlfn.XLOOKUP($D4638,Insumos!$B$1:$B$996,Insumos!$D$1:$D$996),"")</f>
        <v/>
      </c>
      <c r="H4638" s="1073" t="n">
        <v>130.099375454545</v>
      </c>
      <c r="I4638" s="2163" t="e">
        <v>#REF!</v>
      </c>
      <c r="J4638" s="2163" t="e">
        <v>#REF!</v>
      </c>
      <c r="K4638" s="2163" t="n"/>
    </row>
    <row r="4639" outlineLevel="3" ht="12.75" customHeight="1">
      <c r="A4639" s="82" t="n">
        <v>3</v>
      </c>
      <c r="B4639" s="82" t="inlineStr">
        <is>
          <t>Insumo</t>
        </is>
      </c>
      <c r="C4639" s="82" t="inlineStr">
        <is>
          <t>Moldura de fachada, com revestimento externo de porcelanato painel kyoto, 60 x120cm com Junta de 2mm e largura de 30 cm</t>
        </is>
      </c>
      <c r="D4639" s="10" t="inlineStr">
        <is>
          <t xml:space="preserve">Porcelanato Painel Kyoto - PAINEL KYOTO FENDI AC 60X120 CM </t>
        </is>
      </c>
      <c r="E4639" s="11">
        <f t="array" ref="E4639">_xlfn.XLOOKUP(D4639,Insumos!B:B,Insumos!C:$C)</f>
        <v/>
      </c>
      <c r="F4639" s="2164" t="n">
        <v>0.33</v>
      </c>
      <c r="G4639" s="92">
        <f t="array" ref="G4639">IF(B4639="insumo",_xlfn.XLOOKUP($D4639,Insumos!$B$1:$B$996,Insumos!$D$1:$D$996),"")</f>
        <v/>
      </c>
      <c r="H4639" s="92" t="n">
        <v>48.642</v>
      </c>
      <c r="I4639" s="2165" t="e">
        <v>#REF!</v>
      </c>
      <c r="J4639" s="2165" t="e">
        <v>#REF!</v>
      </c>
      <c r="K4639" s="2165" t="n"/>
    </row>
    <row r="4640" outlineLevel="3" ht="12.75" customHeight="1">
      <c r="A4640" s="82" t="n">
        <v>191</v>
      </c>
      <c r="B4640" s="82" t="inlineStr">
        <is>
          <t>Insumo</t>
        </is>
      </c>
      <c r="C4640" s="82" t="inlineStr">
        <is>
          <t>Moldura de fachada, com revestimento externo de porcelanato painel kyoto, 60 x120cm com Junta de 2mm e largura de 30 cm</t>
        </is>
      </c>
      <c r="D4640" s="82" t="inlineStr">
        <is>
          <t>Argamassa ACIII</t>
        </is>
      </c>
      <c r="E4640" s="11">
        <f t="array" ref="E4640">_xlfn.XLOOKUP(D4640,Insumos!B:B,Insumos!C:$C)</f>
        <v/>
      </c>
      <c r="F4640" s="2164">
        <f>2.64+2.7</f>
        <v/>
      </c>
      <c r="G4640" s="92">
        <f t="array" ref="G4640">IF(B4640="insumo",_xlfn.XLOOKUP($D4640,Insumos!$B$1:$B$996,Insumos!$D$1:$D$996),"")</f>
        <v/>
      </c>
      <c r="H4640" s="92" t="n">
        <v>5.68443</v>
      </c>
      <c r="I4640" s="2165" t="e">
        <v>#REF!</v>
      </c>
      <c r="J4640" s="2165" t="e">
        <v>#REF!</v>
      </c>
      <c r="K4640" s="2165" t="n"/>
    </row>
    <row r="4641" outlineLevel="3" ht="12.75" customHeight="1">
      <c r="A4641" s="82" t="n">
        <v>142</v>
      </c>
      <c r="B4641" s="82" t="inlineStr">
        <is>
          <t>Insumo</t>
        </is>
      </c>
      <c r="C4641" s="82" t="inlineStr">
        <is>
          <t>Moldura de fachada, com revestimento externo de porcelanato painel kyoto, 60 x120cm com Junta de 2mm e largura de 30 cm</t>
        </is>
      </c>
      <c r="D4641" s="82" t="inlineStr">
        <is>
          <t>Espeçador junta piso 2mm</t>
        </is>
      </c>
      <c r="E4641" s="11">
        <f t="array" ref="E4641">_xlfn.XLOOKUP(D4641,Insumos!B:B,Insumos!C:$C)</f>
        <v/>
      </c>
      <c r="F4641" s="2164" t="n">
        <v>0.3</v>
      </c>
      <c r="G4641" s="92">
        <f t="array" ref="G4641">IF(B4641="insumo",_xlfn.XLOOKUP($D4641,Insumos!$B$1:$B$996,Insumos!$D$1:$D$996),"")</f>
        <v/>
      </c>
      <c r="H4641" s="92" t="n">
        <v>0.024</v>
      </c>
      <c r="I4641" s="2165" t="e">
        <v>#REF!</v>
      </c>
      <c r="J4641" s="2165" t="e">
        <v>#REF!</v>
      </c>
      <c r="K4641" s="2165" t="n"/>
    </row>
    <row r="4642" outlineLevel="3" ht="12.75" customHeight="1">
      <c r="A4642" s="82" t="n">
        <v>22</v>
      </c>
      <c r="B4642" s="82" t="inlineStr">
        <is>
          <t>Insumo</t>
        </is>
      </c>
      <c r="C4642" s="82" t="inlineStr">
        <is>
          <t>Moldura de fachada, com revestimento externo de porcelanato painel kyoto, 60 x120cm com Junta de 2mm e largura de 30 cm</t>
        </is>
      </c>
      <c r="D4642" s="82" t="inlineStr">
        <is>
          <t>Rejunte acrilico</t>
        </is>
      </c>
      <c r="E4642" s="11">
        <f t="array" ref="E4642">_xlfn.XLOOKUP(D4642,Insumos!B:B,Insumos!C:$C)</f>
        <v/>
      </c>
      <c r="F4642" s="2164" t="n">
        <v>0.003</v>
      </c>
      <c r="G4642" s="92">
        <f t="array" ref="G4642">IF(B4642="insumo",_xlfn.XLOOKUP($D4642,Insumos!$B$1:$B$996,Insumos!$D$1:$D$996),"")</f>
        <v/>
      </c>
      <c r="H4642" s="92" t="n">
        <v>0.1314</v>
      </c>
      <c r="I4642" s="2165" t="e">
        <v>#REF!</v>
      </c>
      <c r="J4642" s="2165" t="e">
        <v>#REF!</v>
      </c>
      <c r="K4642" s="2165" t="n"/>
    </row>
    <row r="4643" outlineLevel="3" ht="15.75" customHeight="1">
      <c r="A4643" s="10" t="n">
        <v>5</v>
      </c>
      <c r="B4643" s="10" t="inlineStr">
        <is>
          <t>Insumo</t>
        </is>
      </c>
      <c r="C4643" s="10" t="inlineStr">
        <is>
          <t>Moldura de fachada, com revestimento externo de porcelanato painel kyoto, 60 x120cm com Junta de 2mm e largura de 30 cm</t>
        </is>
      </c>
      <c r="D4643" s="10" t="inlineStr">
        <is>
          <t>Moldura EPS - m³</t>
        </is>
      </c>
      <c r="E4643" s="11">
        <f t="array" ref="E4643">_xlfn.XLOOKUP(D4643,Insumos!B:B,Insumos!C:$C)</f>
        <v/>
      </c>
      <c r="F4643" s="14" t="n">
        <v>0.033</v>
      </c>
      <c r="G4643" s="92">
        <f t="array" ref="G4643">IF(B4643="insumo",_xlfn.XLOOKUP($D4643,Insumos!$B$1:$B$996,Insumos!$D$1:$D$996),"")</f>
        <v/>
      </c>
      <c r="H4643" s="92" t="n">
        <v>45.4545454545455</v>
      </c>
      <c r="I4643" s="2162" t="e">
        <v>#REF!</v>
      </c>
      <c r="J4643" s="2162" t="e">
        <v>#REF!</v>
      </c>
      <c r="K4643" s="2162" t="n"/>
    </row>
    <row r="4644" outlineLevel="3" ht="15.75" customHeight="1">
      <c r="A4644" s="10" t="n">
        <v>4</v>
      </c>
      <c r="B4644" s="10" t="inlineStr">
        <is>
          <t>Insumo</t>
        </is>
      </c>
      <c r="C4644" s="10" t="inlineStr">
        <is>
          <t>Moldura de fachada, com revestimento externo de porcelanato painel kyoto, 60 x120cm com Junta de 2mm e largura de 30 cm</t>
        </is>
      </c>
      <c r="D4644" s="10" t="inlineStr">
        <is>
          <t>Massa cimentícia armada</t>
        </is>
      </c>
      <c r="E4644" s="11">
        <f t="array" ref="E4644">_xlfn.XLOOKUP(D4644,Insumos!B:B,Insumos!C:$C)</f>
        <v/>
      </c>
      <c r="F4644" s="14" t="n">
        <v>1.5</v>
      </c>
      <c r="G4644" s="92">
        <f t="array" ref="G4644">IF(B4644="insumo",_xlfn.XLOOKUP($D4644,Insumos!$B$1:$B$996,Insumos!$D$1:$D$996),"")</f>
        <v/>
      </c>
      <c r="H4644" s="92" t="n">
        <v>27.49</v>
      </c>
      <c r="I4644" s="2162" t="e">
        <v>#REF!</v>
      </c>
      <c r="J4644" s="2162" t="e">
        <v>#REF!</v>
      </c>
      <c r="K4644" s="2162" t="n"/>
    </row>
    <row r="4645" outlineLevel="3" ht="15.75" customHeight="1">
      <c r="A4645" s="10" t="n">
        <v>5</v>
      </c>
      <c r="B4645" s="10" t="inlineStr">
        <is>
          <t>Insumo</t>
        </is>
      </c>
      <c r="C4645" s="10" t="inlineStr">
        <is>
          <t>Moldura de fachada, com revestimento externo de porcelanato painel kyoto, 60 x120cm com Junta de 2mm e largura de 30 cm</t>
        </is>
      </c>
      <c r="D4645" s="10" t="inlineStr">
        <is>
          <t>Tela de Fibra de Vidro</t>
        </is>
      </c>
      <c r="E4645" s="11">
        <f t="array" ref="E4645">_xlfn.XLOOKUP(D4645,Insumos!B:B,Insumos!C:$C)</f>
        <v/>
      </c>
      <c r="F4645" s="14" t="n">
        <v>0.33</v>
      </c>
      <c r="G4645" s="92">
        <f t="array" ref="G4645">IF(B4645="insumo",_xlfn.XLOOKUP($D4645,Insumos!$B$1:$B$996,Insumos!$D$1:$D$996),"")</f>
        <v/>
      </c>
      <c r="H4645" s="92" t="n">
        <v>2.673</v>
      </c>
      <c r="I4645" s="2162" t="e">
        <v>#REF!</v>
      </c>
      <c r="J4645" s="2162" t="e">
        <v>#REF!</v>
      </c>
      <c r="K4645" s="2162" t="n"/>
    </row>
    <row r="4646" outlineLevel="2" ht="12.75" customHeight="1">
      <c r="A4646" s="1071" t="n">
        <v>1</v>
      </c>
      <c r="B4646" s="1071" t="inlineStr">
        <is>
          <t>Serviço</t>
        </is>
      </c>
      <c r="C4646" s="1071" t="inlineStr">
        <is>
          <t>Moldura de fachada, com revestimento externo de Cerâmica extrudada Brick Tile, 60x15cm, com Junta de 2mm e largura de 30 cm</t>
        </is>
      </c>
      <c r="D4646" s="1071" t="inlineStr">
        <is>
          <t>Moldura de fachada, com revestimento externo de Cerâmica extrudada Brick Tile, 60x15cm, com Junta de 2mm e largura de 30 cm</t>
        </is>
      </c>
      <c r="E4646" s="1072" t="inlineStr">
        <is>
          <t>M</t>
        </is>
      </c>
      <c r="F4646" s="1071" t="n"/>
      <c r="G4646" s="1073">
        <f t="array" ref="G4646">IF(B4646="insumo",_xlfn.XLOOKUP($D4646,Insumos!$B$1:$B$996,Insumos!$D$1:$D$996),"")</f>
        <v/>
      </c>
      <c r="H4646" s="1073" t="n">
        <v>211.477375454545</v>
      </c>
      <c r="I4646" s="2163" t="e">
        <v>#REF!</v>
      </c>
      <c r="J4646" s="2163" t="e">
        <v>#REF!</v>
      </c>
      <c r="K4646" s="2163" t="n"/>
    </row>
    <row r="4647" outlineLevel="3" ht="12.75" customHeight="1">
      <c r="A4647" s="82" t="n">
        <v>3</v>
      </c>
      <c r="B4647" s="82" t="inlineStr">
        <is>
          <t>Insumo</t>
        </is>
      </c>
      <c r="C4647" s="82" t="inlineStr">
        <is>
          <t>Moldura de fachada, com revestimento externo de Cerâmica extrudada Brick Tile, 60x15cm, com Junta de 2mm e largura de 30 cm</t>
        </is>
      </c>
      <c r="D4647" s="10" t="inlineStr">
        <is>
          <t>Cerâmica Extrudada - Cerâmica Extrudada para Fachada Ventilada tijolo a vista, Modelo Faveton BRICK TILE, medida máxima de 600x150x16mm</t>
        </is>
      </c>
      <c r="E4647" s="11">
        <f t="array" ref="E4647">_xlfn.XLOOKUP(D4647,Insumos!B:B,Insumos!C:$C)</f>
        <v/>
      </c>
      <c r="F4647" s="2164" t="n">
        <v>0.33</v>
      </c>
      <c r="G4647" s="92">
        <f t="array" ref="G4647">IF(B4647="insumo",_xlfn.XLOOKUP($D4647,Insumos!$B$1:$B$996,Insumos!$D$1:$D$996),"")</f>
        <v/>
      </c>
      <c r="H4647" s="92" t="n">
        <v>130.02</v>
      </c>
      <c r="I4647" s="2165" t="e">
        <v>#REF!</v>
      </c>
      <c r="J4647" s="2165" t="e">
        <v>#REF!</v>
      </c>
      <c r="K4647" s="2165" t="n"/>
    </row>
    <row r="4648" outlineLevel="3" ht="12.75" customHeight="1">
      <c r="A4648" s="82" t="n">
        <v>191</v>
      </c>
      <c r="B4648" s="82" t="inlineStr">
        <is>
          <t>Insumo</t>
        </is>
      </c>
      <c r="C4648" s="82" t="inlineStr">
        <is>
          <t>Moldura de fachada, com revestimento externo de Cerâmica extrudada Brick Tile, 60x15cm, com Junta de 2mm e largura de 30 cm</t>
        </is>
      </c>
      <c r="D4648" s="82" t="inlineStr">
        <is>
          <t>Argamassa ACIII</t>
        </is>
      </c>
      <c r="E4648" s="11">
        <f t="array" ref="E4648">_xlfn.XLOOKUP(D4648,Insumos!B:B,Insumos!C:$C)</f>
        <v/>
      </c>
      <c r="F4648" s="2164">
        <f>2.64+2.7</f>
        <v/>
      </c>
      <c r="G4648" s="92">
        <f t="array" ref="G4648">IF(B4648="insumo",_xlfn.XLOOKUP($D4648,Insumos!$B$1:$B$996,Insumos!$D$1:$D$996),"")</f>
        <v/>
      </c>
      <c r="H4648" s="92" t="n">
        <v>5.68443</v>
      </c>
      <c r="I4648" s="2165" t="e">
        <v>#REF!</v>
      </c>
      <c r="J4648" s="2165" t="e">
        <v>#REF!</v>
      </c>
      <c r="K4648" s="2165" t="n"/>
    </row>
    <row r="4649" outlineLevel="3" ht="12.75" customHeight="1">
      <c r="A4649" s="82" t="n">
        <v>142</v>
      </c>
      <c r="B4649" s="82" t="inlineStr">
        <is>
          <t>Insumo</t>
        </is>
      </c>
      <c r="C4649" s="82" t="inlineStr">
        <is>
          <t>Moldura de fachada, com revestimento externo de Cerâmica extrudada Brick Tile, 60x15cm, com Junta de 2mm e largura de 30 cm</t>
        </is>
      </c>
      <c r="D4649" s="82" t="inlineStr">
        <is>
          <t>Espeçador junta piso 2mm</t>
        </is>
      </c>
      <c r="E4649" s="11">
        <f t="array" ref="E4649">_xlfn.XLOOKUP(D4649,Insumos!B:B,Insumos!C:$C)</f>
        <v/>
      </c>
      <c r="F4649" s="2164" t="n">
        <v>0.3</v>
      </c>
      <c r="G4649" s="92">
        <f t="array" ref="G4649">IF(B4649="insumo",_xlfn.XLOOKUP($D4649,Insumos!$B$1:$B$996,Insumos!$D$1:$D$996),"")</f>
        <v/>
      </c>
      <c r="H4649" s="92" t="n">
        <v>0.024</v>
      </c>
      <c r="I4649" s="2165" t="e">
        <v>#REF!</v>
      </c>
      <c r="J4649" s="2165" t="e">
        <v>#REF!</v>
      </c>
      <c r="K4649" s="2165" t="n"/>
    </row>
    <row r="4650" outlineLevel="3" ht="12.75" customHeight="1">
      <c r="A4650" s="82" t="n">
        <v>22</v>
      </c>
      <c r="B4650" s="82" t="inlineStr">
        <is>
          <t>Insumo</t>
        </is>
      </c>
      <c r="C4650" s="82" t="inlineStr">
        <is>
          <t>Moldura de fachada, com revestimento externo de Cerâmica extrudada Brick Tile, 60x15cm, com Junta de 2mm e largura de 30 cm</t>
        </is>
      </c>
      <c r="D4650" s="82" t="inlineStr">
        <is>
          <t>Rejunte acrilico</t>
        </is>
      </c>
      <c r="E4650" s="11">
        <f t="array" ref="E4650">_xlfn.XLOOKUP(D4650,Insumos!B:B,Insumos!C:$C)</f>
        <v/>
      </c>
      <c r="F4650" s="2164" t="n">
        <v>0.003</v>
      </c>
      <c r="G4650" s="92">
        <f t="array" ref="G4650">IF(B4650="insumo",_xlfn.XLOOKUP($D4650,Insumos!$B$1:$B$996,Insumos!$D$1:$D$996),"")</f>
        <v/>
      </c>
      <c r="H4650" s="92" t="n">
        <v>0.1314</v>
      </c>
      <c r="I4650" s="2165" t="e">
        <v>#REF!</v>
      </c>
      <c r="J4650" s="2165" t="e">
        <v>#REF!</v>
      </c>
      <c r="K4650" s="2165" t="n"/>
    </row>
    <row r="4651" outlineLevel="3" ht="15.75" customHeight="1">
      <c r="A4651" s="10" t="n">
        <v>5</v>
      </c>
      <c r="B4651" s="10" t="inlineStr">
        <is>
          <t>Insumo</t>
        </is>
      </c>
      <c r="C4651" s="10" t="inlineStr">
        <is>
          <t>Moldura de fachada, com revestimento externo de Cerâmica extrudada Brick Tile, 60x15cm, com Junta de 2mm e largura de 30 cm</t>
        </is>
      </c>
      <c r="D4651" s="10" t="inlineStr">
        <is>
          <t>Moldura EPS - m³</t>
        </is>
      </c>
      <c r="E4651" s="11">
        <f t="array" ref="E4651">_xlfn.XLOOKUP(D4651,Insumos!B:B,Insumos!C:$C)</f>
        <v/>
      </c>
      <c r="F4651" s="14" t="n">
        <v>0.033</v>
      </c>
      <c r="G4651" s="92">
        <f t="array" ref="G4651">IF(B4651="insumo",_xlfn.XLOOKUP($D4651,Insumos!$B$1:$B$996,Insumos!$D$1:$D$996),"")</f>
        <v/>
      </c>
      <c r="H4651" s="92" t="n">
        <v>45.4545454545455</v>
      </c>
      <c r="I4651" s="2162" t="e">
        <v>#REF!</v>
      </c>
      <c r="J4651" s="2162" t="e">
        <v>#REF!</v>
      </c>
      <c r="K4651" s="2162" t="n"/>
    </row>
    <row r="4652" outlineLevel="3" ht="15.75" customHeight="1">
      <c r="A4652" s="10" t="n">
        <v>4</v>
      </c>
      <c r="B4652" s="10" t="inlineStr">
        <is>
          <t>Insumo</t>
        </is>
      </c>
      <c r="C4652" s="10" t="inlineStr">
        <is>
          <t>Moldura de fachada, com revestimento externo de Cerâmica extrudada Brick Tile, 60x15cm, com Junta de 2mm e largura de 30 cm</t>
        </is>
      </c>
      <c r="D4652" s="10" t="inlineStr">
        <is>
          <t>Massa cimentícia armada</t>
        </is>
      </c>
      <c r="E4652" s="11">
        <f t="array" ref="E4652">_xlfn.XLOOKUP(D4652,Insumos!B:B,Insumos!C:$C)</f>
        <v/>
      </c>
      <c r="F4652" s="14" t="n">
        <v>1.5</v>
      </c>
      <c r="G4652" s="92">
        <f t="array" ref="G4652">IF(B4652="insumo",_xlfn.XLOOKUP($D4652,Insumos!$B$1:$B$996,Insumos!$D$1:$D$996),"")</f>
        <v/>
      </c>
      <c r="H4652" s="92" t="n">
        <v>27.49</v>
      </c>
      <c r="I4652" s="2162" t="e">
        <v>#REF!</v>
      </c>
      <c r="J4652" s="2162" t="e">
        <v>#REF!</v>
      </c>
      <c r="K4652" s="2162" t="n"/>
    </row>
    <row r="4653" outlineLevel="3" ht="15.75" customHeight="1">
      <c r="A4653" s="10" t="n">
        <v>5</v>
      </c>
      <c r="B4653" s="10" t="inlineStr">
        <is>
          <t>Insumo</t>
        </is>
      </c>
      <c r="C4653" s="10" t="inlineStr">
        <is>
          <t>Moldura de fachada, com revestimento externo de Cerâmica extrudada Brick Tile, 60x15cm, com Junta de 2mm e largura de 30 cm</t>
        </is>
      </c>
      <c r="D4653" s="10" t="inlineStr">
        <is>
          <t>Tela de Fibra de Vidro</t>
        </is>
      </c>
      <c r="E4653" s="11">
        <f t="array" ref="E4653">_xlfn.XLOOKUP(D4653,Insumos!B:B,Insumos!C:$C)</f>
        <v/>
      </c>
      <c r="F4653" s="14" t="n">
        <v>0.33</v>
      </c>
      <c r="G4653" s="92">
        <f t="array" ref="G4653">IF(B4653="insumo",_xlfn.XLOOKUP($D4653,Insumos!$B$1:$B$996,Insumos!$D$1:$D$996),"")</f>
        <v/>
      </c>
      <c r="H4653" s="92" t="n">
        <v>2.673</v>
      </c>
      <c r="I4653" s="2162" t="e">
        <v>#REF!</v>
      </c>
      <c r="J4653" s="2162" t="e">
        <v>#REF!</v>
      </c>
      <c r="K4653" s="2162" t="n"/>
    </row>
    <row r="4654" outlineLevel="2" ht="15.75" customHeight="1">
      <c r="A4654" s="1067" t="n">
        <v>1</v>
      </c>
      <c r="B4654" s="1067" t="inlineStr">
        <is>
          <t>Serviço</t>
        </is>
      </c>
      <c r="C4654" s="1067" t="inlineStr">
        <is>
          <t>Revestimento de Cerâmica extrudada Brick Tile, 60x15cm ventilado, com toda a estrutura - Material e Mão de Obra</t>
        </is>
      </c>
      <c r="D4654" s="1067" t="inlineStr">
        <is>
          <t>Revestimento de Cerâmica extrudada Brick Tile, 60x15cm ventilado, com toda a estrutura - Material e Mão de Obra</t>
        </is>
      </c>
      <c r="E4654" s="1072" t="inlineStr">
        <is>
          <t>M2</t>
        </is>
      </c>
      <c r="F4654" s="1067" t="n"/>
      <c r="G4654" s="1069">
        <f t="array" ref="G4654">IF(B4654="insumo",_xlfn.XLOOKUP($D4654,Insumos!$B$1:$B$996,Insumos!$D$1:$D$996),"")</f>
        <v/>
      </c>
      <c r="H4654" s="1069" t="n">
        <v>1102</v>
      </c>
      <c r="I4654" s="2161" t="e">
        <v>#REF!</v>
      </c>
      <c r="J4654" s="2161" t="e">
        <v>#REF!</v>
      </c>
      <c r="K4654" s="2161" t="n"/>
    </row>
    <row r="4655" outlineLevel="3" ht="15.75" customHeight="1">
      <c r="A4655" s="10" t="n">
        <v>3</v>
      </c>
      <c r="B4655" s="10" t="inlineStr">
        <is>
          <t>Insumo</t>
        </is>
      </c>
      <c r="C4655" s="10" t="inlineStr">
        <is>
          <t>Revestimento de Cerâmica extrudada Brick Tile, 60x15cm ventilado, com toda a estrutura - Material e Mão de Obra</t>
        </is>
      </c>
      <c r="D4655" s="10" t="inlineStr">
        <is>
          <t>Cerâmica Extrudada - Cerâmica Extrudada para Fachada Ventilada tijolo a vista, Modelo Faveton BRICK TILE, medida máxima de 600x150x16mm</t>
        </is>
      </c>
      <c r="E4655" s="11">
        <f t="array" ref="E4655">_xlfn.XLOOKUP(D4655,Insumos!B:B,Insumos!C:$C)</f>
        <v/>
      </c>
      <c r="F4655" s="14" t="n">
        <v>1.1</v>
      </c>
      <c r="G4655" s="92">
        <f t="array" ref="G4655">IF(B4655="insumo",_xlfn.XLOOKUP($D4655,Insumos!$B$1:$B$996,Insumos!$D$1:$D$996),"")</f>
        <v/>
      </c>
      <c r="H4655" s="92" t="n">
        <v>433.4</v>
      </c>
      <c r="I4655" s="2162" t="e">
        <v>#REF!</v>
      </c>
      <c r="J4655" s="2162" t="e">
        <v>#REF!</v>
      </c>
      <c r="K4655" s="2162" t="n"/>
    </row>
    <row r="4656" outlineLevel="3" ht="15.75" customHeight="1">
      <c r="A4656" s="10" t="n">
        <v>1</v>
      </c>
      <c r="B4656" s="10" t="inlineStr">
        <is>
          <t>Insumo</t>
        </is>
      </c>
      <c r="C4656" s="10" t="inlineStr">
        <is>
          <t>Revestimento de Cerâmica extrudada Brick Tile, 60x15cm ventilado, com toda a estrutura - Material e Mão de Obra</t>
        </is>
      </c>
      <c r="D4656" s="10" t="inlineStr">
        <is>
          <t>Mecanização de chapas ventiladas + Mão de obra + projeto executivo</t>
        </is>
      </c>
      <c r="E4656" s="11">
        <f t="array" ref="E4656">_xlfn.XLOOKUP(D4656,Insumos!B:B,Insumos!C:$C)</f>
        <v/>
      </c>
      <c r="F4656" s="14" t="n">
        <v>1</v>
      </c>
      <c r="G4656" s="92">
        <f t="array" ref="G4656">IF(B4656="insumo",_xlfn.XLOOKUP($D4656,Insumos!$B$1:$B$996,Insumos!$D$1:$D$996),"")</f>
        <v/>
      </c>
      <c r="H4656" s="92" t="n">
        <v>337</v>
      </c>
      <c r="I4656" s="2162" t="e">
        <v>#REF!</v>
      </c>
      <c r="J4656" s="2162" t="e">
        <v>#REF!</v>
      </c>
      <c r="K4656" s="2162" t="n"/>
    </row>
    <row r="4657" outlineLevel="3" ht="15.75" customHeight="1">
      <c r="A4657" s="10" t="n">
        <v>1</v>
      </c>
      <c r="B4657" s="10" t="inlineStr">
        <is>
          <t>Insumo</t>
        </is>
      </c>
      <c r="C4657" s="10" t="inlineStr">
        <is>
          <t>Revestimento de Cerâmica extrudada Brick Tile, 60x15cm ventilado, com toda a estrutura - Material e Mão de Obra</t>
        </is>
      </c>
      <c r="D4657" s="10" t="inlineStr">
        <is>
          <t>SISTEMA FACHADA VENTILADA BT16 - Estrutura de Alumínio e fixações em Aço Inox.</t>
        </is>
      </c>
      <c r="E4657" s="11">
        <f t="array" ref="E4657">_xlfn.XLOOKUP(D4657,Insumos!B:B,Insumos!C:$C)</f>
        <v/>
      </c>
      <c r="F4657" s="14" t="n">
        <v>1</v>
      </c>
      <c r="G4657" s="92">
        <f t="array" ref="G4657">IF(B4657="insumo",_xlfn.XLOOKUP($D4657,Insumos!$B$1:$B$996,Insumos!$D$1:$D$996),"")</f>
        <v/>
      </c>
      <c r="H4657" s="92" t="n">
        <v>298</v>
      </c>
      <c r="I4657" s="2162" t="e">
        <v>#REF!</v>
      </c>
      <c r="J4657" s="2162" t="e">
        <v>#REF!</v>
      </c>
      <c r="K4657" s="2162" t="n"/>
    </row>
    <row r="4658" outlineLevel="3" ht="15.75" customHeight="1">
      <c r="A4658" s="10" t="n">
        <v>3</v>
      </c>
      <c r="B4658" s="10" t="inlineStr">
        <is>
          <t>Insumo</t>
        </is>
      </c>
      <c r="C4658" s="10" t="inlineStr">
        <is>
          <t>Revestimento de Cerâmica extrudada Brick Tile, 60x15cm ventilado, com toda a estrutura - Material e Mão de Obra</t>
        </is>
      </c>
      <c r="D4658" s="10" t="inlineStr">
        <is>
          <t>Manta fachada ventilada</t>
        </is>
      </c>
      <c r="E4658" s="11">
        <f t="array" ref="E4658">_xlfn.XLOOKUP(D4658,Insumos!B:B,Insumos!C:$C)</f>
        <v/>
      </c>
      <c r="F4658" s="14" t="n">
        <v>1.05</v>
      </c>
      <c r="G4658" s="92">
        <f t="array" ref="G4658">IF(B4658="insumo",_xlfn.XLOOKUP($D4658,Insumos!$B$1:$B$996,Insumos!$D$1:$D$996),"")</f>
        <v/>
      </c>
      <c r="H4658" s="92" t="n">
        <v>33.6</v>
      </c>
      <c r="I4658" s="2162" t="e">
        <v>#REF!</v>
      </c>
      <c r="J4658" s="2162" t="e">
        <v>#REF!</v>
      </c>
      <c r="K4658" s="2162" t="n"/>
    </row>
    <row r="4659" outlineLevel="2" ht="15.75" customHeight="1">
      <c r="A4659" s="1067" t="n">
        <v>1</v>
      </c>
      <c r="B4659" s="1067" t="inlineStr">
        <is>
          <t>Serviço</t>
        </is>
      </c>
      <c r="C4659" s="1067" t="inlineStr">
        <is>
          <t>Revestimento de Porcelanato Kyoto 120x60 cm ventilado, com toda a estrutura - Material e Mão de Obra</t>
        </is>
      </c>
      <c r="D4659" s="1067" t="inlineStr">
        <is>
          <t>Revestimento de Porcelanato Kyoto 120x60 cm ventilado, com toda a estrutura - Material e Mão de Obra</t>
        </is>
      </c>
      <c r="E4659" s="1072" t="inlineStr">
        <is>
          <t>M2</t>
        </is>
      </c>
      <c r="F4659" s="1067" t="n"/>
      <c r="G4659" s="1069">
        <f t="array" ref="G4659">IF(B4659="insumo",_xlfn.XLOOKUP($D4659,Insumos!$B$1:$B$996,Insumos!$D$1:$D$996),"")</f>
        <v/>
      </c>
      <c r="H4659" s="1069" t="n">
        <v>807.74</v>
      </c>
      <c r="I4659" s="2161" t="e">
        <v>#REF!</v>
      </c>
      <c r="J4659" s="2161" t="e">
        <v>#REF!</v>
      </c>
      <c r="K4659" s="2161" t="n"/>
    </row>
    <row r="4660" outlineLevel="3" ht="15.75" customHeight="1">
      <c r="A4660" s="10" t="n">
        <v>3</v>
      </c>
      <c r="B4660" s="10" t="inlineStr">
        <is>
          <t>Insumo</t>
        </is>
      </c>
      <c r="C4660" s="10" t="inlineStr">
        <is>
          <t>Revestimento de Porcelanato Kyoto 120x60 cm ventilado, com toda a estrutura - Material e Mão de Obra</t>
        </is>
      </c>
      <c r="D4660" s="10" t="inlineStr">
        <is>
          <t xml:space="preserve">Porcelanato Painel Kyoto - PAINEL KYOTO FENDI AC 60X120 CM </t>
        </is>
      </c>
      <c r="E4660" s="11">
        <f t="array" ref="E4660">_xlfn.XLOOKUP(D4660,Insumos!B:B,Insumos!C:$C)</f>
        <v/>
      </c>
      <c r="F4660" s="14" t="n">
        <v>1.1</v>
      </c>
      <c r="G4660" s="92">
        <f t="array" ref="G4660">IF(B4660="insumo",_xlfn.XLOOKUP($D4660,Insumos!$B$1:$B$996,Insumos!$D$1:$D$996),"")</f>
        <v/>
      </c>
      <c r="H4660" s="92" t="n">
        <v>162.14</v>
      </c>
      <c r="I4660" s="2162" t="e">
        <v>#REF!</v>
      </c>
      <c r="J4660" s="2162" t="e">
        <v>#REF!</v>
      </c>
      <c r="K4660" s="2162" t="n"/>
    </row>
    <row r="4661" outlineLevel="3" ht="15.75" customHeight="1">
      <c r="A4661" s="10" t="n">
        <v>3</v>
      </c>
      <c r="B4661" s="10" t="inlineStr">
        <is>
          <t>Insumo</t>
        </is>
      </c>
      <c r="C4661" s="10" t="inlineStr">
        <is>
          <t>Revestimento de Porcelanato Kyoto 120x60 cm ventilado, com toda a estrutura - Material e Mão de Obra</t>
        </is>
      </c>
      <c r="D4661" s="10" t="inlineStr">
        <is>
          <t>Sistema e Instalação de Fachada Ventilada. Mecanização das peças, arremate das esquadrias e Fretes</t>
        </is>
      </c>
      <c r="E4661" s="11">
        <f t="array" ref="E4661">_xlfn.XLOOKUP(D4661,Insumos!B:B,Insumos!C:$C)</f>
        <v/>
      </c>
      <c r="F4661" s="14" t="n">
        <v>1</v>
      </c>
      <c r="G4661" s="92">
        <f t="array" ref="G4661">IF(B4661="insumo",_xlfn.XLOOKUP($D4661,Insumos!$B$1:$B$996,Insumos!$D$1:$D$996),"")</f>
        <v/>
      </c>
      <c r="H4661" s="92" t="n">
        <v>305</v>
      </c>
      <c r="I4661" s="2162" t="e">
        <v>#REF!</v>
      </c>
      <c r="J4661" s="2162" t="e">
        <v>#REF!</v>
      </c>
      <c r="K4661" s="2162" t="n"/>
    </row>
    <row r="4662" outlineLevel="3" ht="15.75" customHeight="1">
      <c r="A4662" s="10" t="n">
        <v>3</v>
      </c>
      <c r="B4662" s="10" t="inlineStr">
        <is>
          <t>Insumo</t>
        </is>
      </c>
      <c r="C4662" s="10" t="inlineStr">
        <is>
          <t>Revestimento de Porcelanato Kyoto 120x60 cm ventilado, com toda a estrutura - Material e Mão de Obra</t>
        </is>
      </c>
      <c r="D4662" s="10" t="inlineStr">
        <is>
          <t>Manta fachada ventilada</t>
        </is>
      </c>
      <c r="E4662" s="11">
        <f t="array" ref="E4662">_xlfn.XLOOKUP(D4662,Insumos!B:B,Insumos!C:$C)</f>
        <v/>
      </c>
      <c r="F4662" s="14" t="n">
        <v>1.05</v>
      </c>
      <c r="G4662" s="92">
        <f t="array" ref="G4662">IF(B4662="insumo",_xlfn.XLOOKUP($D4662,Insumos!$B$1:$B$996,Insumos!$D$1:$D$996),"")</f>
        <v/>
      </c>
      <c r="H4662" s="92" t="n">
        <v>33.6</v>
      </c>
      <c r="I4662" s="2162" t="e">
        <v>#REF!</v>
      </c>
      <c r="J4662" s="2162" t="e">
        <v>#REF!</v>
      </c>
      <c r="K4662" s="2162" t="n"/>
    </row>
    <row r="4663" outlineLevel="3" ht="15.75" customHeight="1">
      <c r="A4663" s="10" t="n">
        <v>2</v>
      </c>
      <c r="B4663" s="10" t="inlineStr">
        <is>
          <t>Insumo</t>
        </is>
      </c>
      <c r="C4663" s="10" t="inlineStr">
        <is>
          <t>Revestimento de Porcelanato Kyoto 120x60 cm ventilado, com toda a estrutura - Material e Mão de Obra</t>
        </is>
      </c>
      <c r="D4663" s="10" t="inlineStr">
        <is>
          <t>Mão de obra de facahda ventilada</t>
        </is>
      </c>
      <c r="E4663" s="11">
        <f t="array" ref="E4663">_xlfn.XLOOKUP(D4663,Insumos!B:B,Insumos!C:$C)</f>
        <v/>
      </c>
      <c r="F4663" s="14" t="n">
        <v>1</v>
      </c>
      <c r="G4663" s="92">
        <f t="array" ref="G4663">IF(B4663="insumo",_xlfn.XLOOKUP($D4663,Insumos!$B$1:$B$996,Insumos!$D$1:$D$996),"")</f>
        <v/>
      </c>
      <c r="H4663" s="92" t="n">
        <v>307</v>
      </c>
      <c r="I4663" s="2162" t="e">
        <v>#REF!</v>
      </c>
      <c r="J4663" s="2162" t="e">
        <v>#REF!</v>
      </c>
      <c r="K4663" s="2162" t="n"/>
    </row>
    <row r="4664" outlineLevel="2" ht="15.75" customHeight="1">
      <c r="A4664" s="1067" t="n">
        <v>1</v>
      </c>
      <c r="B4664" s="1067" t="inlineStr">
        <is>
          <t>Serviço</t>
        </is>
      </c>
      <c r="C4664" s="1067" t="inlineStr">
        <is>
          <t>Revestimento de tijolinho ventilado, com toda a estrutura, cores rosado e tabaco - Material e Mão de Obra</t>
        </is>
      </c>
      <c r="D4664" s="1067" t="inlineStr">
        <is>
          <t>Revestimento de tijolinho ventilado, com toda a estrutura, cores rosado e tabaco - Material e Mão de Obra</t>
        </is>
      </c>
      <c r="E4664" s="1068" t="inlineStr">
        <is>
          <t>M</t>
        </is>
      </c>
      <c r="F4664" s="1067" t="n"/>
      <c r="G4664" s="1069">
        <f t="array" ref="G4664">IF(B4664="insumo",_xlfn.XLOOKUP($D4664,Insumos!$B$1:$B$996,Insumos!$D$1:$D$996),"")</f>
        <v/>
      </c>
      <c r="H4664" s="1069" t="n">
        <v>1843.344</v>
      </c>
      <c r="I4664" s="2161" t="e">
        <v>#REF!</v>
      </c>
      <c r="J4664" s="2161" t="e">
        <v>#REF!</v>
      </c>
      <c r="K4664" s="2161" t="n"/>
    </row>
    <row r="4665" outlineLevel="3" ht="15.75" customHeight="1">
      <c r="A4665" s="10" t="n">
        <v>1</v>
      </c>
      <c r="B4665" s="10" t="inlineStr">
        <is>
          <t>Insumo</t>
        </is>
      </c>
      <c r="C4665" s="10" t="inlineStr">
        <is>
          <t>Revestimento de tijolinho ventilado, com toda a estrutura, cores rosado e tabaco - Material e Mão de Obra</t>
        </is>
      </c>
      <c r="D4665" s="10" t="inlineStr">
        <is>
          <t>tijolinho ventilado, cor rosado - parede</t>
        </is>
      </c>
      <c r="E4665" s="11">
        <f t="array" ref="E4665">_xlfn.XLOOKUP(D4665,Insumos!B:B,Insumos!C:$C)</f>
        <v/>
      </c>
      <c r="F4665" s="14">
        <f>1.1*0.8</f>
        <v/>
      </c>
      <c r="G4665" s="92">
        <f t="array" ref="G4665">IF(B4665="insumo",_xlfn.XLOOKUP($D4665,Insumos!$B$1:$B$996,Insumos!$D$1:$D$996),"")</f>
        <v/>
      </c>
      <c r="H4665" s="92" t="n">
        <v>874.3680000000001</v>
      </c>
      <c r="I4665" s="2162" t="e">
        <v>#REF!</v>
      </c>
      <c r="J4665" s="2162" t="e">
        <v>#REF!</v>
      </c>
      <c r="K4665" s="2162" t="n"/>
    </row>
    <row r="4666" outlineLevel="3" ht="15.75" customHeight="1">
      <c r="A4666" s="10" t="n">
        <v>1</v>
      </c>
      <c r="B4666" s="10" t="inlineStr">
        <is>
          <t>Insumo</t>
        </is>
      </c>
      <c r="C4666" s="10" t="inlineStr">
        <is>
          <t>Revestimento de tijolinho ventilado, com toda a estrutura, cores rosado e tabaco - Material e Mão de Obra</t>
        </is>
      </c>
      <c r="D4666" s="10" t="inlineStr">
        <is>
          <t>tijolinho ventilado, cor tabaco - parede</t>
        </is>
      </c>
      <c r="E4666" s="11">
        <f t="array" ref="E4666">_xlfn.XLOOKUP(D4666,Insumos!B:B,Insumos!C:$C)</f>
        <v/>
      </c>
      <c r="F4666" s="14">
        <f>1.1*0.2</f>
        <v/>
      </c>
      <c r="G4666" s="92">
        <f t="array" ref="G4666">IF(B4666="insumo",_xlfn.XLOOKUP($D4666,Insumos!$B$1:$B$996,Insumos!$D$1:$D$996),"")</f>
        <v/>
      </c>
      <c r="H4666" s="92" t="n">
        <v>233.376</v>
      </c>
      <c r="I4666" s="2162" t="e">
        <v>#REF!</v>
      </c>
      <c r="J4666" s="2162" t="e">
        <v>#REF!</v>
      </c>
      <c r="K4666" s="2162" t="n"/>
    </row>
    <row r="4667" outlineLevel="3" ht="15.75" customHeight="1">
      <c r="A4667" s="10" t="n">
        <v>3</v>
      </c>
      <c r="B4667" s="10" t="inlineStr">
        <is>
          <t>Insumo</t>
        </is>
      </c>
      <c r="C4667" s="10" t="inlineStr">
        <is>
          <t>Revestimento de tijolinho ventilado, com toda a estrutura, cores rosado e tabaco - Material e Mão de Obra</t>
        </is>
      </c>
      <c r="D4667" s="10" t="inlineStr">
        <is>
          <t>Sistema e Instalação de Fachada Ventilada. Mecanização das peças, arremate das esquadrias e Fretes</t>
        </is>
      </c>
      <c r="E4667" s="11">
        <f t="array" ref="E4667">_xlfn.XLOOKUP(D4667,Insumos!B:B,Insumos!C:$C)</f>
        <v/>
      </c>
      <c r="F4667" s="14" t="n">
        <v>1</v>
      </c>
      <c r="G4667" s="92">
        <f t="array" ref="G4667">IF(B4667="insumo",_xlfn.XLOOKUP($D4667,Insumos!$B$1:$B$996,Insumos!$D$1:$D$996),"")</f>
        <v/>
      </c>
      <c r="H4667" s="92" t="n">
        <v>305</v>
      </c>
      <c r="I4667" s="2162" t="e">
        <v>#REF!</v>
      </c>
      <c r="J4667" s="2162" t="e">
        <v>#REF!</v>
      </c>
      <c r="K4667" s="2162" t="n"/>
    </row>
    <row r="4668" outlineLevel="3" ht="15.75" customHeight="1">
      <c r="A4668" s="10" t="n">
        <v>1</v>
      </c>
      <c r="B4668" s="10" t="inlineStr">
        <is>
          <t>Insumo</t>
        </is>
      </c>
      <c r="C4668" s="10" t="inlineStr">
        <is>
          <t>Revestimento de tijolinho ventilado, com toda a estrutura, cores rosado e tabaco - Material e Mão de Obra</t>
        </is>
      </c>
      <c r="D4668" s="10" t="inlineStr">
        <is>
          <t>Fixadores e acessórios - parafusos e fixadores</t>
        </is>
      </c>
      <c r="E4668" s="11">
        <f t="array" ref="E4668">_xlfn.XLOOKUP(D4668,Insumos!B:B,Insumos!C:$C)</f>
        <v/>
      </c>
      <c r="F4668" s="14" t="n">
        <v>1</v>
      </c>
      <c r="G4668" s="92">
        <f t="array" ref="G4668">IF(B4668="insumo",_xlfn.XLOOKUP($D4668,Insumos!$B$1:$B$996,Insumos!$D$1:$D$996),"")</f>
        <v/>
      </c>
      <c r="H4668" s="92" t="n">
        <v>90</v>
      </c>
      <c r="I4668" s="2162" t="e">
        <v>#REF!</v>
      </c>
      <c r="J4668" s="2162" t="e">
        <v>#REF!</v>
      </c>
      <c r="K4668" s="2162" t="n"/>
    </row>
    <row r="4669" outlineLevel="3" ht="15.75" customHeight="1">
      <c r="A4669" s="10" t="n">
        <v>3</v>
      </c>
      <c r="B4669" s="10" t="inlineStr">
        <is>
          <t>Insumo</t>
        </is>
      </c>
      <c r="C4669" s="10" t="inlineStr">
        <is>
          <t>Revestimento de tijolinho ventilado, com toda a estrutura, cores rosado e tabaco - Material e Mão de Obra</t>
        </is>
      </c>
      <c r="D4669" s="10" t="inlineStr">
        <is>
          <t>Manta fachada ventilada</t>
        </is>
      </c>
      <c r="E4669" s="11">
        <f t="array" ref="E4669">_xlfn.XLOOKUP(D4669,Insumos!B:B,Insumos!C:$C)</f>
        <v/>
      </c>
      <c r="F4669" s="14" t="n">
        <v>1.05</v>
      </c>
      <c r="G4669" s="92">
        <f t="array" ref="G4669">IF(B4669="insumo",_xlfn.XLOOKUP($D4669,Insumos!$B$1:$B$996,Insumos!$D$1:$D$996),"")</f>
        <v/>
      </c>
      <c r="H4669" s="92" t="n">
        <v>33.6</v>
      </c>
      <c r="I4669" s="2162" t="e">
        <v>#REF!</v>
      </c>
      <c r="J4669" s="2162" t="e">
        <v>#REF!</v>
      </c>
      <c r="K4669" s="2162" t="n"/>
    </row>
    <row r="4670" outlineLevel="3" ht="15.75" customHeight="1">
      <c r="A4670" s="10" t="n">
        <v>2</v>
      </c>
      <c r="B4670" s="10" t="inlineStr">
        <is>
          <t>Insumo</t>
        </is>
      </c>
      <c r="C4670" s="10" t="inlineStr">
        <is>
          <t>Revestimento de tijolinho ventilado, com toda a estrutura, cores rosado e tabaco - Material e Mão de Obra</t>
        </is>
      </c>
      <c r="D4670" s="10" t="inlineStr">
        <is>
          <t>Mão de obra de facahda ventilada</t>
        </is>
      </c>
      <c r="E4670" s="11">
        <f t="array" ref="E4670">_xlfn.XLOOKUP(D4670,Insumos!B:B,Insumos!C:$C)</f>
        <v/>
      </c>
      <c r="F4670" s="14" t="n">
        <v>1</v>
      </c>
      <c r="G4670" s="92">
        <f t="array" ref="G4670">IF(B4670="insumo",_xlfn.XLOOKUP($D4670,Insumos!$B$1:$B$996,Insumos!$D$1:$D$996),"")</f>
        <v/>
      </c>
      <c r="H4670" s="92" t="n">
        <v>307</v>
      </c>
      <c r="I4670" s="2162" t="e">
        <v>#REF!</v>
      </c>
      <c r="J4670" s="2162" t="e">
        <v>#REF!</v>
      </c>
      <c r="K4670" s="2162" t="n"/>
    </row>
    <row r="4671" outlineLevel="2" ht="15.75" customHeight="1">
      <c r="A4671" s="1067" t="n">
        <v>1</v>
      </c>
      <c r="B4671" s="1067" t="inlineStr">
        <is>
          <t>Serviço</t>
        </is>
      </c>
      <c r="C4671" s="1067" t="inlineStr">
        <is>
          <t>Revestimento de tijolinho aderido, cor vermelho escuro</t>
        </is>
      </c>
      <c r="D4671" s="1067" t="inlineStr">
        <is>
          <t>Revestimento de tijolinho aderido, cor vermelho escuro</t>
        </is>
      </c>
      <c r="E4671" s="1068" t="inlineStr">
        <is>
          <t>M</t>
        </is>
      </c>
      <c r="F4671" s="1067" t="n"/>
      <c r="G4671" s="1069">
        <f t="array" ref="G4671">IF(B4671="insumo",_xlfn.XLOOKUP($D4671,Insumos!$B$1:$B$996,Insumos!$D$1:$D$996),"")</f>
        <v/>
      </c>
      <c r="H4671" s="1069" t="n">
        <v>268.526</v>
      </c>
      <c r="I4671" s="2161" t="n">
        <v>0</v>
      </c>
      <c r="J4671" s="2161" t="n">
        <v>0</v>
      </c>
      <c r="K4671" s="2161" t="n"/>
    </row>
    <row r="4672" outlineLevel="3" ht="15.75" customHeight="1">
      <c r="A4672" s="10" t="n">
        <v>2</v>
      </c>
      <c r="B4672" s="10" t="inlineStr">
        <is>
          <t>Insumo</t>
        </is>
      </c>
      <c r="C4672" s="10" t="inlineStr">
        <is>
          <t>Revestimento de tijolinho aderido, cor vermelho escuro</t>
        </is>
      </c>
      <c r="D4672" s="10" t="inlineStr">
        <is>
          <t>tijolinho aderido, cor vermelho escuro</t>
        </is>
      </c>
      <c r="E4672" s="11">
        <f t="array" ref="E4672">_xlfn.XLOOKUP(D4672,Insumos!B:B,Insumos!C:$C)</f>
        <v/>
      </c>
      <c r="F4672" s="14" t="n">
        <v>1.15</v>
      </c>
      <c r="G4672" s="92">
        <f t="array" ref="G4672">IF(B4672="insumo",_xlfn.XLOOKUP($D4672,Insumos!$B$1:$B$996,Insumos!$D$1:$D$996),"")</f>
        <v/>
      </c>
      <c r="H4672" s="92" t="n">
        <v>248.4</v>
      </c>
      <c r="I4672" s="2162" t="n">
        <v>0</v>
      </c>
      <c r="J4672" s="2162" t="n">
        <v>0</v>
      </c>
      <c r="K4672" s="2162" t="n"/>
    </row>
    <row r="4673" outlineLevel="3" ht="15.75" customHeight="1">
      <c r="A4673" s="10" t="n">
        <v>8</v>
      </c>
      <c r="B4673" s="10" t="inlineStr">
        <is>
          <t>Insumo</t>
        </is>
      </c>
      <c r="C4673" s="10" t="inlineStr">
        <is>
          <t>Revestimento de tijolinho aderido, cor vermelho escuro</t>
        </is>
      </c>
      <c r="D4673" s="10" t="inlineStr">
        <is>
          <t>ARGAMASSA COLANTE AC II</t>
        </is>
      </c>
      <c r="E4673" s="11">
        <f t="array" ref="E4673">_xlfn.XLOOKUP(D4673,Insumos!B:B,Insumos!C:$C)</f>
        <v/>
      </c>
      <c r="F4673" s="14">
        <f>10*0.7</f>
        <v/>
      </c>
      <c r="G4673" s="92">
        <f t="array" ref="G4673">IF(B4673="insumo",_xlfn.XLOOKUP($D4673,Insumos!$B$1:$B$996,Insumos!$D$1:$D$996),"")</f>
        <v/>
      </c>
      <c r="H4673" s="92" t="n">
        <v>9.52</v>
      </c>
      <c r="I4673" s="2162" t="n">
        <v>0</v>
      </c>
      <c r="J4673" s="2162" t="n">
        <v>0</v>
      </c>
      <c r="K4673" s="2162" t="n"/>
    </row>
    <row r="4674" outlineLevel="3" ht="15.75" customHeight="1">
      <c r="A4674" s="10" t="n">
        <v>36</v>
      </c>
      <c r="B4674" s="10" t="inlineStr">
        <is>
          <t>Insumo</t>
        </is>
      </c>
      <c r="C4674" s="10" t="inlineStr">
        <is>
          <t>Revestimento de tijolinho aderido, cor vermelho escuro</t>
        </is>
      </c>
      <c r="D4674" s="10" t="inlineStr">
        <is>
          <t>Rejunte Acrilico cinza platina</t>
        </is>
      </c>
      <c r="E4674" s="11">
        <f t="array" ref="E4674">_xlfn.XLOOKUP(D4674,Insumos!B:B,Insumos!C:$C)</f>
        <v/>
      </c>
      <c r="F4674" s="14" t="n">
        <v>0.037</v>
      </c>
      <c r="G4674" s="92">
        <f t="array" ref="G4674">IF(B4674="insumo",_xlfn.XLOOKUP($D4674,Insumos!$B$1:$B$996,Insumos!$D$1:$D$996),"")</f>
        <v/>
      </c>
      <c r="H4674" s="92" t="n">
        <v>1.406</v>
      </c>
      <c r="I4674" s="2162" t="n">
        <v>0</v>
      </c>
      <c r="J4674" s="2162" t="n">
        <v>0</v>
      </c>
      <c r="K4674" s="2162" t="n"/>
    </row>
    <row r="4675" outlineLevel="3" ht="15.75" customHeight="1">
      <c r="A4675" s="10" t="n">
        <v>142</v>
      </c>
      <c r="B4675" s="10" t="inlineStr">
        <is>
          <t>Insumo</t>
        </is>
      </c>
      <c r="C4675" s="10" t="inlineStr">
        <is>
          <t>Revestimento de tijolinho aderido, cor vermelho escuro</t>
        </is>
      </c>
      <c r="D4675" s="10" t="inlineStr">
        <is>
          <t>Espeçador junta piso 2mm</t>
        </is>
      </c>
      <c r="E4675" s="11">
        <f t="array" ref="E4675">_xlfn.XLOOKUP(D4675,Insumos!B:B,Insumos!C:$C)</f>
        <v/>
      </c>
      <c r="F4675" s="14" t="n">
        <v>115</v>
      </c>
      <c r="G4675" s="92">
        <f t="array" ref="G4675">IF(B4675="insumo",_xlfn.XLOOKUP($D4675,Insumos!$B$1:$B$996,Insumos!$D$1:$D$996),"")</f>
        <v/>
      </c>
      <c r="H4675" s="92" t="n">
        <v>9.199999999999999</v>
      </c>
      <c r="I4675" s="2162" t="n">
        <v>0</v>
      </c>
      <c r="J4675" s="2162" t="n">
        <v>0</v>
      </c>
      <c r="K4675" s="2162" t="n"/>
    </row>
    <row r="4676" outlineLevel="2" ht="15.75" customHeight="1">
      <c r="A4676" s="1067" t="n">
        <v>1</v>
      </c>
      <c r="B4676" s="1067" t="inlineStr">
        <is>
          <t>Serviço</t>
        </is>
      </c>
      <c r="C4676" s="1067" t="inlineStr">
        <is>
          <t>Revestimento de tijolinho aderido, cor branco pigmentado</t>
        </is>
      </c>
      <c r="D4676" s="1067" t="inlineStr">
        <is>
          <t>Revestimento de tijolinho aderido, cor branco pigmentado</t>
        </is>
      </c>
      <c r="E4676" s="1068" t="inlineStr">
        <is>
          <t>M</t>
        </is>
      </c>
      <c r="F4676" s="1067" t="n"/>
      <c r="G4676" s="1069">
        <f t="array" ref="G4676">IF(B4676="insumo",_xlfn.XLOOKUP($D4676,Insumos!$B$1:$B$996,Insumos!$D$1:$D$996),"")</f>
        <v/>
      </c>
      <c r="H4676" s="1069" t="n">
        <v>351.326</v>
      </c>
      <c r="I4676" s="2161" t="n">
        <v>0</v>
      </c>
      <c r="J4676" s="2161" t="n">
        <v>0</v>
      </c>
      <c r="K4676" s="2161" t="n"/>
    </row>
    <row r="4677" outlineLevel="3" ht="15.75" customHeight="1">
      <c r="A4677" s="10" t="n">
        <v>2</v>
      </c>
      <c r="B4677" s="10" t="inlineStr">
        <is>
          <t>Insumo</t>
        </is>
      </c>
      <c r="C4677" s="10" t="inlineStr">
        <is>
          <t>Revestimento de tijolinho aderido, cor branco pigmentado</t>
        </is>
      </c>
      <c r="D4677" s="10" t="inlineStr">
        <is>
          <t>tijolinho aderido, cor branco pigmentado</t>
        </is>
      </c>
      <c r="E4677" s="11">
        <f t="array" ref="E4677">_xlfn.XLOOKUP(D4677,Insumos!B:B,Insumos!C:$C)</f>
        <v/>
      </c>
      <c r="F4677" s="14" t="n">
        <v>1.15</v>
      </c>
      <c r="G4677" s="92">
        <f t="array" ref="G4677">IF(B4677="insumo",_xlfn.XLOOKUP($D4677,Insumos!$B$1:$B$996,Insumos!$D$1:$D$996),"")</f>
        <v/>
      </c>
      <c r="H4677" s="92" t="n">
        <v>331.2</v>
      </c>
      <c r="I4677" s="2162" t="n">
        <v>0</v>
      </c>
      <c r="J4677" s="2162" t="n">
        <v>0</v>
      </c>
      <c r="K4677" s="2162" t="n"/>
    </row>
    <row r="4678" outlineLevel="3" ht="15.75" customHeight="1">
      <c r="A4678" s="10" t="n">
        <v>8</v>
      </c>
      <c r="B4678" s="10" t="inlineStr">
        <is>
          <t>Insumo</t>
        </is>
      </c>
      <c r="C4678" s="10" t="inlineStr">
        <is>
          <t>Revestimento de tijolinho aderido, cor branco pigmentado</t>
        </is>
      </c>
      <c r="D4678" s="10" t="inlineStr">
        <is>
          <t>ARGAMASSA COLANTE AC II</t>
        </is>
      </c>
      <c r="E4678" s="11">
        <f t="array" ref="E4678">_xlfn.XLOOKUP(D4678,Insumos!B:B,Insumos!C:$C)</f>
        <v/>
      </c>
      <c r="F4678" s="14">
        <f>10*0.7</f>
        <v/>
      </c>
      <c r="G4678" s="92">
        <f t="array" ref="G4678">IF(B4678="insumo",_xlfn.XLOOKUP($D4678,Insumos!$B$1:$B$996,Insumos!$D$1:$D$996),"")</f>
        <v/>
      </c>
      <c r="H4678" s="92" t="n">
        <v>9.52</v>
      </c>
      <c r="I4678" s="2162" t="n">
        <v>0</v>
      </c>
      <c r="J4678" s="2162" t="n">
        <v>0</v>
      </c>
      <c r="K4678" s="2162" t="n"/>
    </row>
    <row r="4679" outlineLevel="3" ht="15.75" customHeight="1">
      <c r="A4679" s="10" t="n">
        <v>36</v>
      </c>
      <c r="B4679" s="10" t="inlineStr">
        <is>
          <t>Insumo</t>
        </is>
      </c>
      <c r="C4679" s="10" t="inlineStr">
        <is>
          <t>Revestimento de tijolinho aderido, cor branco pigmentado</t>
        </is>
      </c>
      <c r="D4679" s="10" t="inlineStr">
        <is>
          <t>Rejunte Acrilico cinza platina</t>
        </is>
      </c>
      <c r="E4679" s="11">
        <f t="array" ref="E4679">_xlfn.XLOOKUP(D4679,Insumos!B:B,Insumos!C:$C)</f>
        <v/>
      </c>
      <c r="F4679" s="14" t="n">
        <v>0.037</v>
      </c>
      <c r="G4679" s="92">
        <f t="array" ref="G4679">IF(B4679="insumo",_xlfn.XLOOKUP($D4679,Insumos!$B$1:$B$996,Insumos!$D$1:$D$996),"")</f>
        <v/>
      </c>
      <c r="H4679" s="92" t="n">
        <v>1.406</v>
      </c>
      <c r="I4679" s="2162" t="n">
        <v>0</v>
      </c>
      <c r="J4679" s="2162" t="n">
        <v>0</v>
      </c>
      <c r="K4679" s="2162" t="n"/>
    </row>
    <row r="4680" outlineLevel="3" ht="15.75" customHeight="1">
      <c r="A4680" s="10" t="n">
        <v>142</v>
      </c>
      <c r="B4680" s="10" t="inlineStr">
        <is>
          <t>Insumo</t>
        </is>
      </c>
      <c r="C4680" s="10" t="inlineStr">
        <is>
          <t>Revestimento de tijolinho aderido, cor branco pigmentado</t>
        </is>
      </c>
      <c r="D4680" s="10" t="inlineStr">
        <is>
          <t>Espeçador junta piso 2mm</t>
        </is>
      </c>
      <c r="E4680" s="11">
        <f t="array" ref="E4680">_xlfn.XLOOKUP(D4680,Insumos!B:B,Insumos!C:$C)</f>
        <v/>
      </c>
      <c r="F4680" s="14" t="n">
        <v>115</v>
      </c>
      <c r="G4680" s="92">
        <f t="array" ref="G4680">IF(B4680="insumo",_xlfn.XLOOKUP($D4680,Insumos!$B$1:$B$996,Insumos!$D$1:$D$996),"")</f>
        <v/>
      </c>
      <c r="H4680" s="92" t="n">
        <v>9.199999999999999</v>
      </c>
      <c r="I4680" s="2162" t="n">
        <v>0</v>
      </c>
      <c r="J4680" s="2162" t="n">
        <v>0</v>
      </c>
      <c r="K4680" s="2162" t="n"/>
    </row>
    <row r="4681" outlineLevel="2" ht="15.75" customHeight="1">
      <c r="A4681" s="1067" t="n">
        <v>1</v>
      </c>
      <c r="B4681" s="1067" t="inlineStr">
        <is>
          <t>Serviço</t>
        </is>
      </c>
      <c r="C4681" s="1067" t="inlineStr">
        <is>
          <t>Revestimento de pastilha azul (OM15645 – 20x20) - atlas</t>
        </is>
      </c>
      <c r="D4681" s="1067" t="inlineStr">
        <is>
          <t>Revestimento de pastilha azul (OM15645 – 20x20) - atlas</t>
        </is>
      </c>
      <c r="E4681" s="1068" t="inlineStr">
        <is>
          <t>M</t>
        </is>
      </c>
      <c r="F4681" s="1067" t="n"/>
      <c r="G4681" s="1069">
        <f t="array" ref="G4681">IF(B4681="insumo",_xlfn.XLOOKUP($D4681,Insumos!$B$1:$B$996,Insumos!$D$1:$D$996),"")</f>
        <v/>
      </c>
      <c r="H4681" s="1069" t="n">
        <v>164.302</v>
      </c>
      <c r="I4681" s="2161" t="e">
        <v>#REF!</v>
      </c>
      <c r="J4681" s="2161" t="e">
        <v>#REF!</v>
      </c>
      <c r="K4681" s="2161" t="n"/>
    </row>
    <row r="4682" outlineLevel="3" ht="15.75" customHeight="1">
      <c r="A4682" s="10" t="n">
        <v>1</v>
      </c>
      <c r="B4682" s="10" t="inlineStr">
        <is>
          <t>Insumo</t>
        </is>
      </c>
      <c r="C4682" s="10" t="inlineStr">
        <is>
          <t>Revestimento de pastilha azul (OM15645 – 20x20) - atlas</t>
        </is>
      </c>
      <c r="D4682" s="10" t="inlineStr">
        <is>
          <t>pastilha azul (OM15645 – 20x20) - atlas</t>
        </is>
      </c>
      <c r="E4682" s="11">
        <f t="array" ref="E4682">_xlfn.XLOOKUP(D4682,Insumos!B:B,Insumos!C:$C)</f>
        <v/>
      </c>
      <c r="F4682" s="14" t="n">
        <v>1.15</v>
      </c>
      <c r="G4682" s="92">
        <f t="array" ref="G4682">IF(B4682="insumo",_xlfn.XLOOKUP($D4682,Insumos!$B$1:$B$996,Insumos!$D$1:$D$996),"")</f>
        <v/>
      </c>
      <c r="H4682" s="92" t="n">
        <v>149.546</v>
      </c>
      <c r="I4682" s="2162" t="e">
        <v>#REF!</v>
      </c>
      <c r="J4682" s="2162" t="e">
        <v>#REF!</v>
      </c>
      <c r="K4682" s="2162" t="n"/>
    </row>
    <row r="4683" outlineLevel="3" ht="15.75" customHeight="1">
      <c r="A4683" s="10" t="n">
        <v>8</v>
      </c>
      <c r="B4683" s="10" t="inlineStr">
        <is>
          <t>Insumo</t>
        </is>
      </c>
      <c r="C4683" s="10" t="inlineStr">
        <is>
          <t>Revestimento de pastilha azul (OM15645 – 20x20) - atlas</t>
        </is>
      </c>
      <c r="D4683" s="10" t="inlineStr">
        <is>
          <t>ARGAMASSA COLANTE AC II</t>
        </is>
      </c>
      <c r="E4683" s="11">
        <f t="array" ref="E4683">_xlfn.XLOOKUP(D4683,Insumos!B:B,Insumos!C:$C)</f>
        <v/>
      </c>
      <c r="F4683" s="14">
        <f>10*0.7</f>
        <v/>
      </c>
      <c r="G4683" s="92">
        <f t="array" ref="G4683">IF(B4683="insumo",_xlfn.XLOOKUP($D4683,Insumos!$B$1:$B$996,Insumos!$D$1:$D$996),"")</f>
        <v/>
      </c>
      <c r="H4683" s="92" t="n">
        <v>9.52</v>
      </c>
      <c r="I4683" s="2162" t="e">
        <v>#REF!</v>
      </c>
      <c r="J4683" s="2162" t="e">
        <v>#REF!</v>
      </c>
      <c r="K4683" s="2162" t="n"/>
    </row>
    <row r="4684" outlineLevel="3" ht="15.75" customHeight="1">
      <c r="A4684" s="10" t="n">
        <v>36</v>
      </c>
      <c r="B4684" s="10" t="inlineStr">
        <is>
          <t>Insumo</t>
        </is>
      </c>
      <c r="C4684" s="10" t="inlineStr">
        <is>
          <t>Revestimento de pastilha azul (OM15645 – 20x20) - atlas</t>
        </is>
      </c>
      <c r="D4684" s="10" t="inlineStr">
        <is>
          <t>Rejunte Acrilico cinza platina</t>
        </is>
      </c>
      <c r="E4684" s="11">
        <f t="array" ref="E4684">_xlfn.XLOOKUP(D4684,Insumos!B:B,Insumos!C:$C)</f>
        <v/>
      </c>
      <c r="F4684" s="14" t="n">
        <v>0.022</v>
      </c>
      <c r="G4684" s="92">
        <f t="array" ref="G4684">IF(B4684="insumo",_xlfn.XLOOKUP($D4684,Insumos!$B$1:$B$996,Insumos!$D$1:$D$996),"")</f>
        <v/>
      </c>
      <c r="H4684" s="92" t="n">
        <v>0.836</v>
      </c>
      <c r="I4684" s="2162" t="e">
        <v>#REF!</v>
      </c>
      <c r="J4684" s="2162" t="e">
        <v>#REF!</v>
      </c>
      <c r="K4684" s="2162" t="n"/>
    </row>
    <row r="4685" outlineLevel="3" ht="15.75" customHeight="1">
      <c r="A4685" s="10" t="n">
        <v>142</v>
      </c>
      <c r="B4685" s="10" t="inlineStr">
        <is>
          <t>Insumo</t>
        </is>
      </c>
      <c r="C4685" s="10" t="inlineStr">
        <is>
          <t>Revestimento de pastilha azul (OM15645 – 20x20) - atlas</t>
        </is>
      </c>
      <c r="D4685" s="10" t="inlineStr">
        <is>
          <t>Espeçador junta piso 2mm</t>
        </is>
      </c>
      <c r="E4685" s="11">
        <f t="array" ref="E4685">_xlfn.XLOOKUP(D4685,Insumos!B:B,Insumos!C:$C)</f>
        <v/>
      </c>
      <c r="F4685" s="14" t="n">
        <v>55</v>
      </c>
      <c r="G4685" s="92">
        <f t="array" ref="G4685">IF(B4685="insumo",_xlfn.XLOOKUP($D4685,Insumos!$B$1:$B$996,Insumos!$D$1:$D$996),"")</f>
        <v/>
      </c>
      <c r="H4685" s="92" t="n">
        <v>4.4</v>
      </c>
      <c r="I4685" s="2162" t="e">
        <v>#REF!</v>
      </c>
      <c r="J4685" s="2162" t="e">
        <v>#REF!</v>
      </c>
      <c r="K4685" s="2162" t="n"/>
    </row>
    <row r="4686" outlineLevel="2" ht="12.75" customHeight="1">
      <c r="A4686" s="1071" t="n">
        <v>1</v>
      </c>
      <c r="B4686" s="1071" t="inlineStr">
        <is>
          <t>Serviço</t>
        </is>
      </c>
      <c r="C4686" s="1071" t="inlineStr">
        <is>
          <t>Sistema Muxarabi 100 X 100mm - Arkwood X</t>
        </is>
      </c>
      <c r="D4686" s="1071" t="inlineStr">
        <is>
          <t>Sistema Muxarabi 100 X 100mm - Arkwood X</t>
        </is>
      </c>
      <c r="E4686" s="1072" t="inlineStr">
        <is>
          <t>M2</t>
        </is>
      </c>
      <c r="F4686" s="1071" t="n"/>
      <c r="G4686" s="1073">
        <f t="array" ref="G4686">IF(B4686="insumo",_xlfn.XLOOKUP($D4686,Insumos!$B$1:$B$996,Insumos!$D$1:$D$996),"")</f>
        <v/>
      </c>
      <c r="H4686" s="1073" t="n">
        <v>1360</v>
      </c>
      <c r="I4686" s="2163" t="n">
        <v>0</v>
      </c>
      <c r="J4686" s="2163" t="n">
        <v>0</v>
      </c>
      <c r="K4686" s="2163" t="n"/>
    </row>
    <row r="4687" outlineLevel="3" ht="12.75" customHeight="1">
      <c r="A4687" s="82" t="n">
        <v>1</v>
      </c>
      <c r="B4687" s="82" t="inlineStr">
        <is>
          <t>Insumo</t>
        </is>
      </c>
      <c r="C4687" s="82" t="inlineStr">
        <is>
          <t>Sistema Muxarabi 100 X 100mm - Arkwood X</t>
        </is>
      </c>
      <c r="D4687" s="82" t="inlineStr">
        <is>
          <t>SISTEMA MUX ARABI 100 X 100mm - com recorte</t>
        </is>
      </c>
      <c r="E4687" s="11">
        <f t="array" ref="E4687">_xlfn.XLOOKUP(D4687,Insumos!B:B,Insumos!C:$C)</f>
        <v/>
      </c>
      <c r="F4687" s="2164" t="n">
        <v>1</v>
      </c>
      <c r="G4687" s="92">
        <f t="array" ref="G4687">IF(B4687="insumo",_xlfn.XLOOKUP($D4687,Insumos!$B$1:$B$996,Insumos!$D$1:$D$996),"")</f>
        <v/>
      </c>
      <c r="H4687" s="92" t="n">
        <v>1060</v>
      </c>
      <c r="I4687" s="2165" t="n">
        <v>0</v>
      </c>
      <c r="J4687" s="2165" t="n">
        <v>0</v>
      </c>
      <c r="K4687" s="2165" t="n"/>
    </row>
    <row r="4688" outlineLevel="3" ht="12.75" customHeight="1">
      <c r="A4688" s="82" t="n">
        <v>2</v>
      </c>
      <c r="B4688" s="82" t="inlineStr">
        <is>
          <t>Insumo</t>
        </is>
      </c>
      <c r="C4688" s="82" t="inlineStr">
        <is>
          <t>Sistema Muxarabi 100 X 100mm - Arkwood X</t>
        </is>
      </c>
      <c r="D4688" s="82" t="inlineStr">
        <is>
          <t>Mão de obra de obra execução de arkwood</t>
        </is>
      </c>
      <c r="E4688" s="11">
        <f t="array" ref="E4688">_xlfn.XLOOKUP(D4688,Insumos!B:B,Insumos!C:$C)</f>
        <v/>
      </c>
      <c r="F4688" s="2164" t="n">
        <v>1</v>
      </c>
      <c r="G4688" s="92">
        <f t="array" ref="G4688">IF(B4688="insumo",_xlfn.XLOOKUP($D4688,Insumos!$B$1:$B$996,Insumos!$D$1:$D$996),"")</f>
        <v/>
      </c>
      <c r="H4688" s="92" t="n">
        <v>300</v>
      </c>
      <c r="I4688" s="2165" t="n">
        <v>0</v>
      </c>
      <c r="J4688" s="2165" t="n">
        <v>0</v>
      </c>
      <c r="K4688" s="2165" t="n"/>
    </row>
    <row r="4689" outlineLevel="2" ht="12.75" customHeight="1">
      <c r="A4689" s="1071" t="n">
        <v>1</v>
      </c>
      <c r="B4689" s="1071" t="inlineStr">
        <is>
          <t>Serviço</t>
        </is>
      </c>
      <c r="C4689" s="1071" t="inlineStr">
        <is>
          <t>Sistema Brise Metalon com estrutura e suportes de alumínio e pintura eletrostática preta</t>
        </is>
      </c>
      <c r="D4689" s="1071" t="inlineStr">
        <is>
          <t>Sistema Brise Metalon com estrutura e suportes de alumínio e pintura eletrostática preta</t>
        </is>
      </c>
      <c r="E4689" s="1072" t="inlineStr">
        <is>
          <t>M2</t>
        </is>
      </c>
      <c r="F4689" s="1071" t="n"/>
      <c r="G4689" s="1073">
        <f t="array" ref="G4689">IF(B4689="insumo",_xlfn.XLOOKUP($D4689,Insumos!$B$1:$B$996,Insumos!$D$1:$D$996),"")</f>
        <v/>
      </c>
      <c r="H4689" s="1073" t="n">
        <v>1200</v>
      </c>
      <c r="I4689" s="2163" t="n">
        <v>0</v>
      </c>
      <c r="J4689" s="2163" t="n">
        <v>0</v>
      </c>
      <c r="K4689" s="2163" t="n"/>
    </row>
    <row r="4690" outlineLevel="3" ht="12.75" customHeight="1">
      <c r="A4690" s="82" t="n">
        <v>1</v>
      </c>
      <c r="B4690" s="82" t="inlineStr">
        <is>
          <t>Insumo</t>
        </is>
      </c>
      <c r="C4690" s="82" t="inlineStr">
        <is>
          <t>Sistema Brise Metalon com estrutura e suportes de alumínio e pintura eletrostática preta</t>
        </is>
      </c>
      <c r="D4690" s="82" t="inlineStr">
        <is>
          <t>Sistema Brise Metalon com estrutura e suportes de alumínio e pintura eletrostática preta</t>
        </is>
      </c>
      <c r="E4690" s="11">
        <f t="array" ref="E4690">_xlfn.XLOOKUP(D4690,Insumos!B:B,Insumos!C:$C)</f>
        <v/>
      </c>
      <c r="F4690" s="2164" t="n">
        <v>1</v>
      </c>
      <c r="G4690" s="92">
        <f t="array" ref="G4690">IF(B4690="insumo",_xlfn.XLOOKUP($D4690,Insumos!$B$1:$B$996,Insumos!$D$1:$D$996),"")</f>
        <v/>
      </c>
      <c r="H4690" s="92" t="n">
        <v>1200</v>
      </c>
      <c r="I4690" s="2165" t="n">
        <v>0</v>
      </c>
      <c r="J4690" s="2165" t="n">
        <v>0</v>
      </c>
      <c r="K4690" s="2165" t="n"/>
    </row>
    <row r="4691" outlineLevel="2" ht="12.75" customHeight="1">
      <c r="A4691" s="1071" t="n">
        <v>1</v>
      </c>
      <c r="B4691" s="1071" t="inlineStr">
        <is>
          <t>Serviço</t>
        </is>
      </c>
      <c r="C4691" s="1071" t="inlineStr">
        <is>
          <t>Sistema Brise Sul Metais SMB30 (Cor Tabaco SM 7182)</t>
        </is>
      </c>
      <c r="D4691" s="1071" t="inlineStr">
        <is>
          <t>Sistema Brise Sul Metais SMB30 (Cor Tabaco SM 7182)</t>
        </is>
      </c>
      <c r="E4691" s="1072" t="inlineStr">
        <is>
          <t>M2</t>
        </is>
      </c>
      <c r="F4691" s="1071" t="n"/>
      <c r="G4691" s="1073">
        <f t="array" ref="G4691">IF(B4691="insumo",_xlfn.XLOOKUP($D4691,Insumos!$B$1:$B$996,Insumos!$D$1:$D$996),"")</f>
        <v/>
      </c>
      <c r="H4691" s="1073" t="n">
        <v>950</v>
      </c>
      <c r="I4691" s="2163" t="n">
        <v>0</v>
      </c>
      <c r="J4691" s="2163" t="n">
        <v>0</v>
      </c>
      <c r="K4691" s="2163" t="n"/>
    </row>
    <row r="4692" outlineLevel="3" ht="12.75" customHeight="1">
      <c r="A4692" s="82" t="n">
        <v>1</v>
      </c>
      <c r="B4692" s="82" t="inlineStr">
        <is>
          <t>Insumo</t>
        </is>
      </c>
      <c r="C4692" s="82" t="inlineStr">
        <is>
          <t>Sistema Brise Sul Metais SMB30 (Cor Tabaco SM 7182)</t>
        </is>
      </c>
      <c r="D4692" s="82" t="inlineStr">
        <is>
          <t>Sistema Brise Sul Metais SMB30 (Cor Tabaco SM 7182)</t>
        </is>
      </c>
      <c r="E4692" s="11">
        <f t="array" ref="E4692">_xlfn.XLOOKUP(D4692,Insumos!B:B,Insumos!C:$C)</f>
        <v/>
      </c>
      <c r="F4692" s="2164" t="n">
        <v>1</v>
      </c>
      <c r="G4692" s="92">
        <f t="array" ref="G4692">IF(B4692="insumo",_xlfn.XLOOKUP($D4692,Insumos!$B$1:$B$996,Insumos!$D$1:$D$996),"")</f>
        <v/>
      </c>
      <c r="H4692" s="92" t="n">
        <v>950</v>
      </c>
      <c r="I4692" s="2165" t="n">
        <v>0</v>
      </c>
      <c r="J4692" s="2165" t="n">
        <v>0</v>
      </c>
      <c r="K4692" s="2165" t="n"/>
    </row>
    <row r="4693" outlineLevel="2" ht="12.75" customHeight="1">
      <c r="A4693" s="1071" t="n">
        <v>1</v>
      </c>
      <c r="B4693" s="1071" t="inlineStr">
        <is>
          <t>Serviço</t>
        </is>
      </c>
      <c r="C4693" s="1071" t="inlineStr">
        <is>
          <t>Sistema Gradil Sul Metais SMB30 (Cor Tabaco SM 7182)</t>
        </is>
      </c>
      <c r="D4693" s="1071" t="inlineStr">
        <is>
          <t>Sistema Gradil Sul Metais SMB30 (Cor Tabaco SM 7182)</t>
        </is>
      </c>
      <c r="E4693" s="1072" t="inlineStr">
        <is>
          <t>M2</t>
        </is>
      </c>
      <c r="F4693" s="1071" t="n"/>
      <c r="G4693" s="1073">
        <f t="array" ref="G4693">IF(B4693="insumo",_xlfn.XLOOKUP($D4693,Insumos!$B$1:$B$996,Insumos!$D$1:$D$996),"")</f>
        <v/>
      </c>
      <c r="H4693" s="1073" t="n">
        <v>860</v>
      </c>
      <c r="I4693" s="2163" t="n">
        <v>0</v>
      </c>
      <c r="J4693" s="2163" t="n">
        <v>0</v>
      </c>
      <c r="K4693" s="2163" t="n"/>
    </row>
    <row r="4694" outlineLevel="3" ht="12.75" customHeight="1">
      <c r="A4694" s="82" t="n">
        <v>1</v>
      </c>
      <c r="B4694" s="82" t="inlineStr">
        <is>
          <t>Insumo</t>
        </is>
      </c>
      <c r="C4694" s="82" t="inlineStr">
        <is>
          <t>Sistema Gradil Sul Metais SMB30 (Cor Tabaco SM 7182)</t>
        </is>
      </c>
      <c r="D4694" s="82" t="inlineStr">
        <is>
          <t>Sistema Gradil Sul Metais SMB30 (Cor Tabaco SM 7182)</t>
        </is>
      </c>
      <c r="E4694" s="11">
        <f t="array" ref="E4694">_xlfn.XLOOKUP(D4694,Insumos!B:B,Insumos!C:$C)</f>
        <v/>
      </c>
      <c r="F4694" s="2164" t="n">
        <v>1</v>
      </c>
      <c r="G4694" s="92">
        <f t="array" ref="G4694">IF(B4694="insumo",_xlfn.XLOOKUP($D4694,Insumos!$B$1:$B$996,Insumos!$D$1:$D$996),"")</f>
        <v/>
      </c>
      <c r="H4694" s="92" t="n">
        <v>860</v>
      </c>
      <c r="I4694" s="2165" t="n">
        <v>0</v>
      </c>
      <c r="J4694" s="2165" t="n">
        <v>0</v>
      </c>
      <c r="K4694" s="2165" t="n"/>
    </row>
    <row r="4695" outlineLevel="2" ht="12.75" customHeight="1">
      <c r="A4695" s="1071" t="n">
        <v>1</v>
      </c>
      <c r="B4695" s="1071" t="inlineStr">
        <is>
          <t>Serviço</t>
        </is>
      </c>
      <c r="C4695" s="1071" t="inlineStr">
        <is>
          <t>Sistema Brise 30x50cm - Arkwood K</t>
        </is>
      </c>
      <c r="D4695" s="1071" t="inlineStr">
        <is>
          <t>Sistema Brise 30x50cm - Arkwood K</t>
        </is>
      </c>
      <c r="E4695" s="1072" t="inlineStr">
        <is>
          <t>M2</t>
        </is>
      </c>
      <c r="F4695" s="1071" t="n"/>
      <c r="G4695" s="1073">
        <f t="array" ref="G4695">IF(B4695="insumo",_xlfn.XLOOKUP($D4695,Insumos!$B$1:$B$996,Insumos!$D$1:$D$996),"")</f>
        <v/>
      </c>
      <c r="H4695" s="1073" t="n">
        <v>948</v>
      </c>
      <c r="I4695" s="2163" t="n">
        <v>0</v>
      </c>
      <c r="J4695" s="2163" t="n">
        <v>0</v>
      </c>
      <c r="K4695" s="2163" t="n"/>
    </row>
    <row r="4696" outlineLevel="3" ht="12.75" customHeight="1">
      <c r="A4696" s="82" t="n">
        <v>1</v>
      </c>
      <c r="B4696" s="82" t="inlineStr">
        <is>
          <t>Insumo</t>
        </is>
      </c>
      <c r="C4696" s="82" t="inlineStr">
        <is>
          <t>Sistema Brise 30x50cm - Arkwood K</t>
        </is>
      </c>
      <c r="D4696" s="82" t="inlineStr">
        <is>
          <t>Arkowood K - 30x50</t>
        </is>
      </c>
      <c r="E4696" s="11">
        <f t="array" ref="E4696">_xlfn.XLOOKUP(D4696,Insumos!B:B,Insumos!C:$C)</f>
        <v/>
      </c>
      <c r="F4696" s="2164" t="n">
        <v>1</v>
      </c>
      <c r="G4696" s="92">
        <f t="array" ref="G4696">IF(B4696="insumo",_xlfn.XLOOKUP($D4696,Insumos!$B$1:$B$996,Insumos!$D$1:$D$996),"")</f>
        <v/>
      </c>
      <c r="H4696" s="92" t="n">
        <v>648</v>
      </c>
      <c r="I4696" s="2165" t="n">
        <v>0</v>
      </c>
      <c r="J4696" s="2165" t="n">
        <v>0</v>
      </c>
      <c r="K4696" s="2165" t="n"/>
    </row>
    <row r="4697" outlineLevel="3" ht="12.75" customHeight="1">
      <c r="A4697" s="82" t="n">
        <v>2</v>
      </c>
      <c r="B4697" s="82" t="inlineStr">
        <is>
          <t>Insumo</t>
        </is>
      </c>
      <c r="C4697" s="82" t="inlineStr">
        <is>
          <t>Sistema Brise 30x50cm - Arkwood K</t>
        </is>
      </c>
      <c r="D4697" s="82" t="inlineStr">
        <is>
          <t>Mão de obra de obra execução de arkwood</t>
        </is>
      </c>
      <c r="E4697" s="11">
        <f t="array" ref="E4697">_xlfn.XLOOKUP(D4697,Insumos!B:B,Insumos!C:$C)</f>
        <v/>
      </c>
      <c r="F4697" s="2164" t="n">
        <v>1</v>
      </c>
      <c r="G4697" s="92">
        <f t="array" ref="G4697">IF(B4697="insumo",_xlfn.XLOOKUP($D4697,Insumos!$B$1:$B$996,Insumos!$D$1:$D$996),"")</f>
        <v/>
      </c>
      <c r="H4697" s="92" t="n">
        <v>300</v>
      </c>
      <c r="I4697" s="2165" t="n">
        <v>0</v>
      </c>
      <c r="J4697" s="2165" t="n">
        <v>0</v>
      </c>
      <c r="K4697" s="2165" t="n"/>
    </row>
    <row r="4698" outlineLevel="2" ht="12.75" customHeight="1">
      <c r="A4698" s="1071" t="n">
        <v>1</v>
      </c>
      <c r="B4698" s="1071" t="inlineStr">
        <is>
          <t>Serviço</t>
        </is>
      </c>
      <c r="C4698" s="1071" t="inlineStr">
        <is>
          <t>Brise de Alumínio Marrom - Decoração Fachada</t>
        </is>
      </c>
      <c r="D4698" s="1071" t="inlineStr">
        <is>
          <t>Brise de Alumínio Marrom - Decoração Fachada</t>
        </is>
      </c>
      <c r="E4698" s="1072" t="inlineStr">
        <is>
          <t>M2</t>
        </is>
      </c>
      <c r="F4698" s="1071" t="n"/>
      <c r="G4698" s="1073">
        <f t="array" ref="G4698">IF(B4698="insumo",_xlfn.XLOOKUP($D4698,Insumos!$B$1:$B$996,Insumos!$D$1:$D$996),"")</f>
        <v/>
      </c>
      <c r="H4698" s="1073" t="n">
        <v>1415.02759303806</v>
      </c>
      <c r="I4698" s="2163" t="n">
        <v>0</v>
      </c>
      <c r="J4698" s="2163" t="n">
        <v>0</v>
      </c>
      <c r="K4698" s="2163" t="n"/>
    </row>
    <row r="4699" outlineLevel="3" ht="12.75" customHeight="1">
      <c r="A4699" s="82" t="n">
        <v>2</v>
      </c>
      <c r="B4699" s="82" t="inlineStr">
        <is>
          <t>Insumo</t>
        </is>
      </c>
      <c r="C4699" s="82" t="inlineStr">
        <is>
          <t>Brise de Alumínio Marrom - Decoração Fachada</t>
        </is>
      </c>
      <c r="D4699" s="82" t="inlineStr">
        <is>
          <t>PAINEL EM BRISE MARROM</t>
        </is>
      </c>
      <c r="E4699" s="11">
        <f t="array" ref="E4699">_xlfn.XLOOKUP(D4699,Insumos!B:B,Insumos!C:$C)</f>
        <v/>
      </c>
      <c r="F4699" s="2164" t="n">
        <v>1</v>
      </c>
      <c r="G4699" s="92">
        <f t="array" ref="G4699">IF(B4699="insumo",_xlfn.XLOOKUP($D4699,Insumos!$B$1:$B$996,Insumos!$D$1:$D$996),"")</f>
        <v/>
      </c>
      <c r="H4699" s="92" t="n">
        <v>1415.02759303806</v>
      </c>
      <c r="I4699" s="2165" t="n">
        <v>0</v>
      </c>
      <c r="J4699" s="2165" t="n">
        <v>0</v>
      </c>
      <c r="K4699" s="2165" t="n"/>
    </row>
    <row r="4700" outlineLevel="1" ht="15.75" customHeight="1">
      <c r="A4700" s="1090" t="n">
        <v>1</v>
      </c>
      <c r="B4700" s="1090" t="inlineStr">
        <is>
          <t>Subetapa</t>
        </is>
      </c>
      <c r="C4700" s="1090" t="inlineStr">
        <is>
          <t>Brise de Alumínio Marrom - Decoração Fachada</t>
        </is>
      </c>
      <c r="D4700" s="1090" t="inlineStr">
        <is>
          <t>MÃO DE OBRA FACHADA</t>
        </is>
      </c>
      <c r="E4700" s="1091" t="n"/>
      <c r="F4700" s="2160" t="n"/>
      <c r="G4700" s="1091" t="n"/>
      <c r="H4700" s="1091" t="n">
        <v>0</v>
      </c>
      <c r="I4700" s="2160" t="n">
        <v>0</v>
      </c>
      <c r="J4700" s="2160" t="n">
        <v>0</v>
      </c>
      <c r="K4700" s="2160" t="n"/>
    </row>
    <row r="4701" outlineLevel="2" ht="15.75" customHeight="1">
      <c r="A4701" s="1067" t="n">
        <v>1</v>
      </c>
      <c r="B4701" s="1067" t="inlineStr">
        <is>
          <t>Serviço</t>
        </is>
      </c>
      <c r="C4701" s="1067" t="inlineStr">
        <is>
          <t>Mão de obra estucamento de paredes externas</t>
        </is>
      </c>
      <c r="D4701" s="1067" t="inlineStr">
        <is>
          <t>Mão de obra estucamento de paredes externas</t>
        </is>
      </c>
      <c r="E4701" s="1068" t="inlineStr">
        <is>
          <t>M2</t>
        </is>
      </c>
      <c r="F4701" s="1075" t="n"/>
      <c r="G4701" s="1069">
        <f t="array" ref="G4701">IF(B4701="insumo",_xlfn.XLOOKUP($D4701,Insumos!$B$1:$B$996,Insumos!$D$1:$D$996),"")</f>
        <v/>
      </c>
      <c r="H4701" s="1069" t="n">
        <v>30</v>
      </c>
      <c r="I4701" s="2161" t="n">
        <v>0</v>
      </c>
      <c r="J4701" s="2161" t="n">
        <v>0</v>
      </c>
      <c r="K4701" s="2161" t="n"/>
    </row>
    <row r="4702" outlineLevel="3" ht="15.75" customHeight="1">
      <c r="A4702" s="10" t="n">
        <v>2</v>
      </c>
      <c r="B4702" s="10" t="inlineStr">
        <is>
          <t>Insumo</t>
        </is>
      </c>
      <c r="C4702" s="10" t="inlineStr">
        <is>
          <t>Mão de obra estucamento de paredes externas</t>
        </is>
      </c>
      <c r="D4702" s="10" t="inlineStr">
        <is>
          <t>Mão de obra estucamento de paredes</t>
        </is>
      </c>
      <c r="E4702" s="11">
        <f t="array" ref="E4702">_xlfn.XLOOKUP(D4702,Insumos!B:B,Insumos!C:$C)</f>
        <v/>
      </c>
      <c r="F4702" s="14" t="n">
        <v>1</v>
      </c>
      <c r="G4702" s="92">
        <f t="array" ref="G4702">IF(B4702="insumo",_xlfn.XLOOKUP($D4702,Insumos!$B$1:$B$996,Insumos!$D$1:$D$996),"")</f>
        <v/>
      </c>
      <c r="H4702" s="92" t="n">
        <v>30</v>
      </c>
      <c r="I4702" s="2162" t="n">
        <v>0</v>
      </c>
      <c r="J4702" s="2162" t="n">
        <v>0</v>
      </c>
      <c r="K4702" s="2162" t="n"/>
    </row>
    <row r="4703" outlineLevel="2" ht="15.75" customHeight="1">
      <c r="A4703" s="1067" t="n">
        <v>1</v>
      </c>
      <c r="B4703" s="1067" t="inlineStr">
        <is>
          <t>Serviço</t>
        </is>
      </c>
      <c r="C4703" s="1067" t="inlineStr">
        <is>
          <t>Mão de obra massa de gesso de paredes externas</t>
        </is>
      </c>
      <c r="D4703" s="1067" t="inlineStr">
        <is>
          <t>Mão de obra massa de gesso de paredes externas</t>
        </is>
      </c>
      <c r="E4703" s="1068" t="inlineStr">
        <is>
          <t>M2</t>
        </is>
      </c>
      <c r="F4703" s="1075" t="n"/>
      <c r="G4703" s="1069">
        <f t="array" ref="G4703">IF(B4703="insumo",_xlfn.XLOOKUP($D4703,Insumos!$B$1:$B$996,Insumos!$D$1:$D$996),"")</f>
        <v/>
      </c>
      <c r="H4703" s="1069" t="n">
        <v>25</v>
      </c>
      <c r="I4703" s="2161" t="n">
        <v>0</v>
      </c>
      <c r="J4703" s="2161" t="n">
        <v>0</v>
      </c>
      <c r="K4703" s="2161" t="n"/>
    </row>
    <row r="4704" outlineLevel="3" ht="15.75" customHeight="1">
      <c r="A4704" s="10" t="n">
        <v>1</v>
      </c>
      <c r="B4704" s="10" t="inlineStr">
        <is>
          <t>Insumo</t>
        </is>
      </c>
      <c r="C4704" s="10" t="inlineStr">
        <is>
          <t>Mão de obra massa de gesso de paredes externas</t>
        </is>
      </c>
      <c r="D4704" s="10" t="inlineStr">
        <is>
          <t>Mão de obra massa de gesso de paredes externas</t>
        </is>
      </c>
      <c r="E4704" s="11">
        <f t="array" ref="E4704">_xlfn.XLOOKUP(D4704,Insumos!B:B,Insumos!C:$C)</f>
        <v/>
      </c>
      <c r="F4704" s="14" t="n">
        <v>1</v>
      </c>
      <c r="G4704" s="92">
        <f t="array" ref="G4704">IF(B4704="insumo",_xlfn.XLOOKUP($D4704,Insumos!$B$1:$B$996,Insumos!$D$1:$D$996),"")</f>
        <v/>
      </c>
      <c r="H4704" s="92" t="n">
        <v>25</v>
      </c>
      <c r="I4704" s="2162" t="n">
        <v>0</v>
      </c>
      <c r="J4704" s="2162" t="n">
        <v>0</v>
      </c>
      <c r="K4704" s="2162" t="n"/>
    </row>
    <row r="4705" outlineLevel="2" ht="15.75" customHeight="1">
      <c r="A4705" s="1067" t="n">
        <v>1</v>
      </c>
      <c r="B4705" s="1067" t="inlineStr">
        <is>
          <t>Serviço</t>
        </is>
      </c>
      <c r="C4705" s="1067" t="inlineStr">
        <is>
          <t>Mao de obra para reboco externo - inclui chapisco</t>
        </is>
      </c>
      <c r="D4705" s="1067" t="inlineStr">
        <is>
          <t>Mao de obra para reboco externo - inclui chapisco</t>
        </is>
      </c>
      <c r="E4705" s="1068" t="inlineStr">
        <is>
          <t>M2</t>
        </is>
      </c>
      <c r="F4705" s="1075" t="n"/>
      <c r="G4705" s="1069">
        <f t="array" ref="G4705">IF(B4705="insumo",_xlfn.XLOOKUP($D4705,Insumos!$B$1:$B$996,Insumos!$D$1:$D$996),"")</f>
        <v/>
      </c>
      <c r="H4705" s="1069" t="n">
        <v>62</v>
      </c>
      <c r="I4705" s="2161" t="e">
        <v>#REF!</v>
      </c>
      <c r="J4705" s="2161" t="e">
        <v>#REF!</v>
      </c>
      <c r="K4705" s="2161" t="n"/>
    </row>
    <row r="4706" outlineLevel="3" ht="15.75" customHeight="1">
      <c r="A4706" s="10" t="n">
        <v>1</v>
      </c>
      <c r="B4706" s="10" t="inlineStr">
        <is>
          <t>Insumo</t>
        </is>
      </c>
      <c r="C4706" s="10" t="inlineStr">
        <is>
          <t>Mao de obra para reboco externo - inclui chapisco</t>
        </is>
      </c>
      <c r="D4706" s="10" t="inlineStr">
        <is>
          <t>Mao de obra para reboco externo - inclui chapisco</t>
        </is>
      </c>
      <c r="E4706" s="11">
        <f t="array" ref="E4706">_xlfn.XLOOKUP(D4706,Insumos!B:B,Insumos!C:$C)</f>
        <v/>
      </c>
      <c r="F4706" s="14" t="n">
        <v>1</v>
      </c>
      <c r="G4706" s="92">
        <f t="array" ref="G4706">IF(B4706="insumo",_xlfn.XLOOKUP($D4706,Insumos!$B$1:$B$996,Insumos!$D$1:$D$996),"")</f>
        <v/>
      </c>
      <c r="H4706" s="92" t="n">
        <v>62</v>
      </c>
      <c r="I4706" s="2162" t="e">
        <v>#REF!</v>
      </c>
      <c r="J4706" s="2162" t="e">
        <v>#REF!</v>
      </c>
      <c r="K4706" s="2162" t="n"/>
    </row>
    <row r="4707" outlineLevel="2" ht="15.75" customHeight="1">
      <c r="A4707" s="1067" t="n">
        <v>1</v>
      </c>
      <c r="B4707" s="1067" t="inlineStr">
        <is>
          <t>Serviço</t>
        </is>
      </c>
      <c r="C4707" s="1067" t="inlineStr">
        <is>
          <t>Mão de obra para aplicação de Pintura em paredes externas - 3 demãos</t>
        </is>
      </c>
      <c r="D4707" s="1067" t="inlineStr">
        <is>
          <t>Mão de obra para aplicação de Pintura em paredes externas - 3 demãos</t>
        </is>
      </c>
      <c r="E4707" s="1068" t="inlineStr">
        <is>
          <t>M2</t>
        </is>
      </c>
      <c r="F4707" s="1075" t="n"/>
      <c r="G4707" s="1069">
        <f t="array" ref="G4707">IF(B4707="insumo",_xlfn.XLOOKUP($D4707,Insumos!$B$1:$B$996,Insumos!$D$1:$D$996),"")</f>
        <v/>
      </c>
      <c r="H4707" s="1069" t="n">
        <v>58</v>
      </c>
      <c r="I4707" s="2161" t="e">
        <v>#REF!</v>
      </c>
      <c r="J4707" s="2161" t="e">
        <v>#REF!</v>
      </c>
      <c r="K4707" s="2161" t="n"/>
    </row>
    <row r="4708" outlineLevel="3" ht="15.75" customHeight="1">
      <c r="A4708" s="10" t="n">
        <v>1</v>
      </c>
      <c r="B4708" s="10" t="inlineStr">
        <is>
          <t>Insumo</t>
        </is>
      </c>
      <c r="C4708" s="10" t="inlineStr">
        <is>
          <t>Mão de obra para aplicação de Pintura em paredes externas - 3 demãos</t>
        </is>
      </c>
      <c r="D4708" s="10" t="inlineStr">
        <is>
          <t>Mão de obra para aplicação de Pintura em paredes externas - 3 demãos</t>
        </is>
      </c>
      <c r="E4708" s="11">
        <f t="array" ref="E4708">_xlfn.XLOOKUP(D4708,Insumos!B:B,Insumos!C:$C)</f>
        <v/>
      </c>
      <c r="F4708" s="14" t="n">
        <v>1</v>
      </c>
      <c r="G4708" s="92">
        <f t="array" ref="G4708">IF(B4708="insumo",_xlfn.XLOOKUP($D4708,Insumos!$B$1:$B$996,Insumos!$D$1:$D$996),"")</f>
        <v/>
      </c>
      <c r="H4708" s="92" t="n">
        <v>58</v>
      </c>
      <c r="I4708" s="2162" t="e">
        <v>#REF!</v>
      </c>
      <c r="J4708" s="2162" t="e">
        <v>#REF!</v>
      </c>
      <c r="K4708" s="2162" t="n"/>
    </row>
    <row r="4709" outlineLevel="2" ht="15.75" customHeight="1">
      <c r="A4709" s="1067" t="n">
        <v>1</v>
      </c>
      <c r="B4709" s="1067" t="inlineStr">
        <is>
          <t>Serviço</t>
        </is>
      </c>
      <c r="C4709" s="1067" t="inlineStr">
        <is>
          <t>Mão de obra para aplicação de textura em paredes externas - 1 demão</t>
        </is>
      </c>
      <c r="D4709" s="1067" t="inlineStr">
        <is>
          <t>Mão de obra para aplicação de textura em paredes externas - 1 demão</t>
        </is>
      </c>
      <c r="E4709" s="1068" t="inlineStr">
        <is>
          <t>M2</t>
        </is>
      </c>
      <c r="F4709" s="1075" t="n"/>
      <c r="G4709" s="1069">
        <f t="array" ref="G4709">IF(B4709="insumo",_xlfn.XLOOKUP($D4709,Insumos!$B$1:$B$996,Insumos!$D$1:$D$996),"")</f>
        <v/>
      </c>
      <c r="H4709" s="1069" t="n">
        <v>58</v>
      </c>
      <c r="I4709" s="2161" t="e">
        <v>#REF!</v>
      </c>
      <c r="J4709" s="2161" t="e">
        <v>#REF!</v>
      </c>
      <c r="K4709" s="2161" t="n"/>
    </row>
    <row r="4710" outlineLevel="3" ht="15.75" customHeight="1">
      <c r="A4710" s="10" t="n">
        <v>1</v>
      </c>
      <c r="B4710" s="10" t="inlineStr">
        <is>
          <t>Insumo</t>
        </is>
      </c>
      <c r="C4710" s="10" t="inlineStr">
        <is>
          <t>Mão de obra para aplicação de textura em paredes externas - 1 demão</t>
        </is>
      </c>
      <c r="D4710" s="10" t="inlineStr">
        <is>
          <t>Mão de obra para aplicação de textura em paredes externas - 1 demão</t>
        </is>
      </c>
      <c r="E4710" s="11">
        <f t="array" ref="E4710">_xlfn.XLOOKUP(D4710,Insumos!B:B,Insumos!C:$C)</f>
        <v/>
      </c>
      <c r="F4710" s="14" t="n">
        <v>1</v>
      </c>
      <c r="G4710" s="92">
        <f t="array" ref="G4710">IF(B4710="insumo",_xlfn.XLOOKUP($D4710,Insumos!$B$1:$B$996,Insumos!$D$1:$D$996),"")</f>
        <v/>
      </c>
      <c r="H4710" s="92" t="n">
        <v>58</v>
      </c>
      <c r="I4710" s="2162" t="e">
        <v>#REF!</v>
      </c>
      <c r="J4710" s="2162" t="e">
        <v>#REF!</v>
      </c>
      <c r="K4710" s="2162" t="n"/>
    </row>
    <row r="4711" outlineLevel="2" ht="15.75" customHeight="1">
      <c r="A4711" s="1067" t="n">
        <v>1</v>
      </c>
      <c r="B4711" s="1067" t="inlineStr">
        <is>
          <t>Serviço</t>
        </is>
      </c>
      <c r="C4711" s="1067" t="inlineStr">
        <is>
          <t>Mão de obra para aplicação de Pastilhas em paredes externas</t>
        </is>
      </c>
      <c r="D4711" s="1067" t="inlineStr">
        <is>
          <t>Mão de obra para aplicação de Pastilhas em paredes externas</t>
        </is>
      </c>
      <c r="E4711" s="1068" t="inlineStr">
        <is>
          <t>M2</t>
        </is>
      </c>
      <c r="F4711" s="1075" t="n"/>
      <c r="G4711" s="1069">
        <f t="array" ref="G4711">IF(B4711="insumo",_xlfn.XLOOKUP($D4711,Insumos!$B$1:$B$996,Insumos!$D$1:$D$996),"")</f>
        <v/>
      </c>
      <c r="H4711" s="1069" t="n">
        <v>95</v>
      </c>
      <c r="I4711" s="2161" t="e">
        <v>#REF!</v>
      </c>
      <c r="J4711" s="2161" t="e">
        <v>#REF!</v>
      </c>
      <c r="K4711" s="2161" t="n"/>
    </row>
    <row r="4712" outlineLevel="3" ht="15.75" customHeight="1">
      <c r="A4712" s="10" t="n">
        <v>1</v>
      </c>
      <c r="B4712" s="10" t="inlineStr">
        <is>
          <t>Insumo</t>
        </is>
      </c>
      <c r="C4712" s="10" t="inlineStr">
        <is>
          <t>Mão de obra para aplicação de Pastilhas em paredes externas</t>
        </is>
      </c>
      <c r="D4712" s="10" t="inlineStr">
        <is>
          <t>Mão de obra para aplicação de Pastilhas em paredes externas</t>
        </is>
      </c>
      <c r="E4712" s="11">
        <f t="array" ref="E4712">_xlfn.XLOOKUP(D4712,Insumos!B:B,Insumos!C:$C)</f>
        <v/>
      </c>
      <c r="F4712" s="14" t="n">
        <v>1</v>
      </c>
      <c r="G4712" s="92">
        <f t="array" ref="G4712">IF(B4712="insumo",_xlfn.XLOOKUP($D4712,Insumos!$B$1:$B$996,Insumos!$D$1:$D$996),"")</f>
        <v/>
      </c>
      <c r="H4712" s="92" t="n">
        <v>95</v>
      </c>
      <c r="I4712" s="2162" t="e">
        <v>#REF!</v>
      </c>
      <c r="J4712" s="2162" t="e">
        <v>#REF!</v>
      </c>
      <c r="K4712" s="2162" t="n"/>
    </row>
    <row r="4713" outlineLevel="2" ht="15.75" customHeight="1">
      <c r="A4713" s="1067" t="n">
        <v>1</v>
      </c>
      <c r="B4713" s="1067" t="inlineStr">
        <is>
          <t>Serviço</t>
        </is>
      </c>
      <c r="C4713" s="1067" t="inlineStr">
        <is>
          <t>Mão de obra para aplicação de Porcelanato em paredes externas</t>
        </is>
      </c>
      <c r="D4713" s="1067" t="inlineStr">
        <is>
          <t>Mão de obra para aplicação de Porcelanato em paredes externas</t>
        </is>
      </c>
      <c r="E4713" s="1068" t="inlineStr">
        <is>
          <t>M2</t>
        </is>
      </c>
      <c r="F4713" s="1075" t="n"/>
      <c r="G4713" s="1069">
        <f t="array" ref="G4713">IF(B4713="insumo",_xlfn.XLOOKUP($D4713,Insumos!$B$1:$B$996,Insumos!$D$1:$D$996),"")</f>
        <v/>
      </c>
      <c r="H4713" s="1069" t="n">
        <v>85</v>
      </c>
      <c r="I4713" s="2161" t="e">
        <v>#REF!</v>
      </c>
      <c r="J4713" s="2161" t="e">
        <v>#REF!</v>
      </c>
      <c r="K4713" s="2161" t="n"/>
    </row>
    <row r="4714" outlineLevel="3" ht="15.75" customHeight="1">
      <c r="A4714" s="10" t="n">
        <v>1</v>
      </c>
      <c r="B4714" s="10" t="inlineStr">
        <is>
          <t>Insumo</t>
        </is>
      </c>
      <c r="C4714" s="10" t="inlineStr">
        <is>
          <t>Mão de obra para aplicação de Porcelanato em paredes externas</t>
        </is>
      </c>
      <c r="D4714" s="10" t="inlineStr">
        <is>
          <t>Mão de obra para aplicação de Porcelanato em paredes externas</t>
        </is>
      </c>
      <c r="E4714" s="11">
        <f t="array" ref="E4714">_xlfn.XLOOKUP(D4714,Insumos!B:B,Insumos!C:$C)</f>
        <v/>
      </c>
      <c r="F4714" s="14" t="n">
        <v>1</v>
      </c>
      <c r="G4714" s="92">
        <f t="array" ref="G4714">IF(B4714="insumo",_xlfn.XLOOKUP($D4714,Insumos!$B$1:$B$996,Insumos!$D$1:$D$996),"")</f>
        <v/>
      </c>
      <c r="H4714" s="92" t="n">
        <v>85</v>
      </c>
      <c r="I4714" s="2162" t="e">
        <v>#REF!</v>
      </c>
      <c r="J4714" s="2162" t="e">
        <v>#REF!</v>
      </c>
      <c r="K4714" s="2162" t="n"/>
    </row>
    <row r="4715" outlineLevel="2" ht="15.75" customHeight="1">
      <c r="A4715" s="1067" t="n">
        <v>1</v>
      </c>
      <c r="B4715" s="1067" t="inlineStr">
        <is>
          <t>Serviço</t>
        </is>
      </c>
      <c r="C4715" s="1067" t="inlineStr">
        <is>
          <t>Mão de obra para aplicação de Mármore Travertino em paredes externas</t>
        </is>
      </c>
      <c r="D4715" s="1067" t="inlineStr">
        <is>
          <t>Mão de obra para aplicação de Mármore Travertino em paredes externas</t>
        </is>
      </c>
      <c r="E4715" s="1068" t="inlineStr">
        <is>
          <t>M2</t>
        </is>
      </c>
      <c r="F4715" s="1075" t="n"/>
      <c r="G4715" s="1069">
        <f t="array" ref="G4715">IF(B4715="insumo",_xlfn.XLOOKUP($D4715,Insumos!$B$1:$B$996,Insumos!$D$1:$D$996),"")</f>
        <v/>
      </c>
      <c r="H4715" s="1069" t="n">
        <v>95</v>
      </c>
      <c r="I4715" s="2161" t="e">
        <v>#REF!</v>
      </c>
      <c r="J4715" s="2161" t="e">
        <v>#REF!</v>
      </c>
      <c r="K4715" s="2161" t="n"/>
    </row>
    <row r="4716" outlineLevel="3" ht="15.75" customHeight="1">
      <c r="A4716" s="10" t="n">
        <v>2</v>
      </c>
      <c r="B4716" s="10" t="inlineStr">
        <is>
          <t>Insumo</t>
        </is>
      </c>
      <c r="C4716" s="10" t="inlineStr">
        <is>
          <t>Mão de obra para aplicação de Mármore Travertino em paredes externas</t>
        </is>
      </c>
      <c r="D4716" s="10" t="inlineStr">
        <is>
          <t>Mão de obra para aplicação de Pedra Natural em paredes externas</t>
        </is>
      </c>
      <c r="E4716" s="11">
        <f t="array" ref="E4716">_xlfn.XLOOKUP(D4716,Insumos!B:B,Insumos!C:$C)</f>
        <v/>
      </c>
      <c r="F4716" s="14" t="n">
        <v>1</v>
      </c>
      <c r="G4716" s="92">
        <f t="array" ref="G4716">IF(B4716="insumo",_xlfn.XLOOKUP($D4716,Insumos!$B$1:$B$996,Insumos!$D$1:$D$996),"")</f>
        <v/>
      </c>
      <c r="H4716" s="92" t="n">
        <v>95</v>
      </c>
      <c r="I4716" s="2162" t="e">
        <v>#REF!</v>
      </c>
      <c r="J4716" s="2162" t="e">
        <v>#REF!</v>
      </c>
      <c r="K4716" s="2162" t="n"/>
    </row>
    <row r="4717" outlineLevel="2" ht="15.75" customHeight="1">
      <c r="A4717" s="1067" t="n">
        <v>1</v>
      </c>
      <c r="B4717" s="1067" t="inlineStr">
        <is>
          <t>Serviço</t>
        </is>
      </c>
      <c r="C4717" s="1067" t="inlineStr">
        <is>
          <t>Mão de obra para aplicação de Pedra Natural em paredes externas</t>
        </is>
      </c>
      <c r="D4717" s="1067" t="inlineStr">
        <is>
          <t>Mão de obra para aplicação de Pedra Natural em paredes externas</t>
        </is>
      </c>
      <c r="E4717" s="1068" t="inlineStr">
        <is>
          <t>M2</t>
        </is>
      </c>
      <c r="F4717" s="1075" t="n"/>
      <c r="G4717" s="1069">
        <f t="array" ref="G4717">IF(B4717="insumo",_xlfn.XLOOKUP($D4717,Insumos!$B$1:$B$996,Insumos!$D$1:$D$996),"")</f>
        <v/>
      </c>
      <c r="H4717" s="1069" t="n">
        <v>95</v>
      </c>
      <c r="I4717" s="2161" t="n">
        <v>0</v>
      </c>
      <c r="J4717" s="2161" t="n">
        <v>0</v>
      </c>
      <c r="K4717" s="2161" t="n"/>
    </row>
    <row r="4718" outlineLevel="3" ht="15.75" customHeight="1">
      <c r="A4718" s="10" t="n">
        <v>2</v>
      </c>
      <c r="B4718" s="10" t="inlineStr">
        <is>
          <t>Insumo</t>
        </is>
      </c>
      <c r="C4718" s="10" t="inlineStr">
        <is>
          <t>Mão de obra para aplicação de Pedra Natural em paredes externas</t>
        </is>
      </c>
      <c r="D4718" s="10" t="inlineStr">
        <is>
          <t>Mão de obra para aplicação de Pedra Natural em paredes externas</t>
        </is>
      </c>
      <c r="E4718" s="11">
        <f t="array" ref="E4718">_xlfn.XLOOKUP(D4718,Insumos!B:B,Insumos!C:$C)</f>
        <v/>
      </c>
      <c r="F4718" s="14" t="n">
        <v>1</v>
      </c>
      <c r="G4718" s="92">
        <f t="array" ref="G4718">IF(B4718="insumo",_xlfn.XLOOKUP($D4718,Insumos!$B$1:$B$996,Insumos!$D$1:$D$996),"")</f>
        <v/>
      </c>
      <c r="H4718" s="92" t="n">
        <v>95</v>
      </c>
      <c r="I4718" s="2162" t="n">
        <v>0</v>
      </c>
      <c r="J4718" s="2162" t="n">
        <v>0</v>
      </c>
      <c r="K4718" s="2162" t="n"/>
    </row>
    <row r="4719" outlineLevel="2" ht="15.75" customHeight="1">
      <c r="A4719" s="1067" t="n">
        <v>1</v>
      </c>
      <c r="B4719" s="1067" t="inlineStr">
        <is>
          <t>Serviço</t>
        </is>
      </c>
      <c r="C4719" s="1067" t="inlineStr">
        <is>
          <t>Mão de obra para aplicação de molduras em paredes externas</t>
        </is>
      </c>
      <c r="D4719" s="1067" t="inlineStr">
        <is>
          <t>Mão de obra para aplicação de molduras em paredes externas</t>
        </is>
      </c>
      <c r="E4719" s="1068" t="inlineStr">
        <is>
          <t>M2</t>
        </is>
      </c>
      <c r="F4719" s="1075" t="n"/>
      <c r="G4719" s="1069">
        <f t="array" ref="G4719">IF(B4719="insumo",_xlfn.XLOOKUP($D4719,Insumos!$B$1:$B$996,Insumos!$D$1:$D$996),"")</f>
        <v/>
      </c>
      <c r="H4719" s="1069" t="n">
        <v>120</v>
      </c>
      <c r="I4719" s="2161" t="e">
        <v>#REF!</v>
      </c>
      <c r="J4719" s="2161" t="e">
        <v>#REF!</v>
      </c>
      <c r="K4719" s="2161" t="n"/>
    </row>
    <row r="4720" outlineLevel="3" ht="15.75" customHeight="1">
      <c r="A4720" s="10" t="n">
        <v>1</v>
      </c>
      <c r="B4720" s="10" t="inlineStr">
        <is>
          <t>Insumo</t>
        </is>
      </c>
      <c r="C4720" s="10" t="inlineStr">
        <is>
          <t>Mão de obra para aplicação de molduras em paredes externas</t>
        </is>
      </c>
      <c r="D4720" s="10" t="inlineStr">
        <is>
          <t>Mão de obra para aplicação de molduras em paredes externas</t>
        </is>
      </c>
      <c r="E4720" s="11">
        <f t="array" ref="E4720">_xlfn.XLOOKUP(D4720,Insumos!B:B,Insumos!C:$C)</f>
        <v/>
      </c>
      <c r="F4720" s="14" t="n">
        <v>1</v>
      </c>
      <c r="G4720" s="92">
        <f t="array" ref="G4720">IF(B4720="insumo",_xlfn.XLOOKUP($D4720,Insumos!$B$1:$B$996,Insumos!$D$1:$D$996),"")</f>
        <v/>
      </c>
      <c r="H4720" s="92" t="n">
        <v>120</v>
      </c>
      <c r="I4720" s="2162" t="e">
        <v>#REF!</v>
      </c>
      <c r="J4720" s="2162" t="e">
        <v>#REF!</v>
      </c>
      <c r="K4720" s="2162" t="n"/>
    </row>
    <row r="4721" outlineLevel="2" ht="15.75" customHeight="1">
      <c r="A4721" s="1067" t="n">
        <v>1</v>
      </c>
      <c r="B4721" s="1067" t="inlineStr">
        <is>
          <t>Serviço</t>
        </is>
      </c>
      <c r="C4721" s="1083" t="inlineStr">
        <is>
          <t>Mão de Obra Aplicação de Revestimento Monolítico</t>
        </is>
      </c>
      <c r="D4721" s="1083" t="inlineStr">
        <is>
          <t>Mão de Obra Aplicação de Revestimento Monolítico</t>
        </is>
      </c>
      <c r="E4721" s="1068" t="inlineStr">
        <is>
          <t>M2</t>
        </is>
      </c>
      <c r="F4721" s="1075" t="n"/>
      <c r="G4721" s="1069">
        <f t="array" ref="G4721">IF(B4721="insumo",_xlfn.XLOOKUP($D4721,Insumos!$B$1:$B$996,Insumos!$D$1:$D$996),"")</f>
        <v/>
      </c>
      <c r="H4721" s="1069" t="n">
        <v>80</v>
      </c>
      <c r="I4721" s="2161" t="n">
        <v>0</v>
      </c>
      <c r="J4721" s="2161" t="n">
        <v>0</v>
      </c>
      <c r="K4721" s="2161" t="n"/>
    </row>
    <row r="4722" outlineLevel="3" ht="15.75" customHeight="1">
      <c r="A4722" s="10" t="n">
        <v>1</v>
      </c>
      <c r="B4722" s="10" t="inlineStr">
        <is>
          <t>Insumo</t>
        </is>
      </c>
      <c r="C4722" s="15" t="inlineStr">
        <is>
          <t>Mão de Obra Aplicação de Revestimento Monolítico</t>
        </is>
      </c>
      <c r="D4722" s="15" t="inlineStr">
        <is>
          <t>Mão de Obra Aplicação de Revestimento Monolítico</t>
        </is>
      </c>
      <c r="E4722" s="11">
        <f t="array" ref="E4722">_xlfn.XLOOKUP(D4722,Insumos!B:B,Insumos!C:$C)</f>
        <v/>
      </c>
      <c r="F4722" s="14" t="n">
        <v>1</v>
      </c>
      <c r="G4722" s="92">
        <f t="array" ref="G4722">IF(B4722="insumo",_xlfn.XLOOKUP($D4722,Insumos!$B$1:$B$996,Insumos!$D$1:$D$996),"")</f>
        <v/>
      </c>
      <c r="H4722" s="92" t="n">
        <v>80</v>
      </c>
      <c r="I4722" s="2162" t="n">
        <v>0</v>
      </c>
      <c r="J4722" s="2162" t="n">
        <v>0</v>
      </c>
      <c r="K4722" s="2162" t="n"/>
    </row>
    <row r="4723" outlineLevel="2" ht="15.75" customHeight="1">
      <c r="A4723" s="1067" t="n">
        <v>1</v>
      </c>
      <c r="B4723" s="1067" t="inlineStr">
        <is>
          <t>Serviço</t>
        </is>
      </c>
      <c r="C4723" s="1067" t="inlineStr">
        <is>
          <t>Mão de obra para execução de fachada ventilada</t>
        </is>
      </c>
      <c r="D4723" s="1067" t="inlineStr">
        <is>
          <t>Mão de obra para execução de fachada ventilada</t>
        </is>
      </c>
      <c r="E4723" s="1068" t="inlineStr">
        <is>
          <t>M2</t>
        </is>
      </c>
      <c r="F4723" s="1075" t="n"/>
      <c r="G4723" s="1069">
        <f t="array" ref="G4723">IF(B4723="insumo",_xlfn.XLOOKUP($D4723,Insumos!$B$1:$B$996,Insumos!$D$1:$D$996),"")</f>
        <v/>
      </c>
      <c r="H4723" s="1069" t="n">
        <v>175</v>
      </c>
      <c r="I4723" s="2161" t="n">
        <v>0</v>
      </c>
      <c r="J4723" s="2161" t="n">
        <v>0</v>
      </c>
      <c r="K4723" s="2161" t="n"/>
    </row>
    <row r="4724" outlineLevel="3" ht="15.75" customHeight="1">
      <c r="A4724" s="10" t="n">
        <v>1</v>
      </c>
      <c r="B4724" s="10" t="inlineStr">
        <is>
          <t>Insumo</t>
        </is>
      </c>
      <c r="C4724" s="10" t="inlineStr">
        <is>
          <t>Mão de obra para execução de fachada ventilada</t>
        </is>
      </c>
      <c r="D4724" s="10" t="inlineStr">
        <is>
          <t>Mão de obra para execução de fachada ventilada</t>
        </is>
      </c>
      <c r="E4724" s="11">
        <f t="array" ref="E4724">_xlfn.XLOOKUP(D4724,Insumos!B:B,Insumos!C:$C)</f>
        <v/>
      </c>
      <c r="F4724" s="14" t="n">
        <v>1</v>
      </c>
      <c r="G4724" s="92">
        <f t="array" ref="G4724">IF(B4724="insumo",_xlfn.XLOOKUP($D4724,Insumos!$B$1:$B$996,Insumos!$D$1:$D$996),"")</f>
        <v/>
      </c>
      <c r="H4724" s="92" t="n">
        <v>175</v>
      </c>
      <c r="I4724" s="2162" t="n">
        <v>0</v>
      </c>
      <c r="J4724" s="2162" t="n">
        <v>0</v>
      </c>
      <c r="K4724" s="2162" t="n"/>
    </row>
    <row r="4725" ht="15.75" customHeight="1">
      <c r="A4725" s="7" t="n">
        <v>1</v>
      </c>
      <c r="B4725" s="7" t="inlineStr">
        <is>
          <t>Etapa</t>
        </is>
      </c>
      <c r="C4725" s="7" t="inlineStr">
        <is>
          <t>Mão de obra para execução de fachada ventilada</t>
        </is>
      </c>
      <c r="D4725" s="7" t="inlineStr">
        <is>
          <t>LOUÇAS, BANCADAS E METAIS</t>
        </is>
      </c>
      <c r="E4725" s="8" t="n"/>
      <c r="F4725" s="2159" t="n"/>
      <c r="G4725" s="91">
        <f t="array" ref="G4725">IF(B4725="insumo",_xlfn.XLOOKUP($D4725,Insumos!$B$1:$B$996,Insumos!$D$1:$D$996),"")</f>
        <v/>
      </c>
      <c r="H4725" s="91" t="n">
        <v>0</v>
      </c>
      <c r="I4725" s="2159" t="n">
        <v>0</v>
      </c>
      <c r="J4725" s="2159" t="n">
        <v>0</v>
      </c>
      <c r="K4725" s="2159" t="n"/>
    </row>
    <row r="4726" outlineLevel="1" ht="15.75" customHeight="1">
      <c r="A4726" s="1067" t="n">
        <v>1</v>
      </c>
      <c r="B4726" s="1067" t="inlineStr">
        <is>
          <t>Serviço</t>
        </is>
      </c>
      <c r="C4726" s="1084" t="inlineStr">
        <is>
          <t>Banheiro - Bacia Sanitária / Caixa Acoplada</t>
        </is>
      </c>
      <c r="D4726" s="1084" t="inlineStr">
        <is>
          <t>Banheiro - Bacia Sanitária / Caixa Acoplada</t>
        </is>
      </c>
      <c r="E4726" s="1068" t="inlineStr">
        <is>
          <t>UN</t>
        </is>
      </c>
      <c r="F4726" s="1085" t="inlineStr"/>
      <c r="G4726" s="1069">
        <f t="array" ref="G4726">IF(B4726="insumo",_xlfn.XLOOKUP($D4726,Insumos!$B$1:$B$996,Insumos!$D$1:$D$996),"")</f>
        <v/>
      </c>
      <c r="H4726" s="1069" t="n">
        <v>586.6688</v>
      </c>
      <c r="I4726" s="2161" t="n">
        <v>0</v>
      </c>
      <c r="J4726" s="2161" t="n">
        <v>0</v>
      </c>
      <c r="K4726" s="2161" t="n"/>
    </row>
    <row r="4727" outlineLevel="2" ht="15.75" customHeight="1">
      <c r="A4727" s="10" t="n">
        <v>2</v>
      </c>
      <c r="B4727" s="10" t="inlineStr">
        <is>
          <t>Insumo</t>
        </is>
      </c>
      <c r="C4727" s="10" t="inlineStr">
        <is>
          <t>Banheiro - Bacia Sanitária / Caixa Acoplada</t>
        </is>
      </c>
      <c r="D4727" s="10" t="inlineStr">
        <is>
          <t>Bacia com caixa acoplada / Detalhe: Linha Living, branco, saída lado direito, Deca</t>
        </is>
      </c>
      <c r="E4727" s="11">
        <f t="array" ref="E4727">_xlfn.XLOOKUP(D4727,Insumos!B:B,Insumos!C:$C)</f>
        <v/>
      </c>
      <c r="F4727" s="14" t="n">
        <v>1</v>
      </c>
      <c r="G4727" s="92">
        <f t="array" ref="G4727">IF(B4727="insumo",_xlfn.XLOOKUP($D4727,Insumos!$B$1:$B$996,Insumos!$D$1:$D$996),"")</f>
        <v/>
      </c>
      <c r="H4727" s="92" t="n">
        <v>523.17</v>
      </c>
      <c r="I4727" s="2162" t="n">
        <v>0</v>
      </c>
      <c r="J4727" s="2162" t="n">
        <v>0</v>
      </c>
      <c r="K4727" s="2162" t="n"/>
    </row>
    <row r="4728" outlineLevel="2" ht="15.75" customHeight="1">
      <c r="A4728" s="10" t="n">
        <v>2</v>
      </c>
      <c r="B4728" s="10" t="inlineStr">
        <is>
          <t>Insumo</t>
        </is>
      </c>
      <c r="C4728" s="10" t="inlineStr">
        <is>
          <t>Banheiro - Bacia Sanitária / Caixa Acoplada</t>
        </is>
      </c>
      <c r="D4728" s="10" t="inlineStr">
        <is>
          <t>Bucha S-8</t>
        </is>
      </c>
      <c r="E4728" s="11">
        <f t="array" ref="E4728">_xlfn.XLOOKUP(D4728,Insumos!B:B,Insumos!C:$C)</f>
        <v/>
      </c>
      <c r="F4728" s="14" t="n">
        <v>2</v>
      </c>
      <c r="G4728" s="92">
        <f t="array" ref="G4728">IF(B4728="insumo",_xlfn.XLOOKUP($D4728,Insumos!$B$1:$B$996,Insumos!$D$1:$D$996),"")</f>
        <v/>
      </c>
      <c r="H4728" s="92" t="n">
        <v>0.68</v>
      </c>
      <c r="I4728" s="2162" t="n">
        <v>0</v>
      </c>
      <c r="J4728" s="2162" t="n">
        <v>0</v>
      </c>
      <c r="K4728" s="2162" t="n"/>
    </row>
    <row r="4729" outlineLevel="2" ht="15.75" customHeight="1">
      <c r="A4729" s="10" t="n">
        <v>3</v>
      </c>
      <c r="B4729" s="10" t="inlineStr">
        <is>
          <t>Insumo</t>
        </is>
      </c>
      <c r="C4729" s="10" t="inlineStr">
        <is>
          <t>Banheiro - Bacia Sanitária / Caixa Acoplada</t>
        </is>
      </c>
      <c r="D4729" s="10" t="inlineStr">
        <is>
          <t>Parafuso p/ Fixação de Vaso Sanitário</t>
        </is>
      </c>
      <c r="E4729" s="11">
        <f t="array" ref="E4729">_xlfn.XLOOKUP(D4729,Insumos!B:B,Insumos!C:$C)</f>
        <v/>
      </c>
      <c r="F4729" s="14" t="n">
        <v>2</v>
      </c>
      <c r="G4729" s="92">
        <f t="array" ref="G4729">IF(B4729="insumo",_xlfn.XLOOKUP($D4729,Insumos!$B$1:$B$996,Insumos!$D$1:$D$996),"")</f>
        <v/>
      </c>
      <c r="H4729" s="92" t="n">
        <v>11.9</v>
      </c>
      <c r="I4729" s="2162" t="n">
        <v>0</v>
      </c>
      <c r="J4729" s="2162" t="n">
        <v>0</v>
      </c>
      <c r="K4729" s="2162" t="n"/>
    </row>
    <row r="4730" outlineLevel="2" ht="15.75" customHeight="1">
      <c r="A4730" s="10" t="n">
        <v>8</v>
      </c>
      <c r="B4730" s="10" t="inlineStr">
        <is>
          <t>Insumo</t>
        </is>
      </c>
      <c r="C4730" s="10" t="inlineStr">
        <is>
          <t>Banheiro - Bacia Sanitária / Caixa Acoplada</t>
        </is>
      </c>
      <c r="D4730" s="10" t="inlineStr">
        <is>
          <t>Fita Veda Rosca</t>
        </is>
      </c>
      <c r="E4730" s="11">
        <f t="array" ref="E4730">_xlfn.XLOOKUP(D4730,Insumos!B:B,Insumos!C:$C)</f>
        <v/>
      </c>
      <c r="F4730" s="14" t="n">
        <v>1.12</v>
      </c>
      <c r="G4730" s="92">
        <f t="array" ref="G4730">IF(B4730="insumo",_xlfn.XLOOKUP($D4730,Insumos!$B$1:$B$996,Insumos!$D$1:$D$996),"")</f>
        <v/>
      </c>
      <c r="H4730" s="92" t="n">
        <v>0.2688</v>
      </c>
      <c r="I4730" s="2162" t="n">
        <v>0</v>
      </c>
      <c r="J4730" s="2162" t="n">
        <v>0</v>
      </c>
      <c r="K4730" s="2162" t="n"/>
    </row>
    <row r="4731" outlineLevel="2" ht="15.75" customHeight="1">
      <c r="A4731" s="10" t="n">
        <v>3</v>
      </c>
      <c r="B4731" s="10" t="inlineStr">
        <is>
          <t>Insumo</t>
        </is>
      </c>
      <c r="C4731" s="10" t="inlineStr">
        <is>
          <t>Banheiro - Bacia Sanitária / Caixa Acoplada</t>
        </is>
      </c>
      <c r="D4731" s="10" t="inlineStr">
        <is>
          <t>Anel de Borracha p/ Tubo 100 mm</t>
        </is>
      </c>
      <c r="E4731" s="11">
        <f t="array" ref="E4731">_xlfn.XLOOKUP(D4731,Insumos!B:B,Insumos!C:$C)</f>
        <v/>
      </c>
      <c r="F4731" s="14" t="n">
        <v>1</v>
      </c>
      <c r="G4731" s="92">
        <f t="array" ref="G4731">IF(B4731="insumo",_xlfn.XLOOKUP($D4731,Insumos!$B$1:$B$996,Insumos!$D$1:$D$996),"")</f>
        <v/>
      </c>
      <c r="H4731" s="92" t="n">
        <v>5</v>
      </c>
      <c r="I4731" s="2162" t="n">
        <v>0</v>
      </c>
      <c r="J4731" s="2162" t="n">
        <v>0</v>
      </c>
      <c r="K4731" s="2162" t="n"/>
    </row>
    <row r="4732" outlineLevel="2" ht="15.75" customHeight="1">
      <c r="A4732" s="10" t="n">
        <v>11</v>
      </c>
      <c r="B4732" s="10" t="inlineStr">
        <is>
          <t>Insumo</t>
        </is>
      </c>
      <c r="C4732" s="10" t="inlineStr">
        <is>
          <t>Banheiro - Bacia Sanitária / Caixa Acoplada</t>
        </is>
      </c>
      <c r="D4732" s="10" t="inlineStr">
        <is>
          <t>Cola Extra Forte AC6000-400G</t>
        </is>
      </c>
      <c r="E4732" s="11">
        <f t="array" ref="E4732">_xlfn.XLOOKUP(D4732,Insumos!B:B,Insumos!C:$C)</f>
        <v/>
      </c>
      <c r="F4732" s="14" t="n">
        <v>0.25</v>
      </c>
      <c r="G4732" s="92">
        <f t="array" ref="G4732">IF(B4732="insumo",_xlfn.XLOOKUP($D4732,Insumos!$B$1:$B$996,Insumos!$D$1:$D$996),"")</f>
        <v/>
      </c>
      <c r="H4732" s="92" t="n">
        <v>18.75</v>
      </c>
      <c r="I4732" s="2162" t="n">
        <v>0</v>
      </c>
      <c r="J4732" s="2162" t="n">
        <v>0</v>
      </c>
      <c r="K4732" s="2162" t="n"/>
    </row>
    <row r="4733" outlineLevel="2" ht="15.75" customHeight="1">
      <c r="A4733" s="10" t="n">
        <v>11</v>
      </c>
      <c r="B4733" s="10" t="inlineStr">
        <is>
          <t>Insumo</t>
        </is>
      </c>
      <c r="C4733" s="10" t="inlineStr">
        <is>
          <t>Banheiro - Bacia Sanitária / Caixa Acoplada</t>
        </is>
      </c>
      <c r="D4733" s="10" t="inlineStr">
        <is>
          <t>Engate Flexível Trançado 1/2"</t>
        </is>
      </c>
      <c r="E4733" s="11">
        <f t="array" ref="E4733">_xlfn.XLOOKUP(D4733,Insumos!B:B,Insumos!C:$C)</f>
        <v/>
      </c>
      <c r="F4733" s="14" t="n">
        <v>1</v>
      </c>
      <c r="G4733" s="92">
        <f t="array" ref="G4733">IF(B4733="insumo",_xlfn.XLOOKUP($D4733,Insumos!$B$1:$B$996,Insumos!$D$1:$D$996),"")</f>
        <v/>
      </c>
      <c r="H4733" s="92" t="n">
        <v>26.9</v>
      </c>
      <c r="I4733" s="2162" t="n">
        <v>0</v>
      </c>
      <c r="J4733" s="2162" t="n">
        <v>0</v>
      </c>
      <c r="K4733" s="2162" t="n"/>
    </row>
    <row r="4734" outlineLevel="1" ht="15.75" customHeight="1">
      <c r="A4734" s="1067" t="n">
        <v>1</v>
      </c>
      <c r="B4734" s="1067" t="inlineStr">
        <is>
          <t>Serviço</t>
        </is>
      </c>
      <c r="C4734" s="1084" t="inlineStr">
        <is>
          <t>Banheiro - Mictório / Caixa Acoplada</t>
        </is>
      </c>
      <c r="D4734" s="1084" t="inlineStr">
        <is>
          <t>Banheiro - Mictório / Caixa Acoplada</t>
        </is>
      </c>
      <c r="E4734" s="1068" t="inlineStr">
        <is>
          <t>UN</t>
        </is>
      </c>
      <c r="F4734" s="1085" t="inlineStr"/>
      <c r="G4734" s="1069">
        <f t="array" ref="G4734">IF(B4734="insumo",_xlfn.XLOOKUP($D4734,Insumos!$B$1:$B$996,Insumos!$D$1:$D$996),"")</f>
        <v/>
      </c>
      <c r="H4734" s="1069" t="n">
        <v>1073.9</v>
      </c>
      <c r="I4734" s="2161" t="n">
        <v>0</v>
      </c>
      <c r="J4734" s="2161" t="n">
        <v>0</v>
      </c>
      <c r="K4734" s="2161" t="n"/>
    </row>
    <row r="4735" outlineLevel="2" ht="15.75" customHeight="1">
      <c r="A4735" s="10" t="n">
        <v>1</v>
      </c>
      <c r="B4735" s="10" t="inlineStr">
        <is>
          <t>Insumo</t>
        </is>
      </c>
      <c r="C4735" s="10" t="inlineStr">
        <is>
          <t>Banheiro - Mictório / Caixa Acoplada</t>
        </is>
      </c>
      <c r="D4735" s="10" t="inlineStr">
        <is>
          <t>Mictório com Válvula de Acionamento</t>
        </is>
      </c>
      <c r="E4735" s="11">
        <f t="array" ref="E4735">_xlfn.XLOOKUP(D4735,Insumos!B:B,Insumos!C:$C)</f>
        <v/>
      </c>
      <c r="F4735" s="14" t="n">
        <v>1</v>
      </c>
      <c r="G4735" s="92">
        <f t="array" ref="G4735">IF(B4735="insumo",_xlfn.XLOOKUP($D4735,Insumos!$B$1:$B$996,Insumos!$D$1:$D$996),"")</f>
        <v/>
      </c>
      <c r="H4735" s="92" t="n">
        <v>1010.4012</v>
      </c>
      <c r="I4735" s="2162" t="n">
        <v>0</v>
      </c>
      <c r="J4735" s="2162" t="n">
        <v>0</v>
      </c>
      <c r="K4735" s="2162" t="n"/>
    </row>
    <row r="4736" outlineLevel="2" ht="15.75" customHeight="1">
      <c r="A4736" s="10" t="n">
        <v>2</v>
      </c>
      <c r="B4736" s="10" t="inlineStr">
        <is>
          <t>Insumo</t>
        </is>
      </c>
      <c r="C4736" s="10" t="inlineStr">
        <is>
          <t>Banheiro - Mictório / Caixa Acoplada</t>
        </is>
      </c>
      <c r="D4736" s="10" t="inlineStr">
        <is>
          <t>Bucha S-8</t>
        </is>
      </c>
      <c r="E4736" s="11">
        <f t="array" ref="E4736">_xlfn.XLOOKUP(D4736,Insumos!B:B,Insumos!C:$C)</f>
        <v/>
      </c>
      <c r="F4736" s="14" t="n">
        <v>2</v>
      </c>
      <c r="G4736" s="92">
        <f t="array" ref="G4736">IF(B4736="insumo",_xlfn.XLOOKUP($D4736,Insumos!$B$1:$B$996,Insumos!$D$1:$D$996),"")</f>
        <v/>
      </c>
      <c r="H4736" s="92" t="n">
        <v>0.68</v>
      </c>
      <c r="I4736" s="2162" t="n">
        <v>0</v>
      </c>
      <c r="J4736" s="2162" t="n">
        <v>0</v>
      </c>
      <c r="K4736" s="2162" t="n"/>
    </row>
    <row r="4737" outlineLevel="2" ht="15.75" customHeight="1">
      <c r="A4737" s="10" t="n">
        <v>3</v>
      </c>
      <c r="B4737" s="10" t="inlineStr">
        <is>
          <t>Insumo</t>
        </is>
      </c>
      <c r="C4737" s="10" t="inlineStr">
        <is>
          <t>Banheiro - Mictório / Caixa Acoplada</t>
        </is>
      </c>
      <c r="D4737" s="10" t="inlineStr">
        <is>
          <t>Parafuso p/ Fixação de Vaso Sanitário</t>
        </is>
      </c>
      <c r="E4737" s="11">
        <f t="array" ref="E4737">_xlfn.XLOOKUP(D4737,Insumos!B:B,Insumos!C:$C)</f>
        <v/>
      </c>
      <c r="F4737" s="14" t="n">
        <v>2</v>
      </c>
      <c r="G4737" s="92">
        <f t="array" ref="G4737">IF(B4737="insumo",_xlfn.XLOOKUP($D4737,Insumos!$B$1:$B$996,Insumos!$D$1:$D$996),"")</f>
        <v/>
      </c>
      <c r="H4737" s="92" t="n">
        <v>11.9</v>
      </c>
      <c r="I4737" s="2162" t="n">
        <v>0</v>
      </c>
      <c r="J4737" s="2162" t="n">
        <v>0</v>
      </c>
      <c r="K4737" s="2162" t="n"/>
    </row>
    <row r="4738" outlineLevel="2" ht="15.75" customHeight="1">
      <c r="A4738" s="10" t="n">
        <v>8</v>
      </c>
      <c r="B4738" s="10" t="inlineStr">
        <is>
          <t>Insumo</t>
        </is>
      </c>
      <c r="C4738" s="10" t="inlineStr">
        <is>
          <t>Banheiro - Mictório / Caixa Acoplada</t>
        </is>
      </c>
      <c r="D4738" s="10" t="inlineStr">
        <is>
          <t>Fita Veda Rosca</t>
        </is>
      </c>
      <c r="E4738" s="11">
        <f t="array" ref="E4738">_xlfn.XLOOKUP(D4738,Insumos!B:B,Insumos!C:$C)</f>
        <v/>
      </c>
      <c r="F4738" s="14" t="n">
        <v>1.12</v>
      </c>
      <c r="G4738" s="92">
        <f t="array" ref="G4738">IF(B4738="insumo",_xlfn.XLOOKUP($D4738,Insumos!$B$1:$B$996,Insumos!$D$1:$D$996),"")</f>
        <v/>
      </c>
      <c r="H4738" s="92" t="n">
        <v>0.2688</v>
      </c>
      <c r="I4738" s="2162" t="n">
        <v>0</v>
      </c>
      <c r="J4738" s="2162" t="n">
        <v>0</v>
      </c>
      <c r="K4738" s="2162" t="n"/>
    </row>
    <row r="4739" outlineLevel="2" ht="15.75" customHeight="1">
      <c r="A4739" s="10" t="n">
        <v>3</v>
      </c>
      <c r="B4739" s="10" t="inlineStr">
        <is>
          <t>Insumo</t>
        </is>
      </c>
      <c r="C4739" s="10" t="inlineStr">
        <is>
          <t>Banheiro - Mictório / Caixa Acoplada</t>
        </is>
      </c>
      <c r="D4739" s="10" t="inlineStr">
        <is>
          <t>Anel de Borracha p/ Tubo 100 mm</t>
        </is>
      </c>
      <c r="E4739" s="11">
        <f t="array" ref="E4739">_xlfn.XLOOKUP(D4739,Insumos!B:B,Insumos!C:$C)</f>
        <v/>
      </c>
      <c r="F4739" s="14" t="n">
        <v>1</v>
      </c>
      <c r="G4739" s="92">
        <f t="array" ref="G4739">IF(B4739="insumo",_xlfn.XLOOKUP($D4739,Insumos!$B$1:$B$996,Insumos!$D$1:$D$996),"")</f>
        <v/>
      </c>
      <c r="H4739" s="92" t="n">
        <v>5</v>
      </c>
      <c r="I4739" s="2162" t="n">
        <v>0</v>
      </c>
      <c r="J4739" s="2162" t="n">
        <v>0</v>
      </c>
      <c r="K4739" s="2162" t="n"/>
    </row>
    <row r="4740" outlineLevel="2" ht="15.75" customHeight="1">
      <c r="A4740" s="10" t="n">
        <v>11</v>
      </c>
      <c r="B4740" s="10" t="inlineStr">
        <is>
          <t>Insumo</t>
        </is>
      </c>
      <c r="C4740" s="10" t="inlineStr">
        <is>
          <t>Banheiro - Mictório / Caixa Acoplada</t>
        </is>
      </c>
      <c r="D4740" s="10" t="inlineStr">
        <is>
          <t>Cola Extra Forte AC6000-400G</t>
        </is>
      </c>
      <c r="E4740" s="11">
        <f t="array" ref="E4740">_xlfn.XLOOKUP(D4740,Insumos!B:B,Insumos!C:$C)</f>
        <v/>
      </c>
      <c r="F4740" s="14" t="n">
        <v>0.25</v>
      </c>
      <c r="G4740" s="92">
        <f t="array" ref="G4740">IF(B4740="insumo",_xlfn.XLOOKUP($D4740,Insumos!$B$1:$B$996,Insumos!$D$1:$D$996),"")</f>
        <v/>
      </c>
      <c r="H4740" s="92" t="n">
        <v>18.75</v>
      </c>
      <c r="I4740" s="2162" t="n">
        <v>0</v>
      </c>
      <c r="J4740" s="2162" t="n">
        <v>0</v>
      </c>
      <c r="K4740" s="2162" t="n"/>
    </row>
    <row r="4741" outlineLevel="2" ht="15.75" customHeight="1">
      <c r="A4741" s="10" t="n">
        <v>11</v>
      </c>
      <c r="B4741" s="10" t="inlineStr">
        <is>
          <t>Insumo</t>
        </is>
      </c>
      <c r="C4741" s="10" t="inlineStr">
        <is>
          <t>Banheiro - Mictório / Caixa Acoplada</t>
        </is>
      </c>
      <c r="D4741" s="10" t="inlineStr">
        <is>
          <t>Engate Flexível Trançado 1/2"</t>
        </is>
      </c>
      <c r="E4741" s="11">
        <f t="array" ref="E4741">_xlfn.XLOOKUP(D4741,Insumos!B:B,Insumos!C:$C)</f>
        <v/>
      </c>
      <c r="F4741" s="14" t="n">
        <v>1</v>
      </c>
      <c r="G4741" s="92">
        <f t="array" ref="G4741">IF(B4741="insumo",_xlfn.XLOOKUP($D4741,Insumos!$B$1:$B$996,Insumos!$D$1:$D$996),"")</f>
        <v/>
      </c>
      <c r="H4741" s="92" t="n">
        <v>26.9</v>
      </c>
      <c r="I4741" s="2162" t="n">
        <v>0</v>
      </c>
      <c r="J4741" s="2162" t="n">
        <v>0</v>
      </c>
      <c r="K4741" s="2162" t="n"/>
    </row>
    <row r="4742" outlineLevel="1" ht="15.75" customHeight="1">
      <c r="A4742" s="1067" t="n">
        <v>1</v>
      </c>
      <c r="B4742" s="1067" t="inlineStr">
        <is>
          <t>Serviço</t>
        </is>
      </c>
      <c r="C4742" s="1067" t="inlineStr">
        <is>
          <t>Banheiro - Bacia Sanitária PNE</t>
        </is>
      </c>
      <c r="D4742" s="1067" t="inlineStr">
        <is>
          <t>Banheiro - Bacia Sanitária PNE</t>
        </is>
      </c>
      <c r="E4742" s="1068" t="inlineStr">
        <is>
          <t>UN</t>
        </is>
      </c>
      <c r="F4742" s="1067" t="inlineStr"/>
      <c r="G4742" s="1069">
        <f t="array" ref="G4742">IF(B4742="insumo",_xlfn.XLOOKUP($D4742,Insumos!$B$1:$B$996,Insumos!$D$1:$D$996),"")</f>
        <v/>
      </c>
      <c r="H4742" s="1069" t="n">
        <v>600.64</v>
      </c>
      <c r="I4742" s="2161" t="n">
        <v>0</v>
      </c>
      <c r="J4742" s="2161" t="n">
        <v>0</v>
      </c>
      <c r="K4742" s="2161" t="n"/>
    </row>
    <row r="4743" outlineLevel="2" ht="15.75" customHeight="1">
      <c r="A4743" s="10" t="n">
        <v>3</v>
      </c>
      <c r="B4743" s="10" t="inlineStr">
        <is>
          <t>Insumo</t>
        </is>
      </c>
      <c r="C4743" s="10" t="inlineStr">
        <is>
          <t>Banheiro - Bacia Sanitária PNE</t>
        </is>
      </c>
      <c r="D4743" s="10" t="inlineStr">
        <is>
          <t>Bucha Nylon C8</t>
        </is>
      </c>
      <c r="E4743" s="11">
        <f t="array" ref="E4743">_xlfn.XLOOKUP(D4743,Insumos!B:B,Insumos!C:$C)</f>
        <v/>
      </c>
      <c r="F4743" s="14" t="n">
        <v>2</v>
      </c>
      <c r="G4743" s="92">
        <f t="array" ref="G4743">IF(B4743="insumo",_xlfn.XLOOKUP($D4743,Insumos!$B$1:$B$996,Insumos!$D$1:$D$996),"")</f>
        <v/>
      </c>
      <c r="H4743" s="92" t="n">
        <v>0.68</v>
      </c>
      <c r="I4743" s="2162" t="n">
        <v>0</v>
      </c>
      <c r="J4743" s="2162" t="n">
        <v>0</v>
      </c>
      <c r="K4743" s="2162" t="n"/>
    </row>
    <row r="4744" outlineLevel="2" ht="15.75" customHeight="1">
      <c r="A4744" s="10" t="n">
        <v>3</v>
      </c>
      <c r="B4744" s="10" t="inlineStr">
        <is>
          <t>Insumo</t>
        </is>
      </c>
      <c r="C4744" s="10" t="inlineStr">
        <is>
          <t>Banheiro - Bacia Sanitária PNE</t>
        </is>
      </c>
      <c r="D4744" s="10" t="inlineStr">
        <is>
          <t>Parafuso p/ Fixação de Vaso Sanitário</t>
        </is>
      </c>
      <c r="E4744" s="11">
        <f t="array" ref="E4744">_xlfn.XLOOKUP(D4744,Insumos!B:B,Insumos!C:$C)</f>
        <v/>
      </c>
      <c r="F4744" s="14" t="n">
        <v>2</v>
      </c>
      <c r="G4744" s="92">
        <f t="array" ref="G4744">IF(B4744="insumo",_xlfn.XLOOKUP($D4744,Insumos!$B$1:$B$996,Insumos!$D$1:$D$996),"")</f>
        <v/>
      </c>
      <c r="H4744" s="92" t="n">
        <v>11.9</v>
      </c>
      <c r="I4744" s="2162" t="n">
        <v>0</v>
      </c>
      <c r="J4744" s="2162" t="n">
        <v>0</v>
      </c>
      <c r="K4744" s="2162" t="n"/>
    </row>
    <row r="4745" outlineLevel="2" ht="15.75" customHeight="1">
      <c r="A4745" s="10" t="n">
        <v>3</v>
      </c>
      <c r="B4745" s="10" t="inlineStr">
        <is>
          <t>Insumo</t>
        </is>
      </c>
      <c r="C4745" s="10" t="inlineStr">
        <is>
          <t>Banheiro - Bacia Sanitária PNE</t>
        </is>
      </c>
      <c r="D4745" s="10" t="inlineStr">
        <is>
          <t>Anel de Borracha p/ Tubo 100 mm</t>
        </is>
      </c>
      <c r="E4745" s="11">
        <f t="array" ref="E4745">_xlfn.XLOOKUP(D4745,Insumos!B:B,Insumos!C:$C)</f>
        <v/>
      </c>
      <c r="F4745" s="14" t="n">
        <v>1</v>
      </c>
      <c r="G4745" s="92">
        <f t="array" ref="G4745">IF(B4745="insumo",_xlfn.XLOOKUP($D4745,Insumos!$B$1:$B$996,Insumos!$D$1:$D$996),"")</f>
        <v/>
      </c>
      <c r="H4745" s="92" t="n">
        <v>5</v>
      </c>
      <c r="I4745" s="2162" t="n">
        <v>0</v>
      </c>
      <c r="J4745" s="2162" t="n">
        <v>0</v>
      </c>
      <c r="K4745" s="2162" t="n"/>
    </row>
    <row r="4746" outlineLevel="2" ht="15.75" customHeight="1">
      <c r="A4746" s="10" t="n">
        <v>7</v>
      </c>
      <c r="B4746" s="10" t="inlineStr">
        <is>
          <t>Insumo</t>
        </is>
      </c>
      <c r="C4746" s="10" t="inlineStr">
        <is>
          <t>Banheiro - Bacia Sanitária PNE</t>
        </is>
      </c>
      <c r="D4746" s="10" t="inlineStr">
        <is>
          <t>Silicone acético 250gr</t>
        </is>
      </c>
      <c r="E4746" s="11">
        <f t="array" ref="E4746">_xlfn.XLOOKUP(D4746,Insumos!B:B,Insumos!C:$C)</f>
        <v/>
      </c>
      <c r="F4746" s="14" t="n">
        <v>0.4</v>
      </c>
      <c r="G4746" s="92">
        <f t="array" ref="G4746">IF(B4746="insumo",_xlfn.XLOOKUP($D4746,Insumos!$B$1:$B$996,Insumos!$D$1:$D$996),"")</f>
        <v/>
      </c>
      <c r="H4746" s="92" t="n">
        <v>14.24</v>
      </c>
      <c r="I4746" s="2162" t="n">
        <v>0</v>
      </c>
      <c r="J4746" s="2162" t="n">
        <v>0</v>
      </c>
      <c r="K4746" s="2162" t="n"/>
    </row>
    <row r="4747" outlineLevel="2" ht="15.75" customHeight="1">
      <c r="A4747" s="10" t="n">
        <v>11</v>
      </c>
      <c r="B4747" s="10" t="inlineStr">
        <is>
          <t>Insumo</t>
        </is>
      </c>
      <c r="C4747" s="10" t="inlineStr">
        <is>
          <t>Banheiro - Bacia Sanitária PNE</t>
        </is>
      </c>
      <c r="D4747" s="10" t="inlineStr">
        <is>
          <t>Cola Extra Forte AC6000-400G</t>
        </is>
      </c>
      <c r="E4747" s="11">
        <f t="array" ref="E4747">_xlfn.XLOOKUP(D4747,Insumos!B:B,Insumos!C:$C)</f>
        <v/>
      </c>
      <c r="F4747" s="14" t="n">
        <v>0.25</v>
      </c>
      <c r="G4747" s="92">
        <f t="array" ref="G4747">IF(B4747="insumo",_xlfn.XLOOKUP($D4747,Insumos!$B$1:$B$996,Insumos!$D$1:$D$996),"")</f>
        <v/>
      </c>
      <c r="H4747" s="92" t="n">
        <v>18.75</v>
      </c>
      <c r="I4747" s="2162" t="n">
        <v>0</v>
      </c>
      <c r="J4747" s="2162" t="n">
        <v>0</v>
      </c>
      <c r="K4747" s="2162" t="n"/>
    </row>
    <row r="4748" outlineLevel="2" ht="15.75" customHeight="1">
      <c r="A4748" s="10" t="n">
        <v>2</v>
      </c>
      <c r="B4748" s="10" t="inlineStr">
        <is>
          <t>Insumo</t>
        </is>
      </c>
      <c r="C4748" s="10" t="inlineStr">
        <is>
          <t>Banheiro - Bacia Sanitária PNE</t>
        </is>
      </c>
      <c r="D4748" s="10" t="inlineStr">
        <is>
          <t>Bacia com caixa acoplada / Detalhe: Linha Living, branco, saída lado direito, Deca</t>
        </is>
      </c>
      <c r="E4748" s="11">
        <f t="array" ref="E4748">_xlfn.XLOOKUP(D4748,Insumos!B:B,Insumos!C:$C)</f>
        <v/>
      </c>
      <c r="F4748" s="14" t="n">
        <v>1</v>
      </c>
      <c r="G4748" s="92">
        <f t="array" ref="G4748">IF(B4748="insumo",_xlfn.XLOOKUP($D4748,Insumos!$B$1:$B$996,Insumos!$D$1:$D$996),"")</f>
        <v/>
      </c>
      <c r="H4748" s="92" t="n">
        <v>523.17</v>
      </c>
      <c r="I4748" s="2162" t="n">
        <v>0</v>
      </c>
      <c r="J4748" s="2162" t="n">
        <v>0</v>
      </c>
      <c r="K4748" s="2162" t="n"/>
    </row>
    <row r="4749" outlineLevel="2" ht="15.75" customHeight="1">
      <c r="A4749" s="10" t="n">
        <v>11</v>
      </c>
      <c r="B4749" s="10" t="inlineStr">
        <is>
          <t>Insumo</t>
        </is>
      </c>
      <c r="C4749" s="10" t="inlineStr">
        <is>
          <t>Banheiro - Bacia Sanitária PNE</t>
        </is>
      </c>
      <c r="D4749" s="10" t="inlineStr">
        <is>
          <t>Engate Flexível Trançado 1/2"</t>
        </is>
      </c>
      <c r="E4749" s="11">
        <f t="array" ref="E4749">_xlfn.XLOOKUP(D4749,Insumos!B:B,Insumos!C:$C)</f>
        <v/>
      </c>
      <c r="F4749" s="14" t="n">
        <v>1</v>
      </c>
      <c r="G4749" s="92">
        <f t="array" ref="G4749">IF(B4749="insumo",_xlfn.XLOOKUP($D4749,Insumos!$B$1:$B$996,Insumos!$D$1:$D$996),"")</f>
        <v/>
      </c>
      <c r="H4749" s="92" t="n">
        <v>26.9</v>
      </c>
      <c r="I4749" s="2162" t="n">
        <v>0</v>
      </c>
      <c r="J4749" s="2162" t="n">
        <v>0</v>
      </c>
      <c r="K4749" s="2162" t="n"/>
    </row>
    <row r="4750" outlineLevel="1" ht="15.75" customHeight="1">
      <c r="A4750" s="1067" t="n">
        <v>1</v>
      </c>
      <c r="B4750" s="1067" t="inlineStr">
        <is>
          <t>Serviço</t>
        </is>
      </c>
      <c r="C4750" s="1084" t="inlineStr">
        <is>
          <t>Banheiro - Cuba</t>
        </is>
      </c>
      <c r="D4750" s="1084" t="inlineStr">
        <is>
          <t>Banheiro - Cuba</t>
        </is>
      </c>
      <c r="E4750" s="1068" t="inlineStr">
        <is>
          <t>UN</t>
        </is>
      </c>
      <c r="F4750" s="1085" t="inlineStr"/>
      <c r="G4750" s="1069">
        <f t="array" ref="G4750">IF(B4750="insumo",_xlfn.XLOOKUP($D4750,Insumos!$B$1:$B$996,Insumos!$D$1:$D$996),"")</f>
        <v/>
      </c>
      <c r="H4750" s="1069" t="n">
        <v>436.69</v>
      </c>
      <c r="I4750" s="2161" t="n">
        <v>0</v>
      </c>
      <c r="J4750" s="2161" t="n">
        <v>0</v>
      </c>
      <c r="K4750" s="2161" t="n"/>
    </row>
    <row r="4751" outlineLevel="2" ht="15.75" customHeight="1">
      <c r="A4751" s="10" t="n">
        <v>1</v>
      </c>
      <c r="B4751" s="10" t="inlineStr">
        <is>
          <t>Insumo</t>
        </is>
      </c>
      <c r="C4751" s="10" t="inlineStr">
        <is>
          <t>Banheiro - Cuba</t>
        </is>
      </c>
      <c r="D4751" s="10" t="inlineStr">
        <is>
          <t>Cuba de Apoio Redonda 32cmx13cm Luxo Docol Branco</t>
        </is>
      </c>
      <c r="E4751" s="11">
        <f t="array" ref="E4751">_xlfn.XLOOKUP(D4751,Insumos!B:B,Insumos!C:$C)</f>
        <v/>
      </c>
      <c r="F4751" s="14" t="n">
        <v>1</v>
      </c>
      <c r="G4751" s="92">
        <f t="array" ref="G4751">IF(B4751="insumo",_xlfn.XLOOKUP($D4751,Insumos!$B$1:$B$996,Insumos!$D$1:$D$996),"")</f>
        <v/>
      </c>
      <c r="H4751" s="92" t="n">
        <v>272.9</v>
      </c>
      <c r="I4751" s="2162" t="n">
        <v>0</v>
      </c>
      <c r="J4751" s="2162" t="n">
        <v>0</v>
      </c>
      <c r="K4751" s="2162" t="n"/>
    </row>
    <row r="4752" outlineLevel="2" ht="15.75" customHeight="1">
      <c r="A4752" s="10" t="n">
        <v>2</v>
      </c>
      <c r="B4752" s="10" t="inlineStr">
        <is>
          <t>Insumo</t>
        </is>
      </c>
      <c r="C4752" s="10" t="inlineStr">
        <is>
          <t>Banheiro - Cuba</t>
        </is>
      </c>
      <c r="D4752" s="10" t="inlineStr">
        <is>
          <t>Valvula Metálica 1"</t>
        </is>
      </c>
      <c r="E4752" s="11">
        <f t="array" ref="E4752">_xlfn.XLOOKUP(D4752,Insumos!B:B,Insumos!C:$C)</f>
        <v/>
      </c>
      <c r="F4752" s="14" t="n">
        <v>1</v>
      </c>
      <c r="G4752" s="92">
        <f t="array" ref="G4752">IF(B4752="insumo",_xlfn.XLOOKUP($D4752,Insumos!$B$1:$B$996,Insumos!$D$1:$D$996),"")</f>
        <v/>
      </c>
      <c r="H4752" s="92" t="n">
        <v>65</v>
      </c>
      <c r="I4752" s="2162" t="n">
        <v>0</v>
      </c>
      <c r="J4752" s="2162" t="n">
        <v>0</v>
      </c>
      <c r="K4752" s="2162" t="n"/>
    </row>
    <row r="4753" outlineLevel="2" ht="15.75" customHeight="1">
      <c r="A4753" s="10" t="n">
        <v>3</v>
      </c>
      <c r="B4753" s="10" t="inlineStr">
        <is>
          <t>Insumo</t>
        </is>
      </c>
      <c r="C4753" s="10" t="inlineStr">
        <is>
          <t>Banheiro - Cuba</t>
        </is>
      </c>
      <c r="D4753" s="10" t="inlineStr">
        <is>
          <t>Bucha Nylon C8</t>
        </is>
      </c>
      <c r="E4753" s="11">
        <f t="array" ref="E4753">_xlfn.XLOOKUP(D4753,Insumos!B:B,Insumos!C:$C)</f>
        <v/>
      </c>
      <c r="F4753" s="14" t="n">
        <v>1</v>
      </c>
      <c r="G4753" s="92">
        <f t="array" ref="G4753">IF(B4753="insumo",_xlfn.XLOOKUP($D4753,Insumos!$B$1:$B$996,Insumos!$D$1:$D$996),"")</f>
        <v/>
      </c>
      <c r="H4753" s="92" t="n">
        <v>0.34</v>
      </c>
      <c r="I4753" s="2162" t="n">
        <v>0</v>
      </c>
      <c r="J4753" s="2162" t="n">
        <v>0</v>
      </c>
      <c r="K4753" s="2162" t="n"/>
    </row>
    <row r="4754" outlineLevel="2" ht="15.75" customHeight="1">
      <c r="A4754" s="10" t="n">
        <v>2</v>
      </c>
      <c r="B4754" s="10" t="inlineStr">
        <is>
          <t>Insumo</t>
        </is>
      </c>
      <c r="C4754" s="10" t="inlineStr">
        <is>
          <t>Banheiro - Cuba</t>
        </is>
      </c>
      <c r="D4754" s="10" t="inlineStr">
        <is>
          <t>Parafuso p/ Fixação de Tanque e Lavatório</t>
        </is>
      </c>
      <c r="E4754" s="11">
        <f t="array" ref="E4754">_xlfn.XLOOKUP(D4754,Insumos!B:B,Insumos!C:$C)</f>
        <v/>
      </c>
      <c r="F4754" s="14" t="n">
        <v>2</v>
      </c>
      <c r="G4754" s="92">
        <f t="array" ref="G4754">IF(B4754="insumo",_xlfn.XLOOKUP($D4754,Insumos!$B$1:$B$996,Insumos!$D$1:$D$996),"")</f>
        <v/>
      </c>
      <c r="H4754" s="92" t="n">
        <v>11.9</v>
      </c>
      <c r="I4754" s="2162" t="n">
        <v>0</v>
      </c>
      <c r="J4754" s="2162" t="n">
        <v>0</v>
      </c>
      <c r="K4754" s="2162" t="n"/>
    </row>
    <row r="4755" outlineLevel="2" ht="15.75" customHeight="1">
      <c r="A4755" s="10" t="n">
        <v>11</v>
      </c>
      <c r="B4755" s="10" t="inlineStr">
        <is>
          <t>Insumo</t>
        </is>
      </c>
      <c r="C4755" s="10" t="inlineStr">
        <is>
          <t>Banheiro - Cuba</t>
        </is>
      </c>
      <c r="D4755" s="10" t="inlineStr">
        <is>
          <t>Cola Extra Forte AC6000-400G</t>
        </is>
      </c>
      <c r="E4755" s="11">
        <f t="array" ref="E4755">_xlfn.XLOOKUP(D4755,Insumos!B:B,Insumos!C:$C)</f>
        <v/>
      </c>
      <c r="F4755" s="14" t="n">
        <v>0.25</v>
      </c>
      <c r="G4755" s="92">
        <f t="array" ref="G4755">IF(B4755="insumo",_xlfn.XLOOKUP($D4755,Insumos!$B$1:$B$996,Insumos!$D$1:$D$996),"")</f>
        <v/>
      </c>
      <c r="H4755" s="92" t="n">
        <v>18.75</v>
      </c>
      <c r="I4755" s="2162" t="n">
        <v>0</v>
      </c>
      <c r="J4755" s="2162" t="n">
        <v>0</v>
      </c>
      <c r="K4755" s="2162" t="n"/>
    </row>
    <row r="4756" outlineLevel="2" ht="15.75" customHeight="1">
      <c r="A4756" s="10" t="n">
        <v>11</v>
      </c>
      <c r="B4756" s="10" t="inlineStr">
        <is>
          <t>Insumo</t>
        </is>
      </c>
      <c r="C4756" s="10" t="inlineStr">
        <is>
          <t>Banheiro - Cuba</t>
        </is>
      </c>
      <c r="D4756" s="10" t="inlineStr">
        <is>
          <t>Engate Flexível Trançado 1/2"</t>
        </is>
      </c>
      <c r="E4756" s="11">
        <f t="array" ref="E4756">_xlfn.XLOOKUP(D4756,Insumos!B:B,Insumos!C:$C)</f>
        <v/>
      </c>
      <c r="F4756" s="14" t="n">
        <v>1</v>
      </c>
      <c r="G4756" s="92">
        <f t="array" ref="G4756">IF(B4756="insumo",_xlfn.XLOOKUP($D4756,Insumos!$B$1:$B$996,Insumos!$D$1:$D$996),"")</f>
        <v/>
      </c>
      <c r="H4756" s="92" t="n">
        <v>26.9</v>
      </c>
      <c r="I4756" s="2162" t="n">
        <v>0</v>
      </c>
      <c r="J4756" s="2162" t="n">
        <v>0</v>
      </c>
      <c r="K4756" s="2162" t="n"/>
    </row>
    <row r="4757" outlineLevel="2" ht="15.75" customHeight="1">
      <c r="A4757" s="10" t="n">
        <v>2</v>
      </c>
      <c r="B4757" s="10" t="inlineStr">
        <is>
          <t>Insumo</t>
        </is>
      </c>
      <c r="C4757" s="10" t="inlineStr">
        <is>
          <t>Banheiro - Cuba</t>
        </is>
      </c>
      <c r="D4757" s="10" t="inlineStr">
        <is>
          <t>Sifão flexível com copo para Lavatório</t>
        </is>
      </c>
      <c r="E4757" s="11">
        <f t="array" ref="E4757">_xlfn.XLOOKUP(D4757,Insumos!B:B,Insumos!C:$C)</f>
        <v/>
      </c>
      <c r="F4757" s="14" t="n">
        <v>1</v>
      </c>
      <c r="G4757" s="92">
        <f t="array" ref="G4757">IF(B4757="insumo",_xlfn.XLOOKUP($D4757,Insumos!$B$1:$B$996,Insumos!$D$1:$D$996),"")</f>
        <v/>
      </c>
      <c r="H4757" s="92" t="n">
        <v>8.9</v>
      </c>
      <c r="I4757" s="2162" t="n">
        <v>0</v>
      </c>
      <c r="J4757" s="2162" t="n">
        <v>0</v>
      </c>
      <c r="K4757" s="2162" t="n"/>
    </row>
    <row r="4758" outlineLevel="2" ht="15.75" customHeight="1">
      <c r="A4758" s="10" t="n">
        <v>2</v>
      </c>
      <c r="B4758" s="10" t="inlineStr">
        <is>
          <t>Insumo</t>
        </is>
      </c>
      <c r="C4758" s="10" t="inlineStr">
        <is>
          <t>Banheiro - Cuba</t>
        </is>
      </c>
      <c r="D4758" s="10" t="inlineStr">
        <is>
          <t>Estabilizador p/ Lavatórios</t>
        </is>
      </c>
      <c r="E4758" s="11">
        <f t="array" ref="E4758">_xlfn.XLOOKUP(D4758,Insumos!B:B,Insumos!C:$C)</f>
        <v/>
      </c>
      <c r="F4758" s="14" t="n">
        <v>1</v>
      </c>
      <c r="G4758" s="92">
        <f t="array" ref="G4758">IF(B4758="insumo",_xlfn.XLOOKUP($D4758,Insumos!$B$1:$B$996,Insumos!$D$1:$D$996),"")</f>
        <v/>
      </c>
      <c r="H4758" s="92" t="n">
        <v>32</v>
      </c>
      <c r="I4758" s="2162" t="n">
        <v>0</v>
      </c>
      <c r="J4758" s="2162" t="n">
        <v>0</v>
      </c>
      <c r="K4758" s="2162" t="n"/>
    </row>
    <row r="4759" outlineLevel="1" ht="15.75" customHeight="1">
      <c r="A4759" s="1067" t="n">
        <v>1</v>
      </c>
      <c r="B4759" s="1067" t="inlineStr">
        <is>
          <t>Serviço</t>
        </is>
      </c>
      <c r="C4759" s="1084" t="inlineStr">
        <is>
          <t>Banheiro - Cuba de Sobrepor - PNE</t>
        </is>
      </c>
      <c r="D4759" s="1084" t="inlineStr">
        <is>
          <t>Banheiro - Cuba de Sobrepor - PNE</t>
        </is>
      </c>
      <c r="E4759" s="1068" t="inlineStr">
        <is>
          <t>UN</t>
        </is>
      </c>
      <c r="F4759" s="1085" t="inlineStr"/>
      <c r="G4759" s="1069">
        <f t="array" ref="G4759">IF(B4759="insumo",_xlfn.XLOOKUP($D4759,Insumos!$B$1:$B$996,Insumos!$D$1:$D$996),"")</f>
        <v/>
      </c>
      <c r="H4759" s="1069" t="n">
        <v>1737.89</v>
      </c>
      <c r="I4759" s="2161" t="n">
        <v>0</v>
      </c>
      <c r="J4759" s="2161" t="n">
        <v>0</v>
      </c>
      <c r="K4759" s="2161" t="n"/>
    </row>
    <row r="4760" outlineLevel="2" ht="15.75" customHeight="1">
      <c r="A4760" s="10" t="n">
        <v>1</v>
      </c>
      <c r="B4760" s="10" t="inlineStr">
        <is>
          <t>Insumo</t>
        </is>
      </c>
      <c r="C4760" s="10" t="inlineStr">
        <is>
          <t>Banheiro - Cuba de Sobrepor - PNE</t>
        </is>
      </c>
      <c r="D4760" s="10" t="inlineStr">
        <is>
          <t>Lavatório suspenso \ Detalhe: Cuba viggo 54cm branca</t>
        </is>
      </c>
      <c r="E4760" s="11">
        <f t="array" ref="E4760">_xlfn.XLOOKUP(D4760,Insumos!B:B,Insumos!C:$C)</f>
        <v/>
      </c>
      <c r="F4760" s="14" t="n">
        <v>1</v>
      </c>
      <c r="G4760" s="92">
        <f t="array" ref="G4760">IF(B4760="insumo",_xlfn.XLOOKUP($D4760,Insumos!$B$1:$B$996,Insumos!$D$1:$D$996),"")</f>
        <v/>
      </c>
      <c r="H4760" s="92" t="n">
        <v>1574.1</v>
      </c>
      <c r="I4760" s="2162" t="n">
        <v>0</v>
      </c>
      <c r="J4760" s="2162" t="n">
        <v>0</v>
      </c>
      <c r="K4760" s="2162" t="n"/>
    </row>
    <row r="4761" outlineLevel="2" ht="15.75" customHeight="1">
      <c r="A4761" s="10" t="n">
        <v>2</v>
      </c>
      <c r="B4761" s="10" t="inlineStr">
        <is>
          <t>Insumo</t>
        </is>
      </c>
      <c r="C4761" s="10" t="inlineStr">
        <is>
          <t>Banheiro - Cuba de Sobrepor - PNE</t>
        </is>
      </c>
      <c r="D4761" s="10" t="inlineStr">
        <is>
          <t>Valvula Metálica 1"</t>
        </is>
      </c>
      <c r="E4761" s="11">
        <f t="array" ref="E4761">_xlfn.XLOOKUP(D4761,Insumos!B:B,Insumos!C:$C)</f>
        <v/>
      </c>
      <c r="F4761" s="14" t="n">
        <v>1</v>
      </c>
      <c r="G4761" s="92">
        <f t="array" ref="G4761">IF(B4761="insumo",_xlfn.XLOOKUP($D4761,Insumos!$B$1:$B$996,Insumos!$D$1:$D$996),"")</f>
        <v/>
      </c>
      <c r="H4761" s="92" t="n">
        <v>65</v>
      </c>
      <c r="I4761" s="2162" t="n">
        <v>0</v>
      </c>
      <c r="J4761" s="2162" t="n">
        <v>0</v>
      </c>
      <c r="K4761" s="2162" t="n"/>
    </row>
    <row r="4762" outlineLevel="2" ht="15.75" customHeight="1">
      <c r="A4762" s="10" t="n">
        <v>3</v>
      </c>
      <c r="B4762" s="10" t="inlineStr">
        <is>
          <t>Insumo</t>
        </is>
      </c>
      <c r="C4762" s="10" t="inlineStr">
        <is>
          <t>Banheiro - Cuba de Sobrepor - PNE</t>
        </is>
      </c>
      <c r="D4762" s="10" t="inlineStr">
        <is>
          <t>Bucha Nylon C8</t>
        </is>
      </c>
      <c r="E4762" s="11">
        <f t="array" ref="E4762">_xlfn.XLOOKUP(D4762,Insumos!B:B,Insumos!C:$C)</f>
        <v/>
      </c>
      <c r="F4762" s="14" t="n">
        <v>1</v>
      </c>
      <c r="G4762" s="92">
        <f t="array" ref="G4762">IF(B4762="insumo",_xlfn.XLOOKUP($D4762,Insumos!$B$1:$B$996,Insumos!$D$1:$D$996),"")</f>
        <v/>
      </c>
      <c r="H4762" s="92" t="n">
        <v>0.34</v>
      </c>
      <c r="I4762" s="2162" t="n">
        <v>0</v>
      </c>
      <c r="J4762" s="2162" t="n">
        <v>0</v>
      </c>
      <c r="K4762" s="2162" t="n"/>
    </row>
    <row r="4763" outlineLevel="2" ht="15.75" customHeight="1">
      <c r="A4763" s="10" t="n">
        <v>2</v>
      </c>
      <c r="B4763" s="10" t="inlineStr">
        <is>
          <t>Insumo</t>
        </is>
      </c>
      <c r="C4763" s="10" t="inlineStr">
        <is>
          <t>Banheiro - Cuba de Sobrepor - PNE</t>
        </is>
      </c>
      <c r="D4763" s="10" t="inlineStr">
        <is>
          <t>Parafuso p/ Fixação de Tanque e Lavatório</t>
        </is>
      </c>
      <c r="E4763" s="11">
        <f t="array" ref="E4763">_xlfn.XLOOKUP(D4763,Insumos!B:B,Insumos!C:$C)</f>
        <v/>
      </c>
      <c r="F4763" s="14" t="n">
        <v>2</v>
      </c>
      <c r="G4763" s="92">
        <f t="array" ref="G4763">IF(B4763="insumo",_xlfn.XLOOKUP($D4763,Insumos!$B$1:$B$996,Insumos!$D$1:$D$996),"")</f>
        <v/>
      </c>
      <c r="H4763" s="92" t="n">
        <v>11.9</v>
      </c>
      <c r="I4763" s="2162" t="n">
        <v>0</v>
      </c>
      <c r="J4763" s="2162" t="n">
        <v>0</v>
      </c>
      <c r="K4763" s="2162" t="n"/>
    </row>
    <row r="4764" outlineLevel="2" ht="15.75" customHeight="1">
      <c r="A4764" s="10" t="n">
        <v>11</v>
      </c>
      <c r="B4764" s="10" t="inlineStr">
        <is>
          <t>Insumo</t>
        </is>
      </c>
      <c r="C4764" s="10" t="inlineStr">
        <is>
          <t>Banheiro - Cuba de Sobrepor - PNE</t>
        </is>
      </c>
      <c r="D4764" s="10" t="inlineStr">
        <is>
          <t>Cola Extra Forte AC6000-400G</t>
        </is>
      </c>
      <c r="E4764" s="11">
        <f t="array" ref="E4764">_xlfn.XLOOKUP(D4764,Insumos!B:B,Insumos!C:$C)</f>
        <v/>
      </c>
      <c r="F4764" s="14" t="n">
        <v>0.25</v>
      </c>
      <c r="G4764" s="92">
        <f t="array" ref="G4764">IF(B4764="insumo",_xlfn.XLOOKUP($D4764,Insumos!$B$1:$B$996,Insumos!$D$1:$D$996),"")</f>
        <v/>
      </c>
      <c r="H4764" s="92" t="n">
        <v>18.75</v>
      </c>
      <c r="I4764" s="2162" t="n">
        <v>0</v>
      </c>
      <c r="J4764" s="2162" t="n">
        <v>0</v>
      </c>
      <c r="K4764" s="2162" t="n"/>
    </row>
    <row r="4765" outlineLevel="2" ht="15.75" customHeight="1">
      <c r="A4765" s="10" t="n">
        <v>11</v>
      </c>
      <c r="B4765" s="10" t="inlineStr">
        <is>
          <t>Insumo</t>
        </is>
      </c>
      <c r="C4765" s="10" t="inlineStr">
        <is>
          <t>Banheiro - Cuba de Sobrepor - PNE</t>
        </is>
      </c>
      <c r="D4765" s="10" t="inlineStr">
        <is>
          <t>Engate Flexível Trançado 1/2"</t>
        </is>
      </c>
      <c r="E4765" s="11">
        <f t="array" ref="E4765">_xlfn.XLOOKUP(D4765,Insumos!B:B,Insumos!C:$C)</f>
        <v/>
      </c>
      <c r="F4765" s="14" t="n">
        <v>1</v>
      </c>
      <c r="G4765" s="92">
        <f t="array" ref="G4765">IF(B4765="insumo",_xlfn.XLOOKUP($D4765,Insumos!$B$1:$B$996,Insumos!$D$1:$D$996),"")</f>
        <v/>
      </c>
      <c r="H4765" s="92" t="n">
        <v>26.9</v>
      </c>
      <c r="I4765" s="2162" t="n">
        <v>0</v>
      </c>
      <c r="J4765" s="2162" t="n">
        <v>0</v>
      </c>
      <c r="K4765" s="2162" t="n"/>
    </row>
    <row r="4766" outlineLevel="2" ht="15.75" customHeight="1">
      <c r="A4766" s="10" t="n">
        <v>2</v>
      </c>
      <c r="B4766" s="10" t="inlineStr">
        <is>
          <t>Insumo</t>
        </is>
      </c>
      <c r="C4766" s="10" t="inlineStr">
        <is>
          <t>Banheiro - Cuba de Sobrepor - PNE</t>
        </is>
      </c>
      <c r="D4766" s="10" t="inlineStr">
        <is>
          <t>Sifão flexível com copo para Lavatório</t>
        </is>
      </c>
      <c r="E4766" s="11">
        <f t="array" ref="E4766">_xlfn.XLOOKUP(D4766,Insumos!B:B,Insumos!C:$C)</f>
        <v/>
      </c>
      <c r="F4766" s="14" t="n">
        <v>1</v>
      </c>
      <c r="G4766" s="92">
        <f t="array" ref="G4766">IF(B4766="insumo",_xlfn.XLOOKUP($D4766,Insumos!$B$1:$B$996,Insumos!$D$1:$D$996),"")</f>
        <v/>
      </c>
      <c r="H4766" s="92" t="n">
        <v>8.9</v>
      </c>
      <c r="I4766" s="2162" t="n">
        <v>0</v>
      </c>
      <c r="J4766" s="2162" t="n">
        <v>0</v>
      </c>
      <c r="K4766" s="2162" t="n"/>
    </row>
    <row r="4767" outlineLevel="2" ht="15.75" customHeight="1">
      <c r="A4767" s="10" t="n">
        <v>2</v>
      </c>
      <c r="B4767" s="10" t="inlineStr">
        <is>
          <t>Insumo</t>
        </is>
      </c>
      <c r="C4767" s="10" t="inlineStr">
        <is>
          <t>Banheiro - Cuba de Sobrepor - PNE</t>
        </is>
      </c>
      <c r="D4767" s="10" t="inlineStr">
        <is>
          <t>Estabilizador p/ Lavatórios</t>
        </is>
      </c>
      <c r="E4767" s="11">
        <f t="array" ref="E4767">_xlfn.XLOOKUP(D4767,Insumos!B:B,Insumos!C:$C)</f>
        <v/>
      </c>
      <c r="F4767" s="14" t="n">
        <v>1</v>
      </c>
      <c r="G4767" s="92">
        <f t="array" ref="G4767">IF(B4767="insumo",_xlfn.XLOOKUP($D4767,Insumos!$B$1:$B$996,Insumos!$D$1:$D$996),"")</f>
        <v/>
      </c>
      <c r="H4767" s="92" t="n">
        <v>32</v>
      </c>
      <c r="I4767" s="2162" t="n">
        <v>0</v>
      </c>
      <c r="J4767" s="2162" t="n">
        <v>0</v>
      </c>
      <c r="K4767" s="2162" t="n"/>
    </row>
    <row r="4768" outlineLevel="1" ht="15.75" customHeight="1">
      <c r="A4768" s="1067" t="n">
        <v>1</v>
      </c>
      <c r="B4768" s="1067" t="inlineStr">
        <is>
          <t>Serviço</t>
        </is>
      </c>
      <c r="C4768" s="1084" t="inlineStr">
        <is>
          <t>Cuba Pia Cozinha - Lazer</t>
        </is>
      </c>
      <c r="D4768" s="1084" t="inlineStr">
        <is>
          <t>Cuba Pia Cozinha - Lazer</t>
        </is>
      </c>
      <c r="E4768" s="1068" t="inlineStr">
        <is>
          <t>UN</t>
        </is>
      </c>
      <c r="F4768" s="1085" t="inlineStr"/>
      <c r="G4768" s="1069">
        <f t="array" ref="G4768">IF(B4768="insumo",_xlfn.XLOOKUP($D4768,Insumos!$B$1:$B$996,Insumos!$D$1:$D$996),"")</f>
        <v/>
      </c>
      <c r="H4768" s="1069" t="n">
        <v>5832.122</v>
      </c>
      <c r="I4768" s="2172" t="n">
        <v>0</v>
      </c>
      <c r="J4768" s="2172" t="n">
        <v>0</v>
      </c>
      <c r="K4768" s="2172" t="n"/>
    </row>
    <row r="4769" outlineLevel="2" ht="15.75" customHeight="1">
      <c r="A4769" s="10" t="n">
        <v>1</v>
      </c>
      <c r="B4769" s="10" t="inlineStr">
        <is>
          <t>Insumo</t>
        </is>
      </c>
      <c r="C4769" s="10" t="inlineStr">
        <is>
          <t>Cuba Pia Cozinha - Lazer</t>
        </is>
      </c>
      <c r="D4769" s="10" t="inlineStr">
        <is>
          <t>Cuba / Detalhe: Cuba retangular aço escovado</t>
        </is>
      </c>
      <c r="E4769" s="11">
        <f t="array" ref="E4769">_xlfn.XLOOKUP(D4769,Insumos!B:B,Insumos!C:$C)</f>
        <v/>
      </c>
      <c r="F4769" s="14" t="n">
        <v>1</v>
      </c>
      <c r="G4769" s="92">
        <f t="array" ref="G4769">IF(B4769="insumo",_xlfn.XLOOKUP($D4769,Insumos!$B$1:$B$996,Insumos!$D$1:$D$996),"")</f>
        <v/>
      </c>
      <c r="H4769" s="92" t="n">
        <v>2750.38</v>
      </c>
      <c r="I4769" s="2162" t="n">
        <v>0</v>
      </c>
      <c r="J4769" s="2162" t="n">
        <v>0</v>
      </c>
      <c r="K4769" s="2162" t="n"/>
    </row>
    <row r="4770" outlineLevel="2" ht="15.75" customHeight="1">
      <c r="A4770" s="10" t="n">
        <v>1</v>
      </c>
      <c r="B4770" s="10" t="inlineStr">
        <is>
          <t>Insumo</t>
        </is>
      </c>
      <c r="C4770" s="10" t="inlineStr">
        <is>
          <t>Cuba Pia Cozinha - Lazer</t>
        </is>
      </c>
      <c r="D4770" s="10" t="inlineStr">
        <is>
          <t>Grade aramada para cuba</t>
        </is>
      </c>
      <c r="E4770" s="11">
        <f t="array" ref="E4770">_xlfn.XLOOKUP(D4770,Insumos!B:B,Insumos!C:$C)</f>
        <v/>
      </c>
      <c r="F4770" s="14" t="n">
        <v>1</v>
      </c>
      <c r="G4770" s="92">
        <f t="array" ref="G4770">IF(B4770="insumo",_xlfn.XLOOKUP($D4770,Insumos!$B$1:$B$996,Insumos!$D$1:$D$996),"")</f>
        <v/>
      </c>
      <c r="H4770" s="92" t="n">
        <v>71.55</v>
      </c>
      <c r="I4770" s="2162" t="n">
        <v>0</v>
      </c>
      <c r="J4770" s="2162" t="n">
        <v>0</v>
      </c>
      <c r="K4770" s="2162" t="n"/>
    </row>
    <row r="4771" outlineLevel="2" ht="15.75" customHeight="1">
      <c r="A4771" s="10" t="n">
        <v>1</v>
      </c>
      <c r="B4771" s="10" t="inlineStr">
        <is>
          <t>Insumo</t>
        </is>
      </c>
      <c r="C4771" s="10" t="inlineStr">
        <is>
          <t>Cuba Pia Cozinha - Lazer</t>
        </is>
      </c>
      <c r="D4771" s="10" t="inlineStr">
        <is>
          <t>Misturador monocomando \ Detalhe: aço escovado</t>
        </is>
      </c>
      <c r="E4771" s="11">
        <f t="array" ref="E4771">_xlfn.XLOOKUP(D4771,Insumos!B:B,Insumos!C:$C)</f>
        <v/>
      </c>
      <c r="F4771" s="14" t="n">
        <v>1</v>
      </c>
      <c r="G4771" s="92">
        <f t="array" ref="G4771">IF(B4771="insumo",_xlfn.XLOOKUP($D4771,Insumos!$B$1:$B$996,Insumos!$D$1:$D$996),"")</f>
        <v/>
      </c>
      <c r="H4771" s="92" t="n">
        <v>2117.89</v>
      </c>
      <c r="I4771" s="2162" t="n">
        <v>0</v>
      </c>
      <c r="J4771" s="2162" t="n">
        <v>0</v>
      </c>
      <c r="K4771" s="2162" t="n"/>
    </row>
    <row r="4772" outlineLevel="2" ht="15.75" customHeight="1">
      <c r="A4772" s="10" t="n">
        <v>1</v>
      </c>
      <c r="B4772" s="10" t="inlineStr">
        <is>
          <t>Insumo</t>
        </is>
      </c>
      <c r="C4772" s="10" t="inlineStr">
        <is>
          <t>Cuba Pia Cozinha - Lazer</t>
        </is>
      </c>
      <c r="D4772" s="10" t="inlineStr">
        <is>
          <t>Dispenser detergente cromado</t>
        </is>
      </c>
      <c r="E4772" s="11">
        <f t="array" ref="E4772">_xlfn.XLOOKUP(D4772,Insumos!B:B,Insumos!C:$C)</f>
        <v/>
      </c>
      <c r="F4772" s="14" t="n">
        <v>1</v>
      </c>
      <c r="G4772" s="92">
        <f t="array" ref="G4772">IF(B4772="insumo",_xlfn.XLOOKUP($D4772,Insumos!$B$1:$B$996,Insumos!$D$1:$D$996),"")</f>
        <v/>
      </c>
      <c r="H4772" s="92" t="n">
        <v>225.38</v>
      </c>
      <c r="I4772" s="2162" t="n">
        <v>0</v>
      </c>
      <c r="J4772" s="2162" t="n">
        <v>0</v>
      </c>
      <c r="K4772" s="2162" t="n"/>
    </row>
    <row r="4773" outlineLevel="2" ht="15.75" customHeight="1">
      <c r="A4773" s="10" t="n">
        <v>5</v>
      </c>
      <c r="B4773" s="10" t="inlineStr">
        <is>
          <t>Insumo</t>
        </is>
      </c>
      <c r="C4773" s="10" t="inlineStr">
        <is>
          <t>Cuba Pia Cozinha - Lazer</t>
        </is>
      </c>
      <c r="D4773" s="10" t="inlineStr">
        <is>
          <t>Sifão Cromado</t>
        </is>
      </c>
      <c r="E4773" s="11">
        <f t="array" ref="E4773">_xlfn.XLOOKUP(D4773,Insumos!B:B,Insumos!C:$C)</f>
        <v/>
      </c>
      <c r="F4773" s="14" t="n">
        <v>1</v>
      </c>
      <c r="G4773" s="92">
        <f t="array" ref="G4773">IF(B4773="insumo",_xlfn.XLOOKUP($D4773,Insumos!$B$1:$B$996,Insumos!$D$1:$D$996),"")</f>
        <v/>
      </c>
      <c r="H4773" s="92" t="n">
        <v>256.9</v>
      </c>
      <c r="I4773" s="2162" t="n">
        <v>0</v>
      </c>
      <c r="J4773" s="2162" t="n">
        <v>0</v>
      </c>
      <c r="K4773" s="2162" t="n"/>
    </row>
    <row r="4774" outlineLevel="2" ht="15.75" customHeight="1">
      <c r="A4774" s="10" t="n">
        <v>3</v>
      </c>
      <c r="B4774" s="10" t="inlineStr">
        <is>
          <t>Insumo</t>
        </is>
      </c>
      <c r="C4774" s="10" t="inlineStr">
        <is>
          <t>Cuba Pia Cozinha - Lazer</t>
        </is>
      </c>
      <c r="D4774" s="10" t="inlineStr">
        <is>
          <t>Valvula de Escoamento cromada</t>
        </is>
      </c>
      <c r="E4774" s="11">
        <f t="array" ref="E4774">_xlfn.XLOOKUP(D4774,Insumos!B:B,Insumos!C:$C)</f>
        <v/>
      </c>
      <c r="F4774" s="14" t="n">
        <v>1</v>
      </c>
      <c r="G4774" s="92">
        <f t="array" ref="G4774">IF(B4774="insumo",_xlfn.XLOOKUP($D4774,Insumos!$B$1:$B$996,Insumos!$D$1:$D$996),"")</f>
        <v/>
      </c>
      <c r="H4774" s="92" t="n">
        <v>196.76</v>
      </c>
      <c r="I4774" s="2162" t="n">
        <v>0</v>
      </c>
      <c r="J4774" s="2162" t="n">
        <v>0</v>
      </c>
      <c r="K4774" s="2162" t="n"/>
    </row>
    <row r="4775" outlineLevel="2" ht="15.75" customHeight="1">
      <c r="A4775" s="10" t="n">
        <v>6</v>
      </c>
      <c r="B4775" s="10" t="inlineStr">
        <is>
          <t>Insumo</t>
        </is>
      </c>
      <c r="C4775" s="10" t="inlineStr">
        <is>
          <t>Cuba Pia Cozinha - Lazer</t>
        </is>
      </c>
      <c r="D4775" s="10" t="inlineStr">
        <is>
          <t>Bucha S-10</t>
        </is>
      </c>
      <c r="E4775" s="11">
        <f t="array" ref="E4775">_xlfn.XLOOKUP(D4775,Insumos!B:B,Insumos!C:$C)</f>
        <v/>
      </c>
      <c r="F4775" s="14" t="n">
        <v>6</v>
      </c>
      <c r="G4775" s="92">
        <f t="array" ref="G4775">IF(B4775="insumo",_xlfn.XLOOKUP($D4775,Insumos!$B$1:$B$996,Insumos!$D$1:$D$996),"")</f>
        <v/>
      </c>
      <c r="H4775" s="92" t="n">
        <v>3.6</v>
      </c>
      <c r="I4775" s="2162" t="n">
        <v>0</v>
      </c>
      <c r="J4775" s="2162" t="n">
        <v>0</v>
      </c>
      <c r="K4775" s="2162" t="n"/>
    </row>
    <row r="4776" outlineLevel="2" ht="15.75" customHeight="1">
      <c r="A4776" s="10" t="n">
        <v>6</v>
      </c>
      <c r="B4776" s="10" t="inlineStr">
        <is>
          <t>Insumo</t>
        </is>
      </c>
      <c r="C4776" s="10" t="inlineStr">
        <is>
          <t>Cuba Pia Cozinha - Lazer</t>
        </is>
      </c>
      <c r="D4776" s="10" t="inlineStr">
        <is>
          <t>Parafuso Galvanizado</t>
        </is>
      </c>
      <c r="E4776" s="11">
        <f t="array" ref="E4776">_xlfn.XLOOKUP(D4776,Insumos!B:B,Insumos!C:$C)</f>
        <v/>
      </c>
      <c r="F4776" s="14" t="n">
        <v>6</v>
      </c>
      <c r="G4776" s="92">
        <f t="array" ref="G4776">IF(B4776="insumo",_xlfn.XLOOKUP($D4776,Insumos!$B$1:$B$996,Insumos!$D$1:$D$996),"")</f>
        <v/>
      </c>
      <c r="H4776" s="92" t="n">
        <v>149.7</v>
      </c>
      <c r="I4776" s="2162" t="n">
        <v>0</v>
      </c>
      <c r="J4776" s="2162" t="n">
        <v>0</v>
      </c>
      <c r="K4776" s="2162" t="n"/>
    </row>
    <row r="4777" outlineLevel="2" ht="15.75" customHeight="1">
      <c r="A4777" s="10" t="n">
        <v>8</v>
      </c>
      <c r="B4777" s="10" t="inlineStr">
        <is>
          <t>Insumo</t>
        </is>
      </c>
      <c r="C4777" s="10" t="inlineStr">
        <is>
          <t>Cuba Pia Cozinha - Lazer</t>
        </is>
      </c>
      <c r="D4777" s="10" t="inlineStr">
        <is>
          <t>Fita Veda Rosca</t>
        </is>
      </c>
      <c r="E4777" s="11">
        <f t="array" ref="E4777">_xlfn.XLOOKUP(D4777,Insumos!B:B,Insumos!C:$C)</f>
        <v/>
      </c>
      <c r="F4777" s="14" t="n">
        <v>0.3</v>
      </c>
      <c r="G4777" s="92">
        <f t="array" ref="G4777">IF(B4777="insumo",_xlfn.XLOOKUP($D4777,Insumos!$B$1:$B$996,Insumos!$D$1:$D$996),"")</f>
        <v/>
      </c>
      <c r="H4777" s="92" t="n">
        <v>0.07199999999999999</v>
      </c>
      <c r="I4777" s="2162" t="n">
        <v>0</v>
      </c>
      <c r="J4777" s="2162" t="n">
        <v>0</v>
      </c>
      <c r="K4777" s="2162" t="n"/>
    </row>
    <row r="4778" outlineLevel="2" ht="15.75" customHeight="1">
      <c r="A4778" s="10" t="n">
        <v>7</v>
      </c>
      <c r="B4778" s="10" t="inlineStr">
        <is>
          <t>Insumo</t>
        </is>
      </c>
      <c r="C4778" s="10" t="inlineStr">
        <is>
          <t>Cuba Pia Cozinha - Lazer</t>
        </is>
      </c>
      <c r="D4778" s="10" t="inlineStr">
        <is>
          <t>Silicone acético 250gr</t>
        </is>
      </c>
      <c r="E4778" s="11">
        <f t="array" ref="E4778">_xlfn.XLOOKUP(D4778,Insumos!B:B,Insumos!C:$C)</f>
        <v/>
      </c>
      <c r="F4778" s="14" t="n">
        <v>0.4</v>
      </c>
      <c r="G4778" s="92">
        <f t="array" ref="G4778">IF(B4778="insumo",_xlfn.XLOOKUP($D4778,Insumos!$B$1:$B$996,Insumos!$D$1:$D$996),"")</f>
        <v/>
      </c>
      <c r="H4778" s="92" t="n">
        <v>14.24</v>
      </c>
      <c r="I4778" s="2162" t="n">
        <v>0</v>
      </c>
      <c r="J4778" s="2162" t="n">
        <v>0</v>
      </c>
      <c r="K4778" s="2162" t="n"/>
    </row>
    <row r="4779" outlineLevel="2" ht="15.75" customHeight="1">
      <c r="A4779" s="10" t="n">
        <v>11</v>
      </c>
      <c r="B4779" s="10" t="inlineStr">
        <is>
          <t>Insumo</t>
        </is>
      </c>
      <c r="C4779" s="10" t="inlineStr">
        <is>
          <t>Cuba Pia Cozinha - Lazer</t>
        </is>
      </c>
      <c r="D4779" s="10" t="inlineStr">
        <is>
          <t>Cola Extra Forte AC6000-400G</t>
        </is>
      </c>
      <c r="E4779" s="11">
        <f t="array" ref="E4779">_xlfn.XLOOKUP(D4779,Insumos!B:B,Insumos!C:$C)</f>
        <v/>
      </c>
      <c r="F4779" s="14" t="n">
        <v>0.25</v>
      </c>
      <c r="G4779" s="92">
        <f t="array" ref="G4779">IF(B4779="insumo",_xlfn.XLOOKUP($D4779,Insumos!$B$1:$B$996,Insumos!$D$1:$D$996),"")</f>
        <v/>
      </c>
      <c r="H4779" s="92" t="n">
        <v>18.75</v>
      </c>
      <c r="I4779" s="2162" t="n">
        <v>0</v>
      </c>
      <c r="J4779" s="2162" t="n">
        <v>0</v>
      </c>
      <c r="K4779" s="2162" t="n"/>
    </row>
    <row r="4780" outlineLevel="2" ht="15.75" customHeight="1">
      <c r="A4780" s="10" t="n">
        <v>11</v>
      </c>
      <c r="B4780" s="10" t="inlineStr">
        <is>
          <t>Insumo</t>
        </is>
      </c>
      <c r="C4780" s="10" t="inlineStr">
        <is>
          <t>Cuba Pia Cozinha - Lazer</t>
        </is>
      </c>
      <c r="D4780" s="10" t="inlineStr">
        <is>
          <t>Engate Flexível Trançado 1/2"</t>
        </is>
      </c>
      <c r="E4780" s="11">
        <f t="array" ref="E4780">_xlfn.XLOOKUP(D4780,Insumos!B:B,Insumos!C:$C)</f>
        <v/>
      </c>
      <c r="F4780" s="14" t="n">
        <v>1</v>
      </c>
      <c r="G4780" s="92">
        <f t="array" ref="G4780">IF(B4780="insumo",_xlfn.XLOOKUP($D4780,Insumos!$B$1:$B$996,Insumos!$D$1:$D$996),"")</f>
        <v/>
      </c>
      <c r="H4780" s="92" t="n">
        <v>26.9</v>
      </c>
      <c r="I4780" s="2162" t="n">
        <v>0</v>
      </c>
      <c r="J4780" s="2162" t="n">
        <v>0</v>
      </c>
      <c r="K4780" s="2162" t="n"/>
    </row>
    <row r="4781" outlineLevel="1" ht="15.75" customHeight="1">
      <c r="A4781" s="1067" t="n">
        <v>1</v>
      </c>
      <c r="B4781" s="1067" t="inlineStr">
        <is>
          <t>Serviço</t>
        </is>
      </c>
      <c r="C4781" s="1084" t="inlineStr">
        <is>
          <t>Cozinha - Cuba / Inox</t>
        </is>
      </c>
      <c r="D4781" s="1084" t="inlineStr">
        <is>
          <t>Cozinha - Cuba / Inox</t>
        </is>
      </c>
      <c r="E4781" s="1068" t="inlineStr">
        <is>
          <t>UN</t>
        </is>
      </c>
      <c r="F4781" s="1085" t="inlineStr"/>
      <c r="G4781" s="1069">
        <f t="array" ref="G4781">IF(B4781="insumo",_xlfn.XLOOKUP($D4781,Insumos!$B$1:$B$996,Insumos!$D$1:$D$996),"")</f>
        <v/>
      </c>
      <c r="H4781" s="1069" t="n">
        <v>1126.922</v>
      </c>
      <c r="I4781" s="2172" t="n">
        <v>0</v>
      </c>
      <c r="J4781" s="2172" t="n">
        <v>0</v>
      </c>
      <c r="K4781" s="2172" t="n"/>
    </row>
    <row r="4782" outlineLevel="2" ht="15.75" customHeight="1">
      <c r="A4782" s="10" t="n">
        <v>1</v>
      </c>
      <c r="B4782" s="10" t="inlineStr">
        <is>
          <t>Insumo</t>
        </is>
      </c>
      <c r="C4782" s="10" t="inlineStr">
        <is>
          <t>Cozinha - Cuba / Inox</t>
        </is>
      </c>
      <c r="D4782" s="10" t="inlineStr">
        <is>
          <t>Cuba Docol Invicta 46x42 01696504 Inox Polido</t>
        </is>
      </c>
      <c r="E4782" s="11">
        <f t="array" ref="E4782">_xlfn.XLOOKUP(D4782,Insumos!B:B,Insumos!C:$C)</f>
        <v/>
      </c>
      <c r="F4782" s="14" t="n">
        <v>1</v>
      </c>
      <c r="G4782" s="92">
        <f t="array" ref="G4782">IF(B4782="insumo",_xlfn.XLOOKUP($D4782,Insumos!$B$1:$B$996,Insumos!$D$1:$D$996),"")</f>
        <v/>
      </c>
      <c r="H4782" s="92" t="n">
        <v>460</v>
      </c>
      <c r="I4782" s="2162" t="n">
        <v>0</v>
      </c>
      <c r="J4782" s="2162" t="n">
        <v>0</v>
      </c>
      <c r="K4782" s="2162" t="n"/>
    </row>
    <row r="4783" outlineLevel="2" ht="15.75" customHeight="1">
      <c r="A4783" s="10" t="n">
        <v>5</v>
      </c>
      <c r="B4783" s="10" t="inlineStr">
        <is>
          <t>Insumo</t>
        </is>
      </c>
      <c r="C4783" s="10" t="inlineStr">
        <is>
          <t>Cozinha - Cuba / Inox</t>
        </is>
      </c>
      <c r="D4783" s="10" t="inlineStr">
        <is>
          <t>Sifão Cromado</t>
        </is>
      </c>
      <c r="E4783" s="11">
        <f t="array" ref="E4783">_xlfn.XLOOKUP(D4783,Insumos!B:B,Insumos!C:$C)</f>
        <v/>
      </c>
      <c r="F4783" s="14" t="n">
        <v>1</v>
      </c>
      <c r="G4783" s="92">
        <f t="array" ref="G4783">IF(B4783="insumo",_xlfn.XLOOKUP($D4783,Insumos!$B$1:$B$996,Insumos!$D$1:$D$996),"")</f>
        <v/>
      </c>
      <c r="H4783" s="92" t="n">
        <v>256.9</v>
      </c>
      <c r="I4783" s="2162" t="n">
        <v>0</v>
      </c>
      <c r="J4783" s="2162" t="n">
        <v>0</v>
      </c>
      <c r="K4783" s="2162" t="n"/>
    </row>
    <row r="4784" outlineLevel="2" ht="15.75" customHeight="1">
      <c r="A4784" s="10" t="n">
        <v>3</v>
      </c>
      <c r="B4784" s="10" t="inlineStr">
        <is>
          <t>Insumo</t>
        </is>
      </c>
      <c r="C4784" s="10" t="inlineStr">
        <is>
          <t>Cozinha - Cuba / Inox</t>
        </is>
      </c>
      <c r="D4784" s="10" t="inlineStr">
        <is>
          <t>Valvula de Escoamento cromada</t>
        </is>
      </c>
      <c r="E4784" s="11">
        <f t="array" ref="E4784">_xlfn.XLOOKUP(D4784,Insumos!B:B,Insumos!C:$C)</f>
        <v/>
      </c>
      <c r="F4784" s="14" t="n">
        <v>1</v>
      </c>
      <c r="G4784" s="92">
        <f t="array" ref="G4784">IF(B4784="insumo",_xlfn.XLOOKUP($D4784,Insumos!$B$1:$B$996,Insumos!$D$1:$D$996),"")</f>
        <v/>
      </c>
      <c r="H4784" s="92" t="n">
        <v>196.76</v>
      </c>
      <c r="I4784" s="2162" t="n">
        <v>0</v>
      </c>
      <c r="J4784" s="2162" t="n">
        <v>0</v>
      </c>
      <c r="K4784" s="2162" t="n"/>
    </row>
    <row r="4785" outlineLevel="2" ht="15.75" customHeight="1">
      <c r="A4785" s="10" t="n">
        <v>6</v>
      </c>
      <c r="B4785" s="10" t="inlineStr">
        <is>
          <t>Insumo</t>
        </is>
      </c>
      <c r="C4785" s="10" t="inlineStr">
        <is>
          <t>Cozinha - Cuba / Inox</t>
        </is>
      </c>
      <c r="D4785" s="10" t="inlineStr">
        <is>
          <t>Bucha S-10</t>
        </is>
      </c>
      <c r="E4785" s="11">
        <f t="array" ref="E4785">_xlfn.XLOOKUP(D4785,Insumos!B:B,Insumos!C:$C)</f>
        <v/>
      </c>
      <c r="F4785" s="14" t="n">
        <v>6</v>
      </c>
      <c r="G4785" s="92">
        <f t="array" ref="G4785">IF(B4785="insumo",_xlfn.XLOOKUP($D4785,Insumos!$B$1:$B$996,Insumos!$D$1:$D$996),"")</f>
        <v/>
      </c>
      <c r="H4785" s="92" t="n">
        <v>3.6</v>
      </c>
      <c r="I4785" s="2162" t="n">
        <v>0</v>
      </c>
      <c r="J4785" s="2162" t="n">
        <v>0</v>
      </c>
      <c r="K4785" s="2162" t="n"/>
    </row>
    <row r="4786" outlineLevel="2" ht="15.75" customHeight="1">
      <c r="A4786" s="10" t="n">
        <v>6</v>
      </c>
      <c r="B4786" s="10" t="inlineStr">
        <is>
          <t>Insumo</t>
        </is>
      </c>
      <c r="C4786" s="10" t="inlineStr">
        <is>
          <t>Cozinha - Cuba / Inox</t>
        </is>
      </c>
      <c r="D4786" s="10" t="inlineStr">
        <is>
          <t>Parafuso Galvanizado</t>
        </is>
      </c>
      <c r="E4786" s="11">
        <f t="array" ref="E4786">_xlfn.XLOOKUP(D4786,Insumos!B:B,Insumos!C:$C)</f>
        <v/>
      </c>
      <c r="F4786" s="14" t="n">
        <v>6</v>
      </c>
      <c r="G4786" s="92">
        <f t="array" ref="G4786">IF(B4786="insumo",_xlfn.XLOOKUP($D4786,Insumos!$B$1:$B$996,Insumos!$D$1:$D$996),"")</f>
        <v/>
      </c>
      <c r="H4786" s="92" t="n">
        <v>149.7</v>
      </c>
      <c r="I4786" s="2162" t="n">
        <v>0</v>
      </c>
      <c r="J4786" s="2162" t="n">
        <v>0</v>
      </c>
      <c r="K4786" s="2162" t="n"/>
    </row>
    <row r="4787" outlineLevel="2" ht="15.75" customHeight="1">
      <c r="A4787" s="10" t="n">
        <v>8</v>
      </c>
      <c r="B4787" s="10" t="inlineStr">
        <is>
          <t>Insumo</t>
        </is>
      </c>
      <c r="C4787" s="10" t="inlineStr">
        <is>
          <t>Cozinha - Cuba / Inox</t>
        </is>
      </c>
      <c r="D4787" s="10" t="inlineStr">
        <is>
          <t>Fita Veda Rosca</t>
        </is>
      </c>
      <c r="E4787" s="11">
        <f t="array" ref="E4787">_xlfn.XLOOKUP(D4787,Insumos!B:B,Insumos!C:$C)</f>
        <v/>
      </c>
      <c r="F4787" s="14" t="n">
        <v>0.3</v>
      </c>
      <c r="G4787" s="92">
        <f t="array" ref="G4787">IF(B4787="insumo",_xlfn.XLOOKUP($D4787,Insumos!$B$1:$B$996,Insumos!$D$1:$D$996),"")</f>
        <v/>
      </c>
      <c r="H4787" s="92" t="n">
        <v>0.07199999999999999</v>
      </c>
      <c r="I4787" s="2162" t="n">
        <v>0</v>
      </c>
      <c r="J4787" s="2162" t="n">
        <v>0</v>
      </c>
      <c r="K4787" s="2162" t="n"/>
    </row>
    <row r="4788" outlineLevel="2" ht="15.75" customHeight="1">
      <c r="A4788" s="10" t="n">
        <v>7</v>
      </c>
      <c r="B4788" s="10" t="inlineStr">
        <is>
          <t>Insumo</t>
        </is>
      </c>
      <c r="C4788" s="10" t="inlineStr">
        <is>
          <t>Cozinha - Cuba / Inox</t>
        </is>
      </c>
      <c r="D4788" s="10" t="inlineStr">
        <is>
          <t>Silicone acético 250gr</t>
        </is>
      </c>
      <c r="E4788" s="11">
        <f t="array" ref="E4788">_xlfn.XLOOKUP(D4788,Insumos!B:B,Insumos!C:$C)</f>
        <v/>
      </c>
      <c r="F4788" s="14" t="n">
        <v>0.4</v>
      </c>
      <c r="G4788" s="92">
        <f t="array" ref="G4788">IF(B4788="insumo",_xlfn.XLOOKUP($D4788,Insumos!$B$1:$B$996,Insumos!$D$1:$D$996),"")</f>
        <v/>
      </c>
      <c r="H4788" s="92" t="n">
        <v>14.24</v>
      </c>
      <c r="I4788" s="2162" t="n">
        <v>0</v>
      </c>
      <c r="J4788" s="2162" t="n">
        <v>0</v>
      </c>
      <c r="K4788" s="2162" t="n"/>
    </row>
    <row r="4789" outlineLevel="2" ht="15.75" customHeight="1">
      <c r="A4789" s="10" t="n">
        <v>11</v>
      </c>
      <c r="B4789" s="10" t="inlineStr">
        <is>
          <t>Insumo</t>
        </is>
      </c>
      <c r="C4789" s="10" t="inlineStr">
        <is>
          <t>Cozinha - Cuba / Inox</t>
        </is>
      </c>
      <c r="D4789" s="10" t="inlineStr">
        <is>
          <t>Cola Extra Forte AC6000-400G</t>
        </is>
      </c>
      <c r="E4789" s="11">
        <f t="array" ref="E4789">_xlfn.XLOOKUP(D4789,Insumos!B:B,Insumos!C:$C)</f>
        <v/>
      </c>
      <c r="F4789" s="14" t="n">
        <v>0.25</v>
      </c>
      <c r="G4789" s="92">
        <f t="array" ref="G4789">IF(B4789="insumo",_xlfn.XLOOKUP($D4789,Insumos!$B$1:$B$996,Insumos!$D$1:$D$996),"")</f>
        <v/>
      </c>
      <c r="H4789" s="92" t="n">
        <v>18.75</v>
      </c>
      <c r="I4789" s="2162" t="n">
        <v>0</v>
      </c>
      <c r="J4789" s="2162" t="n">
        <v>0</v>
      </c>
      <c r="K4789" s="2162" t="n"/>
    </row>
    <row r="4790" outlineLevel="2" ht="15.75" customHeight="1">
      <c r="A4790" s="10" t="n">
        <v>11</v>
      </c>
      <c r="B4790" s="10" t="inlineStr">
        <is>
          <t>Insumo</t>
        </is>
      </c>
      <c r="C4790" s="10" t="inlineStr">
        <is>
          <t>Cozinha - Cuba / Inox</t>
        </is>
      </c>
      <c r="D4790" s="10" t="inlineStr">
        <is>
          <t>Engate Flexível Trançado 1/2"</t>
        </is>
      </c>
      <c r="E4790" s="11">
        <f t="array" ref="E4790">_xlfn.XLOOKUP(D4790,Insumos!B:B,Insumos!C:$C)</f>
        <v/>
      </c>
      <c r="F4790" s="14" t="n">
        <v>1</v>
      </c>
      <c r="G4790" s="92">
        <f t="array" ref="G4790">IF(B4790="insumo",_xlfn.XLOOKUP($D4790,Insumos!$B$1:$B$996,Insumos!$D$1:$D$996),"")</f>
        <v/>
      </c>
      <c r="H4790" s="92" t="n">
        <v>26.9</v>
      </c>
      <c r="I4790" s="2162" t="n">
        <v>0</v>
      </c>
      <c r="J4790" s="2162" t="n">
        <v>0</v>
      </c>
      <c r="K4790" s="2162" t="n"/>
    </row>
    <row r="4791" outlineLevel="1" ht="15.75" customHeight="1">
      <c r="A4791" s="1067" t="n">
        <v>1</v>
      </c>
      <c r="B4791" s="1067" t="inlineStr">
        <is>
          <t>Serviço</t>
        </is>
      </c>
      <c r="C4791" s="1084" t="inlineStr">
        <is>
          <t>Lavatorio para banheiros suspenso</t>
        </is>
      </c>
      <c r="D4791" s="1084" t="inlineStr">
        <is>
          <t>Lavatorio para banheiros suspenso</t>
        </is>
      </c>
      <c r="E4791" s="1068" t="inlineStr">
        <is>
          <t>UN</t>
        </is>
      </c>
      <c r="F4791" s="1085" t="inlineStr"/>
      <c r="G4791" s="1069">
        <f t="array" ref="G4791">IF(B4791="insumo",_xlfn.XLOOKUP($D4791,Insumos!$B$1:$B$996,Insumos!$D$1:$D$996),"")</f>
        <v/>
      </c>
      <c r="H4791" s="1069" t="n">
        <v>709.962</v>
      </c>
      <c r="I4791" s="2172" t="n">
        <v>0</v>
      </c>
      <c r="J4791" s="2172" t="n">
        <v>0</v>
      </c>
      <c r="K4791" s="2172" t="n"/>
    </row>
    <row r="4792" outlineLevel="2" ht="15.75" customHeight="1">
      <c r="A4792" s="10" t="n">
        <v>1</v>
      </c>
      <c r="B4792" s="10" t="inlineStr">
        <is>
          <t>Insumo</t>
        </is>
      </c>
      <c r="C4792" s="10" t="inlineStr">
        <is>
          <t>Lavatorio para banheiros suspenso</t>
        </is>
      </c>
      <c r="D4792" s="10" t="inlineStr">
        <is>
          <t>Lavatório Suspenso Eco 40x30cm Branco Celite</t>
        </is>
      </c>
      <c r="E4792" s="11">
        <f t="array" ref="E4792">_xlfn.XLOOKUP(D4792,Insumos!B:B,Insumos!C:$C)</f>
        <v/>
      </c>
      <c r="F4792" s="14" t="n">
        <v>1</v>
      </c>
      <c r="G4792" s="92">
        <f t="array" ref="G4792">IF(B4792="insumo",_xlfn.XLOOKUP($D4792,Insumos!$B$1:$B$996,Insumos!$D$1:$D$996),"")</f>
        <v/>
      </c>
      <c r="H4792" s="92" t="n">
        <v>203.9</v>
      </c>
      <c r="I4792" s="2162" t="n">
        <v>0</v>
      </c>
      <c r="J4792" s="2162" t="n">
        <v>0</v>
      </c>
      <c r="K4792" s="2162" t="n"/>
    </row>
    <row r="4793" outlineLevel="2" ht="15.75" customHeight="1">
      <c r="A4793" s="10" t="n">
        <v>5</v>
      </c>
      <c r="B4793" s="10" t="inlineStr">
        <is>
          <t>Insumo</t>
        </is>
      </c>
      <c r="C4793" s="10" t="inlineStr">
        <is>
          <t>Lavatorio para banheiros suspenso</t>
        </is>
      </c>
      <c r="D4793" s="10" t="inlineStr">
        <is>
          <t>Sifão Cromado</t>
        </is>
      </c>
      <c r="E4793" s="11">
        <f t="array" ref="E4793">_xlfn.XLOOKUP(D4793,Insumos!B:B,Insumos!C:$C)</f>
        <v/>
      </c>
      <c r="F4793" s="14" t="n">
        <v>1</v>
      </c>
      <c r="G4793" s="92">
        <f t="array" ref="G4793">IF(B4793="insumo",_xlfn.XLOOKUP($D4793,Insumos!$B$1:$B$996,Insumos!$D$1:$D$996),"")</f>
        <v/>
      </c>
      <c r="H4793" s="92" t="n">
        <v>256.9</v>
      </c>
      <c r="I4793" s="2162" t="n">
        <v>0</v>
      </c>
      <c r="J4793" s="2162" t="n">
        <v>0</v>
      </c>
      <c r="K4793" s="2162" t="n"/>
    </row>
    <row r="4794" outlineLevel="2" ht="15.75" customHeight="1">
      <c r="A4794" s="10" t="n">
        <v>3</v>
      </c>
      <c r="B4794" s="10" t="inlineStr">
        <is>
          <t>Insumo</t>
        </is>
      </c>
      <c r="C4794" s="10" t="inlineStr">
        <is>
          <t>Lavatorio para banheiros suspenso</t>
        </is>
      </c>
      <c r="D4794" s="10" t="inlineStr">
        <is>
          <t>Válvula Pia Tanque Lavanderia Escoamento 1.1/4'' Metal Cromado</t>
        </is>
      </c>
      <c r="E4794" s="11">
        <f t="array" ref="E4794">_xlfn.XLOOKUP(D4794,Insumos!B:B,Insumos!C:$C)</f>
        <v/>
      </c>
      <c r="F4794" s="14" t="n">
        <v>1</v>
      </c>
      <c r="G4794" s="92">
        <f t="array" ref="G4794">IF(B4794="insumo",_xlfn.XLOOKUP($D4794,Insumos!$B$1:$B$996,Insumos!$D$1:$D$996),"")</f>
        <v/>
      </c>
      <c r="H4794" s="92" t="n">
        <v>35.9</v>
      </c>
      <c r="I4794" s="2162" t="n">
        <v>0</v>
      </c>
      <c r="J4794" s="2162" t="n">
        <v>0</v>
      </c>
      <c r="K4794" s="2162" t="n"/>
    </row>
    <row r="4795" outlineLevel="2" ht="15.75" customHeight="1">
      <c r="A4795" s="10" t="n">
        <v>6</v>
      </c>
      <c r="B4795" s="10" t="inlineStr">
        <is>
          <t>Insumo</t>
        </is>
      </c>
      <c r="C4795" s="10" t="inlineStr">
        <is>
          <t>Lavatorio para banheiros suspenso</t>
        </is>
      </c>
      <c r="D4795" s="10" t="inlineStr">
        <is>
          <t>Bucha S-10</t>
        </is>
      </c>
      <c r="E4795" s="11">
        <f t="array" ref="E4795">_xlfn.XLOOKUP(D4795,Insumos!B:B,Insumos!C:$C)</f>
        <v/>
      </c>
      <c r="F4795" s="14" t="n">
        <v>6</v>
      </c>
      <c r="G4795" s="92">
        <f t="array" ref="G4795">IF(B4795="insumo",_xlfn.XLOOKUP($D4795,Insumos!$B$1:$B$996,Insumos!$D$1:$D$996),"")</f>
        <v/>
      </c>
      <c r="H4795" s="92" t="n">
        <v>3.6</v>
      </c>
      <c r="I4795" s="2162" t="n">
        <v>0</v>
      </c>
      <c r="J4795" s="2162" t="n">
        <v>0</v>
      </c>
      <c r="K4795" s="2162" t="n"/>
    </row>
    <row r="4796" outlineLevel="2" ht="15.75" customHeight="1">
      <c r="A4796" s="10" t="n">
        <v>6</v>
      </c>
      <c r="B4796" s="10" t="inlineStr">
        <is>
          <t>Insumo</t>
        </is>
      </c>
      <c r="C4796" s="10" t="inlineStr">
        <is>
          <t>Lavatorio para banheiros suspenso</t>
        </is>
      </c>
      <c r="D4796" s="10" t="inlineStr">
        <is>
          <t>Parafuso Galvanizado</t>
        </is>
      </c>
      <c r="E4796" s="11">
        <f t="array" ref="E4796">_xlfn.XLOOKUP(D4796,Insumos!B:B,Insumos!C:$C)</f>
        <v/>
      </c>
      <c r="F4796" s="14" t="n">
        <v>6</v>
      </c>
      <c r="G4796" s="92">
        <f t="array" ref="G4796">IF(B4796="insumo",_xlfn.XLOOKUP($D4796,Insumos!$B$1:$B$996,Insumos!$D$1:$D$996),"")</f>
        <v/>
      </c>
      <c r="H4796" s="92" t="n">
        <v>149.7</v>
      </c>
      <c r="I4796" s="2162" t="n">
        <v>0</v>
      </c>
      <c r="J4796" s="2162" t="n">
        <v>0</v>
      </c>
      <c r="K4796" s="2162" t="n"/>
    </row>
    <row r="4797" outlineLevel="2" ht="15.75" customHeight="1">
      <c r="A4797" s="10" t="n">
        <v>8</v>
      </c>
      <c r="B4797" s="10" t="inlineStr">
        <is>
          <t>Insumo</t>
        </is>
      </c>
      <c r="C4797" s="10" t="inlineStr">
        <is>
          <t>Lavatorio para banheiros suspenso</t>
        </is>
      </c>
      <c r="D4797" s="10" t="inlineStr">
        <is>
          <t>Fita Veda Rosca</t>
        </is>
      </c>
      <c r="E4797" s="11">
        <f t="array" ref="E4797">_xlfn.XLOOKUP(D4797,Insumos!B:B,Insumos!C:$C)</f>
        <v/>
      </c>
      <c r="F4797" s="14" t="n">
        <v>0.3</v>
      </c>
      <c r="G4797" s="92">
        <f t="array" ref="G4797">IF(B4797="insumo",_xlfn.XLOOKUP($D4797,Insumos!$B$1:$B$996,Insumos!$D$1:$D$996),"")</f>
        <v/>
      </c>
      <c r="H4797" s="92" t="n">
        <v>0.07199999999999999</v>
      </c>
      <c r="I4797" s="2162" t="n">
        <v>0</v>
      </c>
      <c r="J4797" s="2162" t="n">
        <v>0</v>
      </c>
      <c r="K4797" s="2162" t="n"/>
    </row>
    <row r="4798" outlineLevel="2" ht="15.75" customHeight="1">
      <c r="A4798" s="10" t="n">
        <v>7</v>
      </c>
      <c r="B4798" s="10" t="inlineStr">
        <is>
          <t>Insumo</t>
        </is>
      </c>
      <c r="C4798" s="10" t="inlineStr">
        <is>
          <t>Lavatorio para banheiros suspenso</t>
        </is>
      </c>
      <c r="D4798" s="10" t="inlineStr">
        <is>
          <t>Silicone acético 250gr</t>
        </is>
      </c>
      <c r="E4798" s="11">
        <f t="array" ref="E4798">_xlfn.XLOOKUP(D4798,Insumos!B:B,Insumos!C:$C)</f>
        <v/>
      </c>
      <c r="F4798" s="14" t="n">
        <v>0.4</v>
      </c>
      <c r="G4798" s="92">
        <f t="array" ref="G4798">IF(B4798="insumo",_xlfn.XLOOKUP($D4798,Insumos!$B$1:$B$996,Insumos!$D$1:$D$996),"")</f>
        <v/>
      </c>
      <c r="H4798" s="92" t="n">
        <v>14.24</v>
      </c>
      <c r="I4798" s="2162" t="n">
        <v>0</v>
      </c>
      <c r="J4798" s="2162" t="n">
        <v>0</v>
      </c>
      <c r="K4798" s="2162" t="n"/>
    </row>
    <row r="4799" outlineLevel="2" ht="15.75" customHeight="1">
      <c r="A4799" s="10" t="n">
        <v>11</v>
      </c>
      <c r="B4799" s="10" t="inlineStr">
        <is>
          <t>Insumo</t>
        </is>
      </c>
      <c r="C4799" s="10" t="inlineStr">
        <is>
          <t>Lavatorio para banheiros suspenso</t>
        </is>
      </c>
      <c r="D4799" s="10" t="inlineStr">
        <is>
          <t>Cola Extra Forte AC6000-400G</t>
        </is>
      </c>
      <c r="E4799" s="11">
        <f t="array" ref="E4799">_xlfn.XLOOKUP(D4799,Insumos!B:B,Insumos!C:$C)</f>
        <v/>
      </c>
      <c r="F4799" s="14" t="n">
        <v>0.25</v>
      </c>
      <c r="G4799" s="92">
        <f t="array" ref="G4799">IF(B4799="insumo",_xlfn.XLOOKUP($D4799,Insumos!$B$1:$B$996,Insumos!$D$1:$D$996),"")</f>
        <v/>
      </c>
      <c r="H4799" s="92" t="n">
        <v>18.75</v>
      </c>
      <c r="I4799" s="2162" t="n">
        <v>0</v>
      </c>
      <c r="J4799" s="2162" t="n">
        <v>0</v>
      </c>
      <c r="K4799" s="2162" t="n"/>
    </row>
    <row r="4800" outlineLevel="2" ht="15.75" customHeight="1">
      <c r="A4800" s="10" t="n">
        <v>11</v>
      </c>
      <c r="B4800" s="10" t="inlineStr">
        <is>
          <t>Insumo</t>
        </is>
      </c>
      <c r="C4800" s="10" t="inlineStr">
        <is>
          <t>Lavatorio para banheiros suspenso</t>
        </is>
      </c>
      <c r="D4800" s="10" t="inlineStr">
        <is>
          <t>Engate Flexível Trançado 1/2"</t>
        </is>
      </c>
      <c r="E4800" s="11">
        <f t="array" ref="E4800">_xlfn.XLOOKUP(D4800,Insumos!B:B,Insumos!C:$C)</f>
        <v/>
      </c>
      <c r="F4800" s="14" t="n">
        <v>1</v>
      </c>
      <c r="G4800" s="92">
        <f t="array" ref="G4800">IF(B4800="insumo",_xlfn.XLOOKUP($D4800,Insumos!$B$1:$B$996,Insumos!$D$1:$D$996),"")</f>
        <v/>
      </c>
      <c r="H4800" s="92" t="n">
        <v>26.9</v>
      </c>
      <c r="I4800" s="2162" t="n">
        <v>0</v>
      </c>
      <c r="J4800" s="2162" t="n">
        <v>0</v>
      </c>
      <c r="K4800" s="2162" t="n"/>
    </row>
    <row r="4801" outlineLevel="1" ht="12.75" customHeight="1">
      <c r="A4801" s="1071" t="n">
        <v>1</v>
      </c>
      <c r="B4801" s="1071" t="inlineStr">
        <is>
          <t>Serviço</t>
        </is>
      </c>
      <c r="C4801" s="1087" t="inlineStr">
        <is>
          <t>Lavatorio para banheiros suspenso PNE</t>
        </is>
      </c>
      <c r="D4801" s="1087" t="inlineStr">
        <is>
          <t>Lavatorio para banheiros suspenso PNE</t>
        </is>
      </c>
      <c r="E4801" s="1072" t="inlineStr">
        <is>
          <t>UN</t>
        </is>
      </c>
      <c r="F4801" s="1088" t="inlineStr"/>
      <c r="G4801" s="1073">
        <f t="array" ref="G4801">IF(B4801="insumo",_xlfn.XLOOKUP($D4801,Insumos!$B$1:$B$996,Insumos!$D$1:$D$996),"")</f>
        <v/>
      </c>
      <c r="H4801" s="1073" t="n">
        <v>721.062</v>
      </c>
      <c r="I4801" s="2173" t="n">
        <v>0</v>
      </c>
      <c r="J4801" s="2173" t="n">
        <v>0</v>
      </c>
      <c r="K4801" s="2173" t="n"/>
    </row>
    <row r="4802" outlineLevel="2" ht="12.75" customHeight="1">
      <c r="A4802" s="82" t="n">
        <v>1</v>
      </c>
      <c r="B4802" s="82" t="inlineStr">
        <is>
          <t>Insumo</t>
        </is>
      </c>
      <c r="C4802" s="82" t="inlineStr">
        <is>
          <t>Lavatorio para banheiros suspenso PNE</t>
        </is>
      </c>
      <c r="D4802" s="82" t="inlineStr">
        <is>
          <t>Logasa Lavatório Suspenso de Canto</t>
        </is>
      </c>
      <c r="E4802" s="11">
        <f t="array" ref="E4802">_xlfn.XLOOKUP(D4802,Insumos!B:B,Insumos!C:$C)</f>
        <v/>
      </c>
      <c r="F4802" s="2164" t="n">
        <v>1</v>
      </c>
      <c r="G4802" s="92">
        <f t="array" ref="G4802">IF(B4802="insumo",_xlfn.XLOOKUP($D4802,Insumos!$B$1:$B$996,Insumos!$D$1:$D$996),"")</f>
        <v/>
      </c>
      <c r="H4802" s="92" t="n">
        <v>215</v>
      </c>
      <c r="I4802" s="2165" t="n">
        <v>0</v>
      </c>
      <c r="J4802" s="2165" t="n">
        <v>0</v>
      </c>
      <c r="K4802" s="2165" t="n"/>
    </row>
    <row r="4803" outlineLevel="2" ht="12.75" customHeight="1">
      <c r="A4803" s="82" t="n">
        <v>5</v>
      </c>
      <c r="B4803" s="82" t="inlineStr">
        <is>
          <t>Insumo</t>
        </is>
      </c>
      <c r="C4803" s="82" t="inlineStr">
        <is>
          <t>Lavatorio para banheiros suspenso PNE</t>
        </is>
      </c>
      <c r="D4803" s="82" t="inlineStr">
        <is>
          <t>Sifão Cromado</t>
        </is>
      </c>
      <c r="E4803" s="11">
        <f t="array" ref="E4803">_xlfn.XLOOKUP(D4803,Insumos!B:B,Insumos!C:$C)</f>
        <v/>
      </c>
      <c r="F4803" s="2164" t="n">
        <v>1</v>
      </c>
      <c r="G4803" s="92">
        <f t="array" ref="G4803">IF(B4803="insumo",_xlfn.XLOOKUP($D4803,Insumos!$B$1:$B$996,Insumos!$D$1:$D$996),"")</f>
        <v/>
      </c>
      <c r="H4803" s="92" t="n">
        <v>256.9</v>
      </c>
      <c r="I4803" s="2165" t="n">
        <v>0</v>
      </c>
      <c r="J4803" s="2165" t="n">
        <v>0</v>
      </c>
      <c r="K4803" s="2165" t="n"/>
    </row>
    <row r="4804" outlineLevel="2" ht="12.75" customHeight="1">
      <c r="A4804" s="82" t="n">
        <v>3</v>
      </c>
      <c r="B4804" s="82" t="inlineStr">
        <is>
          <t>Insumo</t>
        </is>
      </c>
      <c r="C4804" s="82" t="inlineStr">
        <is>
          <t>Lavatorio para banheiros suspenso PNE</t>
        </is>
      </c>
      <c r="D4804" s="82" t="inlineStr">
        <is>
          <t>Válvula Pia Tanque Lavanderia Escoamento 1.1/4'' Metal Cromado</t>
        </is>
      </c>
      <c r="E4804" s="11">
        <f t="array" ref="E4804">_xlfn.XLOOKUP(D4804,Insumos!B:B,Insumos!C:$C)</f>
        <v/>
      </c>
      <c r="F4804" s="2164" t="n">
        <v>1</v>
      </c>
      <c r="G4804" s="92">
        <f t="array" ref="G4804">IF(B4804="insumo",_xlfn.XLOOKUP($D4804,Insumos!$B$1:$B$996,Insumos!$D$1:$D$996),"")</f>
        <v/>
      </c>
      <c r="H4804" s="92" t="n">
        <v>35.9</v>
      </c>
      <c r="I4804" s="2165" t="n">
        <v>0</v>
      </c>
      <c r="J4804" s="2165" t="n">
        <v>0</v>
      </c>
      <c r="K4804" s="2165" t="n"/>
    </row>
    <row r="4805" outlineLevel="2" ht="12.75" customHeight="1">
      <c r="A4805" s="82" t="n">
        <v>6</v>
      </c>
      <c r="B4805" s="82" t="inlineStr">
        <is>
          <t>Insumo</t>
        </is>
      </c>
      <c r="C4805" s="82" t="inlineStr">
        <is>
          <t>Lavatorio para banheiros suspenso PNE</t>
        </is>
      </c>
      <c r="D4805" s="82" t="inlineStr">
        <is>
          <t>Bucha S-10</t>
        </is>
      </c>
      <c r="E4805" s="11">
        <f t="array" ref="E4805">_xlfn.XLOOKUP(D4805,Insumos!B:B,Insumos!C:$C)</f>
        <v/>
      </c>
      <c r="F4805" s="2164" t="n">
        <v>6</v>
      </c>
      <c r="G4805" s="92">
        <f t="array" ref="G4805">IF(B4805="insumo",_xlfn.XLOOKUP($D4805,Insumos!$B$1:$B$996,Insumos!$D$1:$D$996),"")</f>
        <v/>
      </c>
      <c r="H4805" s="92" t="n">
        <v>3.6</v>
      </c>
      <c r="I4805" s="2165" t="n">
        <v>0</v>
      </c>
      <c r="J4805" s="2165" t="n">
        <v>0</v>
      </c>
      <c r="K4805" s="2165" t="n"/>
    </row>
    <row r="4806" outlineLevel="2" ht="12.75" customHeight="1">
      <c r="A4806" s="82" t="n">
        <v>6</v>
      </c>
      <c r="B4806" s="82" t="inlineStr">
        <is>
          <t>Insumo</t>
        </is>
      </c>
      <c r="C4806" s="82" t="inlineStr">
        <is>
          <t>Lavatorio para banheiros suspenso PNE</t>
        </is>
      </c>
      <c r="D4806" s="82" t="inlineStr">
        <is>
          <t>Parafuso Galvanizado</t>
        </is>
      </c>
      <c r="E4806" s="11">
        <f t="array" ref="E4806">_xlfn.XLOOKUP(D4806,Insumos!B:B,Insumos!C:$C)</f>
        <v/>
      </c>
      <c r="F4806" s="2164" t="n">
        <v>6</v>
      </c>
      <c r="G4806" s="92">
        <f t="array" ref="G4806">IF(B4806="insumo",_xlfn.XLOOKUP($D4806,Insumos!$B$1:$B$996,Insumos!$D$1:$D$996),"")</f>
        <v/>
      </c>
      <c r="H4806" s="92" t="n">
        <v>149.7</v>
      </c>
      <c r="I4806" s="2165" t="n">
        <v>0</v>
      </c>
      <c r="J4806" s="2165" t="n">
        <v>0</v>
      </c>
      <c r="K4806" s="2165" t="n"/>
    </row>
    <row r="4807" outlineLevel="2" ht="12.75" customHeight="1">
      <c r="A4807" s="82" t="n">
        <v>8</v>
      </c>
      <c r="B4807" s="82" t="inlineStr">
        <is>
          <t>Insumo</t>
        </is>
      </c>
      <c r="C4807" s="82" t="inlineStr">
        <is>
          <t>Lavatorio para banheiros suspenso PNE</t>
        </is>
      </c>
      <c r="D4807" s="82" t="inlineStr">
        <is>
          <t>Fita Veda Rosca</t>
        </is>
      </c>
      <c r="E4807" s="11">
        <f t="array" ref="E4807">_xlfn.XLOOKUP(D4807,Insumos!B:B,Insumos!C:$C)</f>
        <v/>
      </c>
      <c r="F4807" s="2164" t="n">
        <v>0.3</v>
      </c>
      <c r="G4807" s="92">
        <f t="array" ref="G4807">IF(B4807="insumo",_xlfn.XLOOKUP($D4807,Insumos!$B$1:$B$996,Insumos!$D$1:$D$996),"")</f>
        <v/>
      </c>
      <c r="H4807" s="92" t="n">
        <v>0.07199999999999999</v>
      </c>
      <c r="I4807" s="2165" t="n">
        <v>0</v>
      </c>
      <c r="J4807" s="2165" t="n">
        <v>0</v>
      </c>
      <c r="K4807" s="2165" t="n"/>
    </row>
    <row r="4808" outlineLevel="2" ht="12.75" customHeight="1">
      <c r="A4808" s="82" t="n">
        <v>7</v>
      </c>
      <c r="B4808" s="82" t="inlineStr">
        <is>
          <t>Insumo</t>
        </is>
      </c>
      <c r="C4808" s="82" t="inlineStr">
        <is>
          <t>Lavatorio para banheiros suspenso PNE</t>
        </is>
      </c>
      <c r="D4808" s="82" t="inlineStr">
        <is>
          <t>Silicone acético 250gr</t>
        </is>
      </c>
      <c r="E4808" s="11">
        <f t="array" ref="E4808">_xlfn.XLOOKUP(D4808,Insumos!B:B,Insumos!C:$C)</f>
        <v/>
      </c>
      <c r="F4808" s="2164" t="n">
        <v>0.4</v>
      </c>
      <c r="G4808" s="92">
        <f t="array" ref="G4808">IF(B4808="insumo",_xlfn.XLOOKUP($D4808,Insumos!$B$1:$B$996,Insumos!$D$1:$D$996),"")</f>
        <v/>
      </c>
      <c r="H4808" s="92" t="n">
        <v>14.24</v>
      </c>
      <c r="I4808" s="2165" t="n">
        <v>0</v>
      </c>
      <c r="J4808" s="2165" t="n">
        <v>0</v>
      </c>
      <c r="K4808" s="2165" t="n"/>
    </row>
    <row r="4809" outlineLevel="2" ht="12.75" customHeight="1">
      <c r="A4809" s="82" t="n">
        <v>11</v>
      </c>
      <c r="B4809" s="82" t="inlineStr">
        <is>
          <t>Insumo</t>
        </is>
      </c>
      <c r="C4809" s="82" t="inlineStr">
        <is>
          <t>Lavatorio para banheiros suspenso PNE</t>
        </is>
      </c>
      <c r="D4809" s="82" t="inlineStr">
        <is>
          <t>Cola Extra Forte AC6000-400G</t>
        </is>
      </c>
      <c r="E4809" s="11">
        <f t="array" ref="E4809">_xlfn.XLOOKUP(D4809,Insumos!B:B,Insumos!C:$C)</f>
        <v/>
      </c>
      <c r="F4809" s="2164" t="n">
        <v>0.25</v>
      </c>
      <c r="G4809" s="92">
        <f t="array" ref="G4809">IF(B4809="insumo",_xlfn.XLOOKUP($D4809,Insumos!$B$1:$B$996,Insumos!$D$1:$D$996),"")</f>
        <v/>
      </c>
      <c r="H4809" s="92" t="n">
        <v>18.75</v>
      </c>
      <c r="I4809" s="2165" t="n">
        <v>0</v>
      </c>
      <c r="J4809" s="2165" t="n">
        <v>0</v>
      </c>
      <c r="K4809" s="2165" t="n"/>
    </row>
    <row r="4810" outlineLevel="2" ht="12.75" customHeight="1">
      <c r="A4810" s="82" t="n">
        <v>11</v>
      </c>
      <c r="B4810" s="82" t="inlineStr">
        <is>
          <t>Insumo</t>
        </is>
      </c>
      <c r="C4810" s="82" t="inlineStr">
        <is>
          <t>Lavatorio para banheiros suspenso PNE</t>
        </is>
      </c>
      <c r="D4810" s="82" t="inlineStr">
        <is>
          <t>Engate Flexível Trançado 1/2"</t>
        </is>
      </c>
      <c r="E4810" s="11">
        <f t="array" ref="E4810">_xlfn.XLOOKUP(D4810,Insumos!B:B,Insumos!C:$C)</f>
        <v/>
      </c>
      <c r="F4810" s="2164" t="n">
        <v>1</v>
      </c>
      <c r="G4810" s="92">
        <f t="array" ref="G4810">IF(B4810="insumo",_xlfn.XLOOKUP($D4810,Insumos!$B$1:$B$996,Insumos!$D$1:$D$996),"")</f>
        <v/>
      </c>
      <c r="H4810" s="92" t="n">
        <v>26.9</v>
      </c>
      <c r="I4810" s="2165" t="n">
        <v>0</v>
      </c>
      <c r="J4810" s="2165" t="n">
        <v>0</v>
      </c>
      <c r="K4810" s="2165" t="n"/>
    </row>
    <row r="4811" outlineLevel="1" ht="15.75" customHeight="1">
      <c r="A4811" s="1067" t="n">
        <v>1</v>
      </c>
      <c r="B4811" s="1067" t="inlineStr">
        <is>
          <t>Serviço</t>
        </is>
      </c>
      <c r="C4811" s="1084" t="inlineStr">
        <is>
          <t>Tanque Inox</t>
        </is>
      </c>
      <c r="D4811" s="1084" t="inlineStr">
        <is>
          <t>Tanque Inox</t>
        </is>
      </c>
      <c r="E4811" s="1068" t="inlineStr">
        <is>
          <t>UN</t>
        </is>
      </c>
      <c r="F4811" s="1085" t="inlineStr"/>
      <c r="G4811" s="1069">
        <f t="array" ref="G4811">IF(B4811="insumo",_xlfn.XLOOKUP($D4811,Insumos!$B$1:$B$996,Insumos!$D$1:$D$996),"")</f>
        <v/>
      </c>
      <c r="H4811" s="1069" t="n">
        <v>1426.922</v>
      </c>
      <c r="I4811" s="2172" t="n">
        <v>0</v>
      </c>
      <c r="J4811" s="2172" t="n">
        <v>0</v>
      </c>
      <c r="K4811" s="2172" t="n"/>
    </row>
    <row r="4812" outlineLevel="2" ht="15.75" customHeight="1">
      <c r="A4812" s="10" t="n">
        <v>1</v>
      </c>
      <c r="B4812" s="10" t="inlineStr">
        <is>
          <t>Insumo</t>
        </is>
      </c>
      <c r="C4812" s="10" t="inlineStr">
        <is>
          <t>Tanque Inox</t>
        </is>
      </c>
      <c r="D4812" s="10" t="inlineStr">
        <is>
          <t>Tanque Monobloco Polido Docol 32L 55x45x23 cm</t>
        </is>
      </c>
      <c r="E4812" s="11">
        <f t="array" ref="E4812">_xlfn.XLOOKUP(D4812,Insumos!B:B,Insumos!C:$C)</f>
        <v/>
      </c>
      <c r="F4812" s="14" t="n">
        <v>1</v>
      </c>
      <c r="G4812" s="92">
        <f t="array" ref="G4812">IF(B4812="insumo",_xlfn.XLOOKUP($D4812,Insumos!$B$1:$B$996,Insumos!$D$1:$D$996),"")</f>
        <v/>
      </c>
      <c r="H4812" s="92" t="n">
        <v>760</v>
      </c>
      <c r="I4812" s="2162" t="n">
        <v>0</v>
      </c>
      <c r="J4812" s="2162" t="n">
        <v>0</v>
      </c>
      <c r="K4812" s="2162" t="n"/>
    </row>
    <row r="4813" outlineLevel="2" ht="15.75" customHeight="1">
      <c r="A4813" s="10" t="n">
        <v>5</v>
      </c>
      <c r="B4813" s="10" t="inlineStr">
        <is>
          <t>Insumo</t>
        </is>
      </c>
      <c r="C4813" s="10" t="inlineStr">
        <is>
          <t>Tanque Inox</t>
        </is>
      </c>
      <c r="D4813" s="10" t="inlineStr">
        <is>
          <t>Sifão Cromado</t>
        </is>
      </c>
      <c r="E4813" s="11">
        <f t="array" ref="E4813">_xlfn.XLOOKUP(D4813,Insumos!B:B,Insumos!C:$C)</f>
        <v/>
      </c>
      <c r="F4813" s="14" t="n">
        <v>1</v>
      </c>
      <c r="G4813" s="92">
        <f t="array" ref="G4813">IF(B4813="insumo",_xlfn.XLOOKUP($D4813,Insumos!$B$1:$B$996,Insumos!$D$1:$D$996),"")</f>
        <v/>
      </c>
      <c r="H4813" s="92" t="n">
        <v>256.9</v>
      </c>
      <c r="I4813" s="2162" t="n">
        <v>0</v>
      </c>
      <c r="J4813" s="2162" t="n">
        <v>0</v>
      </c>
      <c r="K4813" s="2162" t="n"/>
    </row>
    <row r="4814" outlineLevel="2" ht="15.75" customHeight="1">
      <c r="A4814" s="10" t="n">
        <v>3</v>
      </c>
      <c r="B4814" s="10" t="inlineStr">
        <is>
          <t>Insumo</t>
        </is>
      </c>
      <c r="C4814" s="10" t="inlineStr">
        <is>
          <t>Tanque Inox</t>
        </is>
      </c>
      <c r="D4814" s="10" t="inlineStr">
        <is>
          <t>Valvula de Escoamento cromada</t>
        </is>
      </c>
      <c r="E4814" s="11">
        <f t="array" ref="E4814">_xlfn.XLOOKUP(D4814,Insumos!B:B,Insumos!C:$C)</f>
        <v/>
      </c>
      <c r="F4814" s="14" t="n">
        <v>1</v>
      </c>
      <c r="G4814" s="92">
        <f t="array" ref="G4814">IF(B4814="insumo",_xlfn.XLOOKUP($D4814,Insumos!$B$1:$B$996,Insumos!$D$1:$D$996),"")</f>
        <v/>
      </c>
      <c r="H4814" s="92" t="n">
        <v>196.76</v>
      </c>
      <c r="I4814" s="2162" t="n">
        <v>0</v>
      </c>
      <c r="J4814" s="2162" t="n">
        <v>0</v>
      </c>
      <c r="K4814" s="2162" t="n"/>
    </row>
    <row r="4815" outlineLevel="2" ht="15.75" customHeight="1">
      <c r="A4815" s="10" t="n">
        <v>6</v>
      </c>
      <c r="B4815" s="10" t="inlineStr">
        <is>
          <t>Insumo</t>
        </is>
      </c>
      <c r="C4815" s="10" t="inlineStr">
        <is>
          <t>Tanque Inox</t>
        </is>
      </c>
      <c r="D4815" s="10" t="inlineStr">
        <is>
          <t>Bucha S-10</t>
        </is>
      </c>
      <c r="E4815" s="11">
        <f t="array" ref="E4815">_xlfn.XLOOKUP(D4815,Insumos!B:B,Insumos!C:$C)</f>
        <v/>
      </c>
      <c r="F4815" s="14" t="n">
        <v>6</v>
      </c>
      <c r="G4815" s="92">
        <f t="array" ref="G4815">IF(B4815="insumo",_xlfn.XLOOKUP($D4815,Insumos!$B$1:$B$996,Insumos!$D$1:$D$996),"")</f>
        <v/>
      </c>
      <c r="H4815" s="92" t="n">
        <v>3.6</v>
      </c>
      <c r="I4815" s="2162" t="n">
        <v>0</v>
      </c>
      <c r="J4815" s="2162" t="n">
        <v>0</v>
      </c>
      <c r="K4815" s="2162" t="n"/>
    </row>
    <row r="4816" outlineLevel="2" ht="15.75" customHeight="1">
      <c r="A4816" s="10" t="n">
        <v>6</v>
      </c>
      <c r="B4816" s="10" t="inlineStr">
        <is>
          <t>Insumo</t>
        </is>
      </c>
      <c r="C4816" s="10" t="inlineStr">
        <is>
          <t>Tanque Inox</t>
        </is>
      </c>
      <c r="D4816" s="10" t="inlineStr">
        <is>
          <t>Parafuso Galvanizado</t>
        </is>
      </c>
      <c r="E4816" s="11">
        <f t="array" ref="E4816">_xlfn.XLOOKUP(D4816,Insumos!B:B,Insumos!C:$C)</f>
        <v/>
      </c>
      <c r="F4816" s="14" t="n">
        <v>6</v>
      </c>
      <c r="G4816" s="92">
        <f t="array" ref="G4816">IF(B4816="insumo",_xlfn.XLOOKUP($D4816,Insumos!$B$1:$B$996,Insumos!$D$1:$D$996),"")</f>
        <v/>
      </c>
      <c r="H4816" s="92" t="n">
        <v>149.7</v>
      </c>
      <c r="I4816" s="2162" t="n">
        <v>0</v>
      </c>
      <c r="J4816" s="2162" t="n">
        <v>0</v>
      </c>
      <c r="K4816" s="2162" t="n"/>
    </row>
    <row r="4817" outlineLevel="2" ht="15.75" customHeight="1">
      <c r="A4817" s="10" t="n">
        <v>8</v>
      </c>
      <c r="B4817" s="10" t="inlineStr">
        <is>
          <t>Insumo</t>
        </is>
      </c>
      <c r="C4817" s="10" t="inlineStr">
        <is>
          <t>Tanque Inox</t>
        </is>
      </c>
      <c r="D4817" s="10" t="inlineStr">
        <is>
          <t>Fita Veda Rosca</t>
        </is>
      </c>
      <c r="E4817" s="11">
        <f t="array" ref="E4817">_xlfn.XLOOKUP(D4817,Insumos!B:B,Insumos!C:$C)</f>
        <v/>
      </c>
      <c r="F4817" s="14" t="n">
        <v>0.3</v>
      </c>
      <c r="G4817" s="92">
        <f t="array" ref="G4817">IF(B4817="insumo",_xlfn.XLOOKUP($D4817,Insumos!$B$1:$B$996,Insumos!$D$1:$D$996),"")</f>
        <v/>
      </c>
      <c r="H4817" s="92" t="n">
        <v>0.07199999999999999</v>
      </c>
      <c r="I4817" s="2162" t="n">
        <v>0</v>
      </c>
      <c r="J4817" s="2162" t="n">
        <v>0</v>
      </c>
      <c r="K4817" s="2162" t="n"/>
    </row>
    <row r="4818" outlineLevel="2" ht="15.75" customHeight="1">
      <c r="A4818" s="10" t="n">
        <v>7</v>
      </c>
      <c r="B4818" s="10" t="inlineStr">
        <is>
          <t>Insumo</t>
        </is>
      </c>
      <c r="C4818" s="10" t="inlineStr">
        <is>
          <t>Tanque Inox</t>
        </is>
      </c>
      <c r="D4818" s="10" t="inlineStr">
        <is>
          <t>Silicone acético 250gr</t>
        </is>
      </c>
      <c r="E4818" s="11">
        <f t="array" ref="E4818">_xlfn.XLOOKUP(D4818,Insumos!B:B,Insumos!C:$C)</f>
        <v/>
      </c>
      <c r="F4818" s="14" t="n">
        <v>0.4</v>
      </c>
      <c r="G4818" s="92">
        <f t="array" ref="G4818">IF(B4818="insumo",_xlfn.XLOOKUP($D4818,Insumos!$B$1:$B$996,Insumos!$D$1:$D$996),"")</f>
        <v/>
      </c>
      <c r="H4818" s="92" t="n">
        <v>14.24</v>
      </c>
      <c r="I4818" s="2162" t="n">
        <v>0</v>
      </c>
      <c r="J4818" s="2162" t="n">
        <v>0</v>
      </c>
      <c r="K4818" s="2162" t="n"/>
    </row>
    <row r="4819" outlineLevel="2" ht="15.75" customHeight="1">
      <c r="A4819" s="10" t="n">
        <v>11</v>
      </c>
      <c r="B4819" s="10" t="inlineStr">
        <is>
          <t>Insumo</t>
        </is>
      </c>
      <c r="C4819" s="10" t="inlineStr">
        <is>
          <t>Tanque Inox</t>
        </is>
      </c>
      <c r="D4819" s="10" t="inlineStr">
        <is>
          <t>Cola Extra Forte AC6000-400G</t>
        </is>
      </c>
      <c r="E4819" s="11">
        <f t="array" ref="E4819">_xlfn.XLOOKUP(D4819,Insumos!B:B,Insumos!C:$C)</f>
        <v/>
      </c>
      <c r="F4819" s="14" t="n">
        <v>0.25</v>
      </c>
      <c r="G4819" s="92">
        <f t="array" ref="G4819">IF(B4819="insumo",_xlfn.XLOOKUP($D4819,Insumos!$B$1:$B$996,Insumos!$D$1:$D$996),"")</f>
        <v/>
      </c>
      <c r="H4819" s="92" t="n">
        <v>18.75</v>
      </c>
      <c r="I4819" s="2162" t="n">
        <v>0</v>
      </c>
      <c r="J4819" s="2162" t="n">
        <v>0</v>
      </c>
      <c r="K4819" s="2162" t="n"/>
    </row>
    <row r="4820" outlineLevel="2" ht="15.75" customHeight="1">
      <c r="A4820" s="10" t="n">
        <v>11</v>
      </c>
      <c r="B4820" s="10" t="inlineStr">
        <is>
          <t>Insumo</t>
        </is>
      </c>
      <c r="C4820" s="10" t="inlineStr">
        <is>
          <t>Tanque Inox</t>
        </is>
      </c>
      <c r="D4820" s="10" t="inlineStr">
        <is>
          <t>Engate Flexível Trançado 1/2"</t>
        </is>
      </c>
      <c r="E4820" s="11">
        <f t="array" ref="E4820">_xlfn.XLOOKUP(D4820,Insumos!B:B,Insumos!C:$C)</f>
        <v/>
      </c>
      <c r="F4820" s="14" t="n">
        <v>1</v>
      </c>
      <c r="G4820" s="92">
        <f t="array" ref="G4820">IF(B4820="insumo",_xlfn.XLOOKUP($D4820,Insumos!$B$1:$B$996,Insumos!$D$1:$D$996),"")</f>
        <v/>
      </c>
      <c r="H4820" s="92" t="n">
        <v>26.9</v>
      </c>
      <c r="I4820" s="2162" t="n">
        <v>0</v>
      </c>
      <c r="J4820" s="2162" t="n">
        <v>0</v>
      </c>
      <c r="K4820" s="2162" t="n"/>
    </row>
    <row r="4821" outlineLevel="1" ht="15.75" customHeight="1">
      <c r="A4821" s="1067" t="n">
        <v>1</v>
      </c>
      <c r="B4821" s="1067" t="inlineStr">
        <is>
          <t>Serviço</t>
        </is>
      </c>
      <c r="C4821" s="1084" t="inlineStr">
        <is>
          <t>Tanque Louça Suspenso</t>
        </is>
      </c>
      <c r="D4821" s="1084" t="inlineStr">
        <is>
          <t>Tanque Louça Suspenso</t>
        </is>
      </c>
      <c r="E4821" s="1068" t="inlineStr">
        <is>
          <t>UN</t>
        </is>
      </c>
      <c r="F4821" s="1085" t="inlineStr"/>
      <c r="G4821" s="1069">
        <f t="array" ref="G4821">IF(B4821="insumo",_xlfn.XLOOKUP($D4821,Insumos!$B$1:$B$996,Insumos!$D$1:$D$996),"")</f>
        <v/>
      </c>
      <c r="H4821" s="1069" t="n">
        <v>681.032</v>
      </c>
      <c r="I4821" s="2172" t="n">
        <v>0</v>
      </c>
      <c r="J4821" s="2172" t="n">
        <v>0</v>
      </c>
      <c r="K4821" s="2172" t="n"/>
    </row>
    <row r="4822" outlineLevel="2" ht="15.75" customHeight="1">
      <c r="A4822" s="10" t="n">
        <v>1</v>
      </c>
      <c r="B4822" s="10" t="inlineStr">
        <is>
          <t>Insumo</t>
        </is>
      </c>
      <c r="C4822" s="10" t="inlineStr">
        <is>
          <t>Tanque Louça Suspenso</t>
        </is>
      </c>
      <c r="D4822" s="10" t="inlineStr">
        <is>
          <t>Tanque De Louça Hervy Com 18 Litros Branco</t>
        </is>
      </c>
      <c r="E4822" s="11">
        <f t="array" ref="E4822">_xlfn.XLOOKUP(D4822,Insumos!B:B,Insumos!C:$C)</f>
        <v/>
      </c>
      <c r="F4822" s="14" t="n">
        <v>1</v>
      </c>
      <c r="G4822" s="92">
        <f t="array" ref="G4822">IF(B4822="insumo",_xlfn.XLOOKUP($D4822,Insumos!$B$1:$B$996,Insumos!$D$1:$D$996),"")</f>
        <v/>
      </c>
      <c r="H4822" s="92" t="n">
        <v>396.87</v>
      </c>
      <c r="I4822" s="2162" t="n">
        <v>0</v>
      </c>
      <c r="J4822" s="2162" t="n">
        <v>0</v>
      </c>
      <c r="K4822" s="2162" t="n"/>
    </row>
    <row r="4823" outlineLevel="2" ht="15.75" customHeight="1">
      <c r="A4823" s="10" t="n">
        <v>1</v>
      </c>
      <c r="B4823" s="10" t="inlineStr">
        <is>
          <t>Insumo</t>
        </is>
      </c>
      <c r="C4823" s="10" t="inlineStr">
        <is>
          <t>Tanque Louça Suspenso</t>
        </is>
      </c>
      <c r="D4823" s="10" t="inlineStr">
        <is>
          <t>Sifão Universal Flexível Multiuso</t>
        </is>
      </c>
      <c r="E4823" s="11">
        <f t="array" ref="E4823">_xlfn.XLOOKUP(D4823,Insumos!B:B,Insumos!C:$C)</f>
        <v/>
      </c>
      <c r="F4823" s="14" t="n">
        <v>1</v>
      </c>
      <c r="G4823" s="92">
        <f t="array" ref="G4823">IF(B4823="insumo",_xlfn.XLOOKUP($D4823,Insumos!$B$1:$B$996,Insumos!$D$1:$D$996),"")</f>
        <v/>
      </c>
      <c r="H4823" s="92" t="n">
        <v>35</v>
      </c>
      <c r="I4823" s="2162" t="n">
        <v>0</v>
      </c>
      <c r="J4823" s="2162" t="n">
        <v>0</v>
      </c>
      <c r="K4823" s="2162" t="n"/>
    </row>
    <row r="4824" outlineLevel="2" ht="15.75" customHeight="1">
      <c r="A4824" s="10" t="n">
        <v>3</v>
      </c>
      <c r="B4824" s="10" t="inlineStr">
        <is>
          <t>Insumo</t>
        </is>
      </c>
      <c r="C4824" s="10" t="inlineStr">
        <is>
          <t>Tanque Louça Suspenso</t>
        </is>
      </c>
      <c r="D4824" s="10" t="inlineStr">
        <is>
          <t>Válvula Pia Tanque Lavanderia Escoamento 1.1/4'' Metal Cromado</t>
        </is>
      </c>
      <c r="E4824" s="11">
        <f t="array" ref="E4824">_xlfn.XLOOKUP(D4824,Insumos!B:B,Insumos!C:$C)</f>
        <v/>
      </c>
      <c r="F4824" s="14" t="n">
        <v>1</v>
      </c>
      <c r="G4824" s="92">
        <f t="array" ref="G4824">IF(B4824="insumo",_xlfn.XLOOKUP($D4824,Insumos!$B$1:$B$996,Insumos!$D$1:$D$996),"")</f>
        <v/>
      </c>
      <c r="H4824" s="92" t="n">
        <v>35.9</v>
      </c>
      <c r="I4824" s="2162" t="n">
        <v>0</v>
      </c>
      <c r="J4824" s="2162" t="n">
        <v>0</v>
      </c>
      <c r="K4824" s="2162" t="n"/>
    </row>
    <row r="4825" outlineLevel="2" ht="15.75" customHeight="1">
      <c r="A4825" s="10" t="n">
        <v>6</v>
      </c>
      <c r="B4825" s="10" t="inlineStr">
        <is>
          <t>Insumo</t>
        </is>
      </c>
      <c r="C4825" s="10" t="inlineStr">
        <is>
          <t>Tanque Louça Suspenso</t>
        </is>
      </c>
      <c r="D4825" s="10" t="inlineStr">
        <is>
          <t>Bucha S-10</t>
        </is>
      </c>
      <c r="E4825" s="11">
        <f t="array" ref="E4825">_xlfn.XLOOKUP(D4825,Insumos!B:B,Insumos!C:$C)</f>
        <v/>
      </c>
      <c r="F4825" s="14" t="n">
        <v>6</v>
      </c>
      <c r="G4825" s="92">
        <f t="array" ref="G4825">IF(B4825="insumo",_xlfn.XLOOKUP($D4825,Insumos!$B$1:$B$996,Insumos!$D$1:$D$996),"")</f>
        <v/>
      </c>
      <c r="H4825" s="92" t="n">
        <v>3.6</v>
      </c>
      <c r="I4825" s="2162" t="n">
        <v>0</v>
      </c>
      <c r="J4825" s="2162" t="n">
        <v>0</v>
      </c>
      <c r="K4825" s="2162" t="n"/>
    </row>
    <row r="4826" outlineLevel="2" ht="15.75" customHeight="1">
      <c r="A4826" s="10" t="n">
        <v>6</v>
      </c>
      <c r="B4826" s="10" t="inlineStr">
        <is>
          <t>Insumo</t>
        </is>
      </c>
      <c r="C4826" s="10" t="inlineStr">
        <is>
          <t>Tanque Louça Suspenso</t>
        </is>
      </c>
      <c r="D4826" s="10" t="inlineStr">
        <is>
          <t>Parafuso Galvanizado</t>
        </is>
      </c>
      <c r="E4826" s="11">
        <f t="array" ref="E4826">_xlfn.XLOOKUP(D4826,Insumos!B:B,Insumos!C:$C)</f>
        <v/>
      </c>
      <c r="F4826" s="14" t="n">
        <v>6</v>
      </c>
      <c r="G4826" s="92">
        <f t="array" ref="G4826">IF(B4826="insumo",_xlfn.XLOOKUP($D4826,Insumos!$B$1:$B$996,Insumos!$D$1:$D$996),"")</f>
        <v/>
      </c>
      <c r="H4826" s="92" t="n">
        <v>149.7</v>
      </c>
      <c r="I4826" s="2162" t="n">
        <v>0</v>
      </c>
      <c r="J4826" s="2162" t="n">
        <v>0</v>
      </c>
      <c r="K4826" s="2162" t="n"/>
    </row>
    <row r="4827" outlineLevel="2" ht="15.75" customHeight="1">
      <c r="A4827" s="10" t="n">
        <v>8</v>
      </c>
      <c r="B4827" s="10" t="inlineStr">
        <is>
          <t>Insumo</t>
        </is>
      </c>
      <c r="C4827" s="10" t="inlineStr">
        <is>
          <t>Tanque Louça Suspenso</t>
        </is>
      </c>
      <c r="D4827" s="10" t="inlineStr">
        <is>
          <t>Fita Veda Rosca</t>
        </is>
      </c>
      <c r="E4827" s="11">
        <f t="array" ref="E4827">_xlfn.XLOOKUP(D4827,Insumos!B:B,Insumos!C:$C)</f>
        <v/>
      </c>
      <c r="F4827" s="14" t="n">
        <v>0.3</v>
      </c>
      <c r="G4827" s="92">
        <f t="array" ref="G4827">IF(B4827="insumo",_xlfn.XLOOKUP($D4827,Insumos!$B$1:$B$996,Insumos!$D$1:$D$996),"")</f>
        <v/>
      </c>
      <c r="H4827" s="92" t="n">
        <v>0.07199999999999999</v>
      </c>
      <c r="I4827" s="2162" t="n">
        <v>0</v>
      </c>
      <c r="J4827" s="2162" t="n">
        <v>0</v>
      </c>
      <c r="K4827" s="2162" t="n"/>
    </row>
    <row r="4828" outlineLevel="2" ht="15.75" customHeight="1">
      <c r="A4828" s="10" t="n">
        <v>7</v>
      </c>
      <c r="B4828" s="10" t="inlineStr">
        <is>
          <t>Insumo</t>
        </is>
      </c>
      <c r="C4828" s="10" t="inlineStr">
        <is>
          <t>Tanque Louça Suspenso</t>
        </is>
      </c>
      <c r="D4828" s="10" t="inlineStr">
        <is>
          <t>Silicone acético 250gr</t>
        </is>
      </c>
      <c r="E4828" s="11">
        <f t="array" ref="E4828">_xlfn.XLOOKUP(D4828,Insumos!B:B,Insumos!C:$C)</f>
        <v/>
      </c>
      <c r="F4828" s="14" t="n">
        <v>0.4</v>
      </c>
      <c r="G4828" s="92">
        <f t="array" ref="G4828">IF(B4828="insumo",_xlfn.XLOOKUP($D4828,Insumos!$B$1:$B$996,Insumos!$D$1:$D$996),"")</f>
        <v/>
      </c>
      <c r="H4828" s="92" t="n">
        <v>14.24</v>
      </c>
      <c r="I4828" s="2162" t="n">
        <v>0</v>
      </c>
      <c r="J4828" s="2162" t="n">
        <v>0</v>
      </c>
      <c r="K4828" s="2162" t="n"/>
    </row>
    <row r="4829" outlineLevel="2" ht="15.75" customHeight="1">
      <c r="A4829" s="10" t="n">
        <v>11</v>
      </c>
      <c r="B4829" s="10" t="inlineStr">
        <is>
          <t>Insumo</t>
        </is>
      </c>
      <c r="C4829" s="10" t="inlineStr">
        <is>
          <t>Tanque Louça Suspenso</t>
        </is>
      </c>
      <c r="D4829" s="10" t="inlineStr">
        <is>
          <t>Cola Extra Forte AC6000-400G</t>
        </is>
      </c>
      <c r="E4829" s="11">
        <f t="array" ref="E4829">_xlfn.XLOOKUP(D4829,Insumos!B:B,Insumos!C:$C)</f>
        <v/>
      </c>
      <c r="F4829" s="14" t="n">
        <v>0.25</v>
      </c>
      <c r="G4829" s="92">
        <f t="array" ref="G4829">IF(B4829="insumo",_xlfn.XLOOKUP($D4829,Insumos!$B$1:$B$996,Insumos!$D$1:$D$996),"")</f>
        <v/>
      </c>
      <c r="H4829" s="92" t="n">
        <v>18.75</v>
      </c>
      <c r="I4829" s="2162" t="n">
        <v>0</v>
      </c>
      <c r="J4829" s="2162" t="n">
        <v>0</v>
      </c>
      <c r="K4829" s="2162" t="n"/>
    </row>
    <row r="4830" outlineLevel="2" ht="15.75" customHeight="1">
      <c r="A4830" s="10" t="n">
        <v>11</v>
      </c>
      <c r="B4830" s="10" t="inlineStr">
        <is>
          <t>Insumo</t>
        </is>
      </c>
      <c r="C4830" s="10" t="inlineStr">
        <is>
          <t>Tanque Louça Suspenso</t>
        </is>
      </c>
      <c r="D4830" s="10" t="inlineStr">
        <is>
          <t>Engate Flexível Trançado 1/2"</t>
        </is>
      </c>
      <c r="E4830" s="11">
        <f t="array" ref="E4830">_xlfn.XLOOKUP(D4830,Insumos!B:B,Insumos!C:$C)</f>
        <v/>
      </c>
      <c r="F4830" s="14" t="n">
        <v>1</v>
      </c>
      <c r="G4830" s="92">
        <f t="array" ref="G4830">IF(B4830="insumo",_xlfn.XLOOKUP($D4830,Insumos!$B$1:$B$996,Insumos!$D$1:$D$996),"")</f>
        <v/>
      </c>
      <c r="H4830" s="92" t="n">
        <v>26.9</v>
      </c>
      <c r="I4830" s="2162" t="n">
        <v>0</v>
      </c>
      <c r="J4830" s="2162" t="n">
        <v>0</v>
      </c>
      <c r="K4830" s="2162" t="n"/>
    </row>
    <row r="4831" outlineLevel="1" ht="15.75" customHeight="1">
      <c r="A4831" s="1067" t="n">
        <v>1</v>
      </c>
      <c r="B4831" s="1067" t="inlineStr">
        <is>
          <t>Serviço</t>
        </is>
      </c>
      <c r="C4831" s="1084" t="inlineStr">
        <is>
          <t>Torneira Lavatório mesa</t>
        </is>
      </c>
      <c r="D4831" s="1084" t="inlineStr">
        <is>
          <t>Torneira Lavatório mesa</t>
        </is>
      </c>
      <c r="E4831" s="1068" t="inlineStr">
        <is>
          <t>UN</t>
        </is>
      </c>
      <c r="F4831" s="1085" t="inlineStr"/>
      <c r="G4831" s="1069">
        <f t="array" ref="G4831">IF(B4831="insumo",_xlfn.XLOOKUP($D4831,Insumos!$B$1:$B$996,Insumos!$D$1:$D$996),"")</f>
        <v/>
      </c>
      <c r="H4831" s="1069" t="n">
        <v>1054.93</v>
      </c>
      <c r="I4831" s="2172" t="n">
        <v>0</v>
      </c>
      <c r="J4831" s="2172" t="n">
        <v>0</v>
      </c>
      <c r="K4831" s="2172" t="n"/>
    </row>
    <row r="4832" outlineLevel="2" ht="15.75" customHeight="1">
      <c r="A4832" s="10" t="n">
        <v>1</v>
      </c>
      <c r="B4832" s="10" t="inlineStr">
        <is>
          <t>Insumo</t>
        </is>
      </c>
      <c r="C4832" s="10" t="inlineStr">
        <is>
          <t>Torneira Lavatório mesa</t>
        </is>
      </c>
      <c r="D4832" s="10" t="inlineStr">
        <is>
          <t>Torneira para Lavatório\ Detalhe: Cromado Vercci</t>
        </is>
      </c>
      <c r="E4832" s="11">
        <f t="array" ref="E4832">_xlfn.XLOOKUP(D4832,Insumos!B:B,Insumos!C:$C)</f>
        <v/>
      </c>
      <c r="F4832" s="14" t="n">
        <v>1</v>
      </c>
      <c r="G4832" s="92">
        <f t="array" ref="G4832">IF(B4832="insumo",_xlfn.XLOOKUP($D4832,Insumos!$B$1:$B$996,Insumos!$D$1:$D$996),"")</f>
        <v/>
      </c>
      <c r="H4832" s="92" t="n">
        <v>1054.93</v>
      </c>
      <c r="I4832" s="2162" t="n">
        <v>0</v>
      </c>
      <c r="J4832" s="2162" t="n">
        <v>0</v>
      </c>
      <c r="K4832" s="2162" t="n"/>
    </row>
    <row r="4833" outlineLevel="1" ht="15.75" customHeight="1">
      <c r="A4833" s="1067" t="n">
        <v>1</v>
      </c>
      <c r="B4833" s="1067" t="inlineStr">
        <is>
          <t>Serviço</t>
        </is>
      </c>
      <c r="C4833" s="1084" t="inlineStr">
        <is>
          <t>Torneira tanque</t>
        </is>
      </c>
      <c r="D4833" s="1084" t="inlineStr">
        <is>
          <t>Torneira tanque</t>
        </is>
      </c>
      <c r="E4833" s="1068" t="inlineStr">
        <is>
          <t>UN</t>
        </is>
      </c>
      <c r="F4833" s="1085" t="inlineStr"/>
      <c r="G4833" s="1069">
        <f t="array" ref="G4833">IF(B4833="insumo",_xlfn.XLOOKUP($D4833,Insumos!$B$1:$B$996,Insumos!$D$1:$D$996),"")</f>
        <v/>
      </c>
      <c r="H4833" s="1069" t="n">
        <v>1054.93</v>
      </c>
      <c r="I4833" s="2172" t="n">
        <v>0</v>
      </c>
      <c r="J4833" s="2172" t="n">
        <v>0</v>
      </c>
      <c r="K4833" s="2172" t="n"/>
    </row>
    <row r="4834" outlineLevel="2" ht="15.75" customHeight="1">
      <c r="A4834" s="10" t="n">
        <v>1</v>
      </c>
      <c r="B4834" s="10" t="inlineStr">
        <is>
          <t>Insumo</t>
        </is>
      </c>
      <c r="C4834" s="10" t="inlineStr">
        <is>
          <t>Torneira tanque</t>
        </is>
      </c>
      <c r="D4834" s="10" t="inlineStr">
        <is>
          <t>Torneira de bancada para tanque \ Detalhe: mesa inox</t>
        </is>
      </c>
      <c r="E4834" s="11">
        <f t="array" ref="E4834">_xlfn.XLOOKUP(D4834,Insumos!B:B,Insumos!C:$C)</f>
        <v/>
      </c>
      <c r="F4834" s="14" t="n">
        <v>1</v>
      </c>
      <c r="G4834" s="92">
        <f t="array" ref="G4834">IF(B4834="insumo",_xlfn.XLOOKUP($D4834,Insumos!$B$1:$B$996,Insumos!$D$1:$D$996),"")</f>
        <v/>
      </c>
      <c r="H4834" s="92" t="n">
        <v>1054.93</v>
      </c>
      <c r="I4834" s="2162" t="n">
        <v>0</v>
      </c>
      <c r="J4834" s="2162" t="n">
        <v>0</v>
      </c>
      <c r="K4834" s="2162" t="n"/>
    </row>
    <row r="4835" outlineLevel="1" ht="15.75" customHeight="1">
      <c r="A4835" s="1067" t="n">
        <v>1</v>
      </c>
      <c r="B4835" s="1067" t="inlineStr">
        <is>
          <t>Serviço</t>
        </is>
      </c>
      <c r="C4835" s="1084" t="inlineStr">
        <is>
          <t>Torneira de Jardins</t>
        </is>
      </c>
      <c r="D4835" s="1084" t="inlineStr">
        <is>
          <t>Torneira de Jardins</t>
        </is>
      </c>
      <c r="E4835" s="1068" t="inlineStr">
        <is>
          <t>UN</t>
        </is>
      </c>
      <c r="F4835" s="1085" t="inlineStr"/>
      <c r="G4835" s="1069">
        <f t="array" ref="G4835">IF(B4835="insumo",_xlfn.XLOOKUP($D4835,Insumos!$B$1:$B$996,Insumos!$D$1:$D$996),"")</f>
        <v/>
      </c>
      <c r="H4835" s="1069" t="n">
        <v>1054.93</v>
      </c>
      <c r="I4835" s="2172" t="n">
        <v>0</v>
      </c>
      <c r="J4835" s="2172" t="n">
        <v>0</v>
      </c>
      <c r="K4835" s="2172" t="n"/>
    </row>
    <row r="4836" outlineLevel="2" ht="15.75" customHeight="1">
      <c r="A4836" s="10" t="n">
        <v>1</v>
      </c>
      <c r="B4836" s="10" t="inlineStr">
        <is>
          <t>Insumo</t>
        </is>
      </c>
      <c r="C4836" s="10" t="inlineStr">
        <is>
          <t>Torneira de Jardins</t>
        </is>
      </c>
      <c r="D4836" s="10" t="inlineStr">
        <is>
          <t>Torneira de jardim inox</t>
        </is>
      </c>
      <c r="E4836" s="11">
        <f t="array" ref="E4836">_xlfn.XLOOKUP(D4836,Insumos!B:B,Insumos!C:$C)</f>
        <v/>
      </c>
      <c r="F4836" s="14" t="n">
        <v>1</v>
      </c>
      <c r="G4836" s="92">
        <f t="array" ref="G4836">IF(B4836="insumo",_xlfn.XLOOKUP($D4836,Insumos!$B$1:$B$996,Insumos!$D$1:$D$996),"")</f>
        <v/>
      </c>
      <c r="H4836" s="92" t="n">
        <v>1054.93</v>
      </c>
      <c r="I4836" s="2162" t="n">
        <v>0</v>
      </c>
      <c r="J4836" s="2162" t="n">
        <v>0</v>
      </c>
      <c r="K4836" s="2162" t="n"/>
    </row>
    <row r="4837" outlineLevel="1" ht="15.75" customHeight="1">
      <c r="A4837" s="1067" t="n">
        <v>1</v>
      </c>
      <c r="B4837" s="1067" t="inlineStr">
        <is>
          <t>Serviço</t>
        </is>
      </c>
      <c r="C4837" s="1084" t="inlineStr">
        <is>
          <t>Torneira misturador pia cozinha</t>
        </is>
      </c>
      <c r="D4837" s="1084" t="inlineStr">
        <is>
          <t>Torneira misturador pia cozinha</t>
        </is>
      </c>
      <c r="E4837" s="1068" t="inlineStr">
        <is>
          <t>UN</t>
        </is>
      </c>
      <c r="F4837" s="1085" t="inlineStr"/>
      <c r="G4837" s="1069">
        <f t="array" ref="G4837">IF(B4837="insumo",_xlfn.XLOOKUP($D4837,Insumos!$B$1:$B$996,Insumos!$D$1:$D$996),"")</f>
        <v/>
      </c>
      <c r="H4837" s="1069" t="n">
        <v>1054.93</v>
      </c>
      <c r="I4837" s="2172" t="n">
        <v>0</v>
      </c>
      <c r="J4837" s="2172" t="n">
        <v>0</v>
      </c>
      <c r="K4837" s="2172" t="n"/>
    </row>
    <row r="4838" outlineLevel="2" ht="15.75" customHeight="1">
      <c r="A4838" s="10" t="n">
        <v>1</v>
      </c>
      <c r="B4838" s="10" t="inlineStr">
        <is>
          <t>Insumo</t>
        </is>
      </c>
      <c r="C4838" s="10" t="inlineStr">
        <is>
          <t>Torneira misturador pia cozinha</t>
        </is>
      </c>
      <c r="D4838" s="10" t="inlineStr">
        <is>
          <t>Torneira para pia inox</t>
        </is>
      </c>
      <c r="E4838" s="11">
        <f t="array" ref="E4838">_xlfn.XLOOKUP(D4838,Insumos!B:B,Insumos!C:$C)</f>
        <v/>
      </c>
      <c r="F4838" s="14" t="n">
        <v>1</v>
      </c>
      <c r="G4838" s="92">
        <f t="array" ref="G4838">IF(B4838="insumo",_xlfn.XLOOKUP($D4838,Insumos!$B$1:$B$996,Insumos!$D$1:$D$996),"")</f>
        <v/>
      </c>
      <c r="H4838" s="92" t="n">
        <v>1054.93</v>
      </c>
      <c r="I4838" s="2162" t="n">
        <v>0</v>
      </c>
      <c r="J4838" s="2162" t="n">
        <v>0</v>
      </c>
      <c r="K4838" s="2162" t="n"/>
    </row>
    <row r="4839" outlineLevel="1" ht="15.75" customHeight="1">
      <c r="A4839" s="1067" t="n">
        <v>1</v>
      </c>
      <c r="B4839" s="1067" t="inlineStr">
        <is>
          <t>Serviço</t>
        </is>
      </c>
      <c r="C4839" s="1084" t="inlineStr">
        <is>
          <t>Ducha higienica</t>
        </is>
      </c>
      <c r="D4839" s="1084" t="inlineStr">
        <is>
          <t>Ducha higienica</t>
        </is>
      </c>
      <c r="E4839" s="1068" t="inlineStr">
        <is>
          <t>UN</t>
        </is>
      </c>
      <c r="F4839" s="1085" t="inlineStr"/>
      <c r="G4839" s="1069">
        <f t="array" ref="G4839">IF(B4839="insumo",_xlfn.XLOOKUP($D4839,Insumos!$B$1:$B$996,Insumos!$D$1:$D$996),"")</f>
        <v/>
      </c>
      <c r="H4839" s="1069" t="n">
        <v>1876.89</v>
      </c>
      <c r="I4839" s="2172" t="n">
        <v>0</v>
      </c>
      <c r="J4839" s="2172" t="n">
        <v>0</v>
      </c>
      <c r="K4839" s="2172" t="n"/>
    </row>
    <row r="4840" outlineLevel="2" ht="15.75" customHeight="1">
      <c r="A4840" s="10" t="n">
        <v>1</v>
      </c>
      <c r="B4840" s="10" t="inlineStr">
        <is>
          <t>Insumo</t>
        </is>
      </c>
      <c r="C4840" s="10" t="inlineStr">
        <is>
          <t>Ducha higienica</t>
        </is>
      </c>
      <c r="D4840" s="10" t="inlineStr">
        <is>
          <t>Monocomando Banheira e Ducha</t>
        </is>
      </c>
      <c r="E4840" s="11">
        <f t="array" ref="E4840">_xlfn.XLOOKUP(D4840,Insumos!B:B,Insumos!C:$C)</f>
        <v/>
      </c>
      <c r="F4840" s="14" t="n">
        <v>1</v>
      </c>
      <c r="G4840" s="92">
        <f t="array" ref="G4840">IF(B4840="insumo",_xlfn.XLOOKUP($D4840,Insumos!$B$1:$B$996,Insumos!$D$1:$D$996),"")</f>
        <v/>
      </c>
      <c r="H4840" s="92" t="n">
        <v>1876.89</v>
      </c>
      <c r="I4840" s="2162" t="n">
        <v>0</v>
      </c>
      <c r="J4840" s="2162" t="n">
        <v>0</v>
      </c>
      <c r="K4840" s="2162" t="n"/>
    </row>
    <row r="4841" outlineLevel="1" ht="15.75" customHeight="1">
      <c r="A4841" s="1067" t="n">
        <v>1</v>
      </c>
      <c r="B4841" s="1067" t="inlineStr">
        <is>
          <t>Serviço</t>
        </is>
      </c>
      <c r="C4841" s="1084" t="inlineStr">
        <is>
          <t>Acabamento de Registro Comum</t>
        </is>
      </c>
      <c r="D4841" s="1084" t="inlineStr">
        <is>
          <t>Acabamento de Registro Comum</t>
        </is>
      </c>
      <c r="E4841" s="1068" t="inlineStr">
        <is>
          <t>UN</t>
        </is>
      </c>
      <c r="F4841" s="1085" t="inlineStr"/>
      <c r="G4841" s="1069">
        <f t="array" ref="G4841">IF(B4841="insumo",_xlfn.XLOOKUP($D4841,Insumos!$B$1:$B$996,Insumos!$D$1:$D$996),"")</f>
        <v/>
      </c>
      <c r="H4841" s="1069" t="n">
        <v>240.41</v>
      </c>
      <c r="I4841" s="2172" t="n">
        <v>0</v>
      </c>
      <c r="J4841" s="2172" t="n">
        <v>0</v>
      </c>
      <c r="K4841" s="2172" t="n"/>
    </row>
    <row r="4842" outlineLevel="2" ht="15.75" customHeight="1">
      <c r="A4842" s="10" t="n">
        <v>1</v>
      </c>
      <c r="B4842" s="10" t="inlineStr">
        <is>
          <t>Insumo</t>
        </is>
      </c>
      <c r="C4842" s="10" t="inlineStr">
        <is>
          <t>Acabamento de Registro Comum</t>
        </is>
      </c>
      <c r="D4842" s="10" t="inlineStr">
        <is>
          <t>Acabamento de Registro\ Detalhe: Cromado Vercci</t>
        </is>
      </c>
      <c r="E4842" s="11">
        <f t="array" ref="E4842">_xlfn.XLOOKUP(D4842,Insumos!B:B,Insumos!C:$C)</f>
        <v/>
      </c>
      <c r="F4842" s="14" t="n">
        <v>1</v>
      </c>
      <c r="G4842" s="92">
        <f t="array" ref="G4842">IF(B4842="insumo",_xlfn.XLOOKUP($D4842,Insumos!$B$1:$B$996,Insumos!$D$1:$D$996),"")</f>
        <v/>
      </c>
      <c r="H4842" s="92" t="n">
        <v>240.41</v>
      </c>
      <c r="I4842" s="2162" t="n">
        <v>0</v>
      </c>
      <c r="J4842" s="2162" t="n">
        <v>0</v>
      </c>
      <c r="K4842" s="2162" t="n"/>
    </row>
    <row r="4843" outlineLevel="1" ht="15.75" customHeight="1">
      <c r="A4843" s="1067" t="n">
        <v>1</v>
      </c>
      <c r="B4843" s="1067" t="inlineStr">
        <is>
          <t>Serviço</t>
        </is>
      </c>
      <c r="C4843" s="1084" t="inlineStr">
        <is>
          <t>Acabamento de Registro Pressão</t>
        </is>
      </c>
      <c r="D4843" s="1084" t="inlineStr">
        <is>
          <t>Acabamento de Registro Pressão</t>
        </is>
      </c>
      <c r="E4843" s="1068" t="inlineStr">
        <is>
          <t>UN</t>
        </is>
      </c>
      <c r="F4843" s="1085" t="inlineStr"/>
      <c r="G4843" s="1069">
        <f t="array" ref="G4843">IF(B4843="insumo",_xlfn.XLOOKUP($D4843,Insumos!$B$1:$B$996,Insumos!$D$1:$D$996),"")</f>
        <v/>
      </c>
      <c r="H4843" s="1069" t="n">
        <v>493.7</v>
      </c>
      <c r="I4843" s="2172" t="n">
        <v>0</v>
      </c>
      <c r="J4843" s="2172" t="n">
        <v>0</v>
      </c>
      <c r="K4843" s="2172" t="n"/>
    </row>
    <row r="4844" outlineLevel="2" ht="15.75" customHeight="1">
      <c r="A4844" s="10" t="n">
        <v>1</v>
      </c>
      <c r="B4844" s="10" t="inlineStr">
        <is>
          <t>Insumo</t>
        </is>
      </c>
      <c r="C4844" s="10" t="inlineStr">
        <is>
          <t>Acabamento de Registro Pressão</t>
        </is>
      </c>
      <c r="D4844" s="10" t="inlineStr">
        <is>
          <t>Acabamento de Registro pressão \ Detalhe: Cromado Vercci</t>
        </is>
      </c>
      <c r="E4844" s="11">
        <f t="array" ref="E4844">_xlfn.XLOOKUP(D4844,Insumos!B:B,Insumos!C:$C)</f>
        <v/>
      </c>
      <c r="F4844" s="14" t="n">
        <v>1</v>
      </c>
      <c r="G4844" s="92">
        <f t="array" ref="G4844">IF(B4844="insumo",_xlfn.XLOOKUP($D4844,Insumos!$B$1:$B$996,Insumos!$D$1:$D$996),"")</f>
        <v/>
      </c>
      <c r="H4844" s="92" t="n">
        <v>493.7</v>
      </c>
      <c r="I4844" s="2162" t="n">
        <v>0</v>
      </c>
      <c r="J4844" s="2162" t="n">
        <v>0</v>
      </c>
      <c r="K4844" s="2162" t="n"/>
    </row>
    <row r="4845" outlineLevel="1" ht="15.75" customHeight="1">
      <c r="A4845" s="1067" t="n">
        <v>1</v>
      </c>
      <c r="B4845" s="1067" t="inlineStr">
        <is>
          <t>Serviço</t>
        </is>
      </c>
      <c r="C4845" s="1084" t="inlineStr">
        <is>
          <t>Exaustor mecânico</t>
        </is>
      </c>
      <c r="D4845" s="1084" t="inlineStr">
        <is>
          <t>Exaustor mecânico</t>
        </is>
      </c>
      <c r="E4845" s="1068" t="inlineStr">
        <is>
          <t>UN</t>
        </is>
      </c>
      <c r="F4845" s="1085" t="inlineStr"/>
      <c r="G4845" s="1069">
        <f t="array" ref="G4845">IF(B4845="insumo",_xlfn.XLOOKUP($D4845,Insumos!$B$1:$B$996,Insumos!$D$1:$D$996),"")</f>
        <v/>
      </c>
      <c r="H4845" s="1069" t="n">
        <v>900</v>
      </c>
      <c r="I4845" s="2172" t="n">
        <v>0</v>
      </c>
      <c r="J4845" s="2172" t="n">
        <v>0</v>
      </c>
      <c r="K4845" s="2172" t="n"/>
    </row>
    <row r="4846" outlineLevel="2" ht="15.75" customHeight="1">
      <c r="A4846" s="10" t="n">
        <v>1</v>
      </c>
      <c r="B4846" s="10" t="inlineStr">
        <is>
          <t>Insumo</t>
        </is>
      </c>
      <c r="C4846" s="10" t="inlineStr">
        <is>
          <t>Exaustor mecânico</t>
        </is>
      </c>
      <c r="D4846" s="10" t="inlineStr">
        <is>
          <t>Exaustor Td Silent 350 Ultra Silencioso</t>
        </is>
      </c>
      <c r="E4846" s="11">
        <f t="array" ref="E4846">_xlfn.XLOOKUP(D4846,Insumos!B:B,Insumos!C:$C)</f>
        <v/>
      </c>
      <c r="F4846" s="14" t="n">
        <v>1</v>
      </c>
      <c r="G4846" s="92">
        <f t="array" ref="G4846">IF(B4846="insumo",_xlfn.XLOOKUP($D4846,Insumos!$B$1:$B$996,Insumos!$D$1:$D$996),"")</f>
        <v/>
      </c>
      <c r="H4846" s="92" t="n">
        <v>900</v>
      </c>
      <c r="I4846" s="2162" t="n">
        <v>0</v>
      </c>
      <c r="J4846" s="2162" t="n">
        <v>0</v>
      </c>
      <c r="K4846" s="2162" t="n"/>
    </row>
    <row r="4847" outlineLevel="1" ht="15.75" customHeight="1">
      <c r="A4847" s="1067" t="n">
        <v>1</v>
      </c>
      <c r="B4847" s="1067" t="inlineStr">
        <is>
          <t>Serviço</t>
        </is>
      </c>
      <c r="C4847" s="1084" t="inlineStr">
        <is>
          <t>Barra de apoio PNE</t>
        </is>
      </c>
      <c r="D4847" s="1084" t="inlineStr">
        <is>
          <t>Barra de apoio PNE</t>
        </is>
      </c>
      <c r="E4847" s="1068" t="inlineStr">
        <is>
          <t>UN</t>
        </is>
      </c>
      <c r="F4847" s="1085" t="inlineStr"/>
      <c r="G4847" s="1069">
        <f t="array" ref="G4847">IF(B4847="insumo",_xlfn.XLOOKUP($D4847,Insumos!$B$1:$B$996,Insumos!$D$1:$D$996),"")</f>
        <v/>
      </c>
      <c r="H4847" s="1069" t="n">
        <v>84.8</v>
      </c>
      <c r="I4847" s="2172" t="n">
        <v>0</v>
      </c>
      <c r="J4847" s="2172" t="n">
        <v>0</v>
      </c>
      <c r="K4847" s="2172" t="n"/>
    </row>
    <row r="4848" outlineLevel="2" ht="15.75" customHeight="1">
      <c r="A4848" s="10" t="n">
        <v>1</v>
      </c>
      <c r="B4848" s="10" t="inlineStr">
        <is>
          <t>Insumo</t>
        </is>
      </c>
      <c r="C4848" s="10" t="inlineStr">
        <is>
          <t>Barra de apoio PNE</t>
        </is>
      </c>
      <c r="D4848" s="10" t="inlineStr">
        <is>
          <t>Barra de Apoio - Deficiente</t>
        </is>
      </c>
      <c r="E4848" s="11">
        <f t="array" ref="E4848">_xlfn.XLOOKUP(D4848,Insumos!B:B,Insumos!C:$C)</f>
        <v/>
      </c>
      <c r="F4848" s="14" t="n">
        <v>1</v>
      </c>
      <c r="G4848" s="92">
        <f t="array" ref="G4848">IF(B4848="insumo",_xlfn.XLOOKUP($D4848,Insumos!$B$1:$B$996,Insumos!$D$1:$D$996),"")</f>
        <v/>
      </c>
      <c r="H4848" s="92" t="n">
        <v>84.8</v>
      </c>
      <c r="I4848" s="2162" t="n">
        <v>0</v>
      </c>
      <c r="J4848" s="2162" t="n">
        <v>0</v>
      </c>
      <c r="K4848" s="2162" t="n"/>
    </row>
    <row r="4849" outlineLevel="1" ht="15.75" customHeight="1">
      <c r="A4849" s="1067" t="n">
        <v>1</v>
      </c>
      <c r="B4849" s="1067" t="inlineStr">
        <is>
          <t>Serviço</t>
        </is>
      </c>
      <c r="C4849" s="1084" t="inlineStr">
        <is>
          <t>Chuveiro Elétrico</t>
        </is>
      </c>
      <c r="D4849" s="1084" t="inlineStr">
        <is>
          <t>Chuveiro Elétrico</t>
        </is>
      </c>
      <c r="E4849" s="1068" t="inlineStr">
        <is>
          <t>UN</t>
        </is>
      </c>
      <c r="F4849" s="1085" t="inlineStr"/>
      <c r="G4849" s="1069">
        <f t="array" ref="G4849">IF(B4849="insumo",_xlfn.XLOOKUP($D4849,Insumos!$B$1:$B$996,Insumos!$D$1:$D$996),"")</f>
        <v/>
      </c>
      <c r="H4849" s="1069" t="n">
        <v>660</v>
      </c>
      <c r="I4849" s="2172" t="n">
        <v>0</v>
      </c>
      <c r="J4849" s="2172" t="n">
        <v>0</v>
      </c>
      <c r="K4849" s="2172" t="n"/>
    </row>
    <row r="4850" outlineLevel="2" ht="15.75" customHeight="1">
      <c r="A4850" s="10" t="n">
        <v>1</v>
      </c>
      <c r="B4850" s="10" t="inlineStr">
        <is>
          <t>Insumo</t>
        </is>
      </c>
      <c r="C4850" s="10" t="inlineStr">
        <is>
          <t>Chuveiro Elétrico</t>
        </is>
      </c>
      <c r="D4850" s="10" t="inlineStr">
        <is>
          <t>Ducha / Detalhe: Aqua Ultra - Lorenzetti</t>
        </is>
      </c>
      <c r="E4850" s="11">
        <f t="array" ref="E4850">_xlfn.XLOOKUP(D4850,Insumos!B:B,Insumos!C:$C)</f>
        <v/>
      </c>
      <c r="F4850" s="14" t="n">
        <v>1</v>
      </c>
      <c r="G4850" s="92">
        <f t="array" ref="G4850">IF(B4850="insumo",_xlfn.XLOOKUP($D4850,Insumos!$B$1:$B$996,Insumos!$D$1:$D$996),"")</f>
        <v/>
      </c>
      <c r="H4850" s="92" t="n">
        <v>660</v>
      </c>
      <c r="I4850" s="2162" t="n">
        <v>0</v>
      </c>
      <c r="J4850" s="2162" t="n">
        <v>0</v>
      </c>
      <c r="K4850" s="2162" t="n"/>
    </row>
    <row r="4851" outlineLevel="1" ht="15.75" customHeight="1">
      <c r="A4851" s="1067" t="n">
        <v>1</v>
      </c>
      <c r="B4851" s="1067" t="inlineStr">
        <is>
          <t>Serviço</t>
        </is>
      </c>
      <c r="C4851" s="1084" t="inlineStr">
        <is>
          <t>Chuveiro Monocromado</t>
        </is>
      </c>
      <c r="D4851" s="1084" t="inlineStr">
        <is>
          <t>Chuveiro Monocromado</t>
        </is>
      </c>
      <c r="E4851" s="1068" t="inlineStr">
        <is>
          <t>UN</t>
        </is>
      </c>
      <c r="F4851" s="1085" t="inlineStr"/>
      <c r="G4851" s="1069">
        <f t="array" ref="G4851">IF(B4851="insumo",_xlfn.XLOOKUP($D4851,Insumos!$B$1:$B$996,Insumos!$D$1:$D$996),"")</f>
        <v/>
      </c>
      <c r="H4851" s="1069" t="n">
        <v>970</v>
      </c>
      <c r="I4851" s="2172" t="n">
        <v>0</v>
      </c>
      <c r="J4851" s="2172" t="n">
        <v>0</v>
      </c>
      <c r="K4851" s="2172" t="n"/>
    </row>
    <row r="4852" outlineLevel="2" ht="15.75" customHeight="1">
      <c r="A4852" s="10" t="n">
        <v>1</v>
      </c>
      <c r="B4852" s="10" t="inlineStr">
        <is>
          <t>Insumo</t>
        </is>
      </c>
      <c r="C4852" s="10" t="inlineStr">
        <is>
          <t>Chuveiro Monocromado</t>
        </is>
      </c>
      <c r="D4852" s="10" t="inlineStr">
        <is>
          <t>Chuveiro Teto DocolHeaven Q150 Cromado Docol</t>
        </is>
      </c>
      <c r="E4852" s="11">
        <f t="array" ref="E4852">_xlfn.XLOOKUP(D4852,Insumos!B:B,Insumos!C:$C)</f>
        <v/>
      </c>
      <c r="F4852" s="14" t="n">
        <v>1</v>
      </c>
      <c r="G4852" s="92">
        <f t="array" ref="G4852">IF(B4852="insumo",_xlfn.XLOOKUP($D4852,Insumos!$B$1:$B$996,Insumos!$D$1:$D$996),"")</f>
        <v/>
      </c>
      <c r="H4852" s="92" t="n">
        <v>970</v>
      </c>
      <c r="I4852" s="2162" t="n">
        <v>0</v>
      </c>
      <c r="J4852" s="2162" t="n">
        <v>0</v>
      </c>
      <c r="K4852" s="2162" t="n"/>
    </row>
    <row r="4853" outlineLevel="1" ht="15.75" customHeight="1">
      <c r="A4853" s="1067" t="n">
        <v>1</v>
      </c>
      <c r="B4853" s="1067" t="inlineStr">
        <is>
          <t>Serviço</t>
        </is>
      </c>
      <c r="C4853" s="1084" t="inlineStr">
        <is>
          <t>Ducha</t>
        </is>
      </c>
      <c r="D4853" s="1084" t="inlineStr">
        <is>
          <t>Ducha</t>
        </is>
      </c>
      <c r="E4853" s="1068" t="inlineStr">
        <is>
          <t>UN</t>
        </is>
      </c>
      <c r="F4853" s="1085" t="inlineStr"/>
      <c r="G4853" s="1069">
        <f t="array" ref="G4853">IF(B4853="insumo",_xlfn.XLOOKUP($D4853,Insumos!$B$1:$B$996,Insumos!$D$1:$D$996),"")</f>
        <v/>
      </c>
      <c r="H4853" s="1069" t="n">
        <v>1196.32</v>
      </c>
      <c r="I4853" s="2172" t="n">
        <v>0</v>
      </c>
      <c r="J4853" s="2172" t="n">
        <v>0</v>
      </c>
      <c r="K4853" s="2172" t="n"/>
    </row>
    <row r="4854" outlineLevel="2" ht="15.75" customHeight="1">
      <c r="A4854" s="10" t="n">
        <v>1</v>
      </c>
      <c r="B4854" s="10" t="inlineStr">
        <is>
          <t>Insumo</t>
        </is>
      </c>
      <c r="C4854" s="10" t="inlineStr">
        <is>
          <t>Ducha</t>
        </is>
      </c>
      <c r="D4854" s="10" t="inlineStr">
        <is>
          <t>Ducha \ Detalhe: Parede Cromado Vercci</t>
        </is>
      </c>
      <c r="E4854" s="11">
        <f t="array" ref="E4854">_xlfn.XLOOKUP(D4854,Insumos!B:B,Insumos!C:$C)</f>
        <v/>
      </c>
      <c r="F4854" s="14" t="n">
        <v>1</v>
      </c>
      <c r="G4854" s="92">
        <f t="array" ref="G4854">IF(B4854="insumo",_xlfn.XLOOKUP($D4854,Insumos!$B$1:$B$996,Insumos!$D$1:$D$996),"")</f>
        <v/>
      </c>
      <c r="H4854" s="92" t="n">
        <v>1196.32</v>
      </c>
      <c r="I4854" s="2162" t="n">
        <v>0</v>
      </c>
      <c r="J4854" s="2162" t="n">
        <v>0</v>
      </c>
      <c r="K4854" s="2162" t="n"/>
    </row>
    <row r="4855" outlineLevel="1" ht="15.75" customHeight="1">
      <c r="A4855" s="1067" t="n">
        <v>1</v>
      </c>
      <c r="B4855" s="1067" t="inlineStr">
        <is>
          <t>Serviço</t>
        </is>
      </c>
      <c r="C4855" s="1084" t="inlineStr">
        <is>
          <t>Acessórios de Banheiro/Lavabo</t>
        </is>
      </c>
      <c r="D4855" s="1084" t="inlineStr">
        <is>
          <t>Acessórios de Banheiro/Lavabo</t>
        </is>
      </c>
      <c r="E4855" s="1068" t="inlineStr">
        <is>
          <t>UN</t>
        </is>
      </c>
      <c r="F4855" s="1085" t="inlineStr"/>
      <c r="G4855" s="1069">
        <f t="array" ref="G4855">IF(B4855="insumo",_xlfn.XLOOKUP($D4855,Insumos!$B$1:$B$996,Insumos!$D$1:$D$996),"")</f>
        <v/>
      </c>
      <c r="H4855" s="1069" t="n">
        <v>1183.51</v>
      </c>
      <c r="I4855" s="2172" t="n">
        <v>0</v>
      </c>
      <c r="J4855" s="2172" t="n">
        <v>0</v>
      </c>
      <c r="K4855" s="2172" t="n"/>
    </row>
    <row r="4856" outlineLevel="2" ht="15.75" customHeight="1">
      <c r="A4856" s="10" t="n">
        <v>1</v>
      </c>
      <c r="B4856" s="10" t="inlineStr">
        <is>
          <t>Insumo</t>
        </is>
      </c>
      <c r="C4856" s="10" t="inlineStr">
        <is>
          <t>Acessórios de Banheiro/Lavabo</t>
        </is>
      </c>
      <c r="D4856" s="10" t="inlineStr">
        <is>
          <t>Porta papel higienico \ Detalhe: Cromado Vercci</t>
        </is>
      </c>
      <c r="E4856" s="11">
        <f t="array" ref="E4856">_xlfn.XLOOKUP(D4856,Insumos!B:B,Insumos!C:$C)</f>
        <v/>
      </c>
      <c r="F4856" s="14" t="n">
        <v>1</v>
      </c>
      <c r="G4856" s="92">
        <f t="array" ref="G4856">IF(B4856="insumo",_xlfn.XLOOKUP($D4856,Insumos!$B$1:$B$996,Insumos!$D$1:$D$996),"")</f>
        <v/>
      </c>
      <c r="H4856" s="92" t="n">
        <v>396.67</v>
      </c>
      <c r="I4856" s="2162" t="n">
        <v>0</v>
      </c>
      <c r="J4856" s="2162" t="n">
        <v>0</v>
      </c>
      <c r="K4856" s="2162" t="n"/>
    </row>
    <row r="4857" outlineLevel="2" ht="15.75" customHeight="1">
      <c r="A4857" s="10" t="n">
        <v>1</v>
      </c>
      <c r="B4857" s="10" t="inlineStr">
        <is>
          <t>Insumo</t>
        </is>
      </c>
      <c r="C4857" s="10" t="inlineStr">
        <is>
          <t>Acessórios de Banheiro/Lavabo</t>
        </is>
      </c>
      <c r="D4857" s="10" t="inlineStr">
        <is>
          <t>Gancho\ Detalhe: Cromado Vercci</t>
        </is>
      </c>
      <c r="E4857" s="11">
        <f t="array" ref="E4857">_xlfn.XLOOKUP(D4857,Insumos!B:B,Insumos!C:$C)</f>
        <v/>
      </c>
      <c r="F4857" s="14" t="n">
        <v>1</v>
      </c>
      <c r="G4857" s="92">
        <f t="array" ref="G4857">IF(B4857="insumo",_xlfn.XLOOKUP($D4857,Insumos!$B$1:$B$996,Insumos!$D$1:$D$996),"")</f>
        <v/>
      </c>
      <c r="H4857" s="92" t="n">
        <v>293</v>
      </c>
      <c r="I4857" s="2162" t="n">
        <v>0</v>
      </c>
      <c r="J4857" s="2162" t="n">
        <v>0</v>
      </c>
      <c r="K4857" s="2162" t="n"/>
    </row>
    <row r="4858" outlineLevel="2" ht="15.75" customHeight="1">
      <c r="A4858" s="10" t="n">
        <v>1</v>
      </c>
      <c r="B4858" s="10" t="inlineStr">
        <is>
          <t>Insumo</t>
        </is>
      </c>
      <c r="C4858" s="10" t="inlineStr">
        <is>
          <t>Acessórios de Banheiro/Lavabo</t>
        </is>
      </c>
      <c r="D4858" s="10" t="inlineStr">
        <is>
          <t>Toalheiro rosto \ Detalhe: Cromado Vercci</t>
        </is>
      </c>
      <c r="E4858" s="11">
        <f t="array" ref="E4858">_xlfn.XLOOKUP(D4858,Insumos!B:B,Insumos!C:$C)</f>
        <v/>
      </c>
      <c r="F4858" s="14" t="n">
        <v>1</v>
      </c>
      <c r="G4858" s="92">
        <f t="array" ref="G4858">IF(B4858="insumo",_xlfn.XLOOKUP($D4858,Insumos!$B$1:$B$996,Insumos!$D$1:$D$996),"")</f>
        <v/>
      </c>
      <c r="H4858" s="92" t="n">
        <v>493.84</v>
      </c>
      <c r="I4858" s="2162" t="n">
        <v>0</v>
      </c>
      <c r="J4858" s="2162" t="n">
        <v>0</v>
      </c>
      <c r="K4858" s="2162" t="n"/>
    </row>
    <row r="4859" outlineLevel="1" ht="15.75" customHeight="1">
      <c r="A4859" s="1067" t="n">
        <v>1</v>
      </c>
      <c r="B4859" s="1067" t="inlineStr">
        <is>
          <t>Serviço</t>
        </is>
      </c>
      <c r="C4859" s="1084" t="inlineStr">
        <is>
          <t>Bancada em Granito para Lavatório</t>
        </is>
      </c>
      <c r="D4859" s="1084" t="inlineStr">
        <is>
          <t>Bancada em Granito para Lavatório</t>
        </is>
      </c>
      <c r="E4859" s="1068" t="inlineStr">
        <is>
          <t>M2</t>
        </is>
      </c>
      <c r="F4859" s="1085" t="inlineStr"/>
      <c r="G4859" s="1069">
        <f t="array" ref="G4859">IF(B4859="insumo",_xlfn.XLOOKUP($D4859,Insumos!$B$1:$B$996,Insumos!$D$1:$D$996),"")</f>
        <v/>
      </c>
      <c r="H4859" s="1069" t="n">
        <v>750</v>
      </c>
      <c r="I4859" s="2172" t="n">
        <v>0</v>
      </c>
      <c r="J4859" s="2172" t="n">
        <v>0</v>
      </c>
      <c r="K4859" s="2172" t="n"/>
    </row>
    <row r="4860" outlineLevel="2" ht="18.75" customHeight="1">
      <c r="A4860" s="10" t="n">
        <v>1</v>
      </c>
      <c r="B4860" s="10" t="inlineStr">
        <is>
          <t>Insumo</t>
        </is>
      </c>
      <c r="C4860" s="10" t="inlineStr">
        <is>
          <t>Bancada em Granito para Lavatório</t>
        </is>
      </c>
      <c r="D4860" s="10" t="inlineStr">
        <is>
          <t>Tampo de Granito, para Lavatório com saia e rodamão</t>
        </is>
      </c>
      <c r="E4860" s="11">
        <f t="array" ref="E4860">_xlfn.XLOOKUP(D4860,Insumos!B:B,Insumos!C:$C)</f>
        <v/>
      </c>
      <c r="F4860" s="14" t="n">
        <v>1</v>
      </c>
      <c r="G4860" s="92">
        <f t="array" ref="G4860">IF(B4860="insumo",_xlfn.XLOOKUP($D4860,Insumos!$B$1:$B$996,Insumos!$D$1:$D$996),"")</f>
        <v/>
      </c>
      <c r="H4860" s="92" t="n">
        <v>750</v>
      </c>
      <c r="I4860" s="2162" t="n">
        <v>0</v>
      </c>
      <c r="J4860" s="2162" t="n">
        <v>0</v>
      </c>
      <c r="K4860" s="2162" t="n"/>
    </row>
    <row r="4861" outlineLevel="1" ht="15.75" customHeight="1">
      <c r="A4861" s="1067" t="n">
        <v>1</v>
      </c>
      <c r="B4861" s="1067" t="inlineStr">
        <is>
          <t>Serviço</t>
        </is>
      </c>
      <c r="C4861" s="1084" t="inlineStr">
        <is>
          <t>Bancada em Granito para Pia Cozinha</t>
        </is>
      </c>
      <c r="D4861" s="1084" t="inlineStr">
        <is>
          <t>Bancada em Granito para Pia Cozinha</t>
        </is>
      </c>
      <c r="E4861" s="1068" t="inlineStr">
        <is>
          <t>M2</t>
        </is>
      </c>
      <c r="F4861" s="1085" t="inlineStr"/>
      <c r="G4861" s="1069">
        <f t="array" ref="G4861">IF(B4861="insumo",_xlfn.XLOOKUP($D4861,Insumos!$B$1:$B$996,Insumos!$D$1:$D$996),"")</f>
        <v/>
      </c>
      <c r="H4861" s="1069" t="n">
        <v>750</v>
      </c>
      <c r="I4861" s="2172" t="n">
        <v>0</v>
      </c>
      <c r="J4861" s="2172" t="n">
        <v>0</v>
      </c>
      <c r="K4861" s="2172" t="n"/>
    </row>
    <row r="4862" outlineLevel="2" ht="15.75" customHeight="1">
      <c r="A4862" s="10" t="n">
        <v>1</v>
      </c>
      <c r="B4862" s="10" t="inlineStr">
        <is>
          <t>Insumo</t>
        </is>
      </c>
      <c r="C4862" s="10" t="inlineStr">
        <is>
          <t>Bancada em Granito para Pia Cozinha</t>
        </is>
      </c>
      <c r="D4862" s="10" t="inlineStr">
        <is>
          <t>Tampo de Granito, para pia com saia e rodamão</t>
        </is>
      </c>
      <c r="E4862" s="11">
        <f t="array" ref="E4862">_xlfn.XLOOKUP(D4862,Insumos!B:B,Insumos!C:$C)</f>
        <v/>
      </c>
      <c r="F4862" s="14" t="n">
        <v>1</v>
      </c>
      <c r="G4862" s="92">
        <f t="array" ref="G4862">IF(B4862="insumo",_xlfn.XLOOKUP($D4862,Insumos!$B$1:$B$996,Insumos!$D$1:$D$996),"")</f>
        <v/>
      </c>
      <c r="H4862" s="92" t="n">
        <v>750</v>
      </c>
      <c r="I4862" s="2162" t="n">
        <v>0</v>
      </c>
      <c r="J4862" s="2162" t="n">
        <v>0</v>
      </c>
      <c r="K4862" s="2162" t="n"/>
    </row>
    <row r="4863" outlineLevel="1" ht="15.75" customHeight="1">
      <c r="A4863" s="1067" t="n">
        <v>1</v>
      </c>
      <c r="B4863" s="1067" t="inlineStr">
        <is>
          <t>Serviço</t>
        </is>
      </c>
      <c r="C4863" s="1084" t="inlineStr">
        <is>
          <t>Bancada em Granito para Tanques</t>
        </is>
      </c>
      <c r="D4863" s="1084" t="inlineStr">
        <is>
          <t>Bancada em Granito para Tanques</t>
        </is>
      </c>
      <c r="E4863" s="1068" t="inlineStr">
        <is>
          <t>M2</t>
        </is>
      </c>
      <c r="F4863" s="1085" t="inlineStr"/>
      <c r="G4863" s="1069">
        <f t="array" ref="G4863">IF(B4863="insumo",_xlfn.XLOOKUP($D4863,Insumos!$B$1:$B$996,Insumos!$D$1:$D$996),"")</f>
        <v/>
      </c>
      <c r="H4863" s="1069" t="n">
        <v>750</v>
      </c>
      <c r="I4863" s="2172" t="n">
        <v>0</v>
      </c>
      <c r="J4863" s="2172" t="n">
        <v>0</v>
      </c>
      <c r="K4863" s="2172" t="n"/>
    </row>
    <row r="4864" outlineLevel="2" ht="15.75" customHeight="1">
      <c r="A4864" s="10" t="n">
        <v>1</v>
      </c>
      <c r="B4864" s="10" t="inlineStr">
        <is>
          <t>Insumo</t>
        </is>
      </c>
      <c r="C4864" s="10" t="inlineStr">
        <is>
          <t>Bancada em Granito para Tanques</t>
        </is>
      </c>
      <c r="D4864" s="10" t="inlineStr">
        <is>
          <t>Tampo de Granito, para tanque com saia e rodamão</t>
        </is>
      </c>
      <c r="E4864" s="11">
        <f t="array" ref="E4864">_xlfn.XLOOKUP(D4864,Insumos!B:B,Insumos!C:$C)</f>
        <v/>
      </c>
      <c r="F4864" s="14" t="n">
        <v>1</v>
      </c>
      <c r="G4864" s="92">
        <f t="array" ref="G4864">IF(B4864="insumo",_xlfn.XLOOKUP($D4864,Insumos!$B$1:$B$996,Insumos!$D$1:$D$996),"")</f>
        <v/>
      </c>
      <c r="H4864" s="92" t="n">
        <v>750</v>
      </c>
      <c r="I4864" s="2162" t="n">
        <v>0</v>
      </c>
      <c r="J4864" s="2162" t="n">
        <v>0</v>
      </c>
      <c r="K4864" s="2162" t="n"/>
    </row>
    <row r="4865" ht="15.75" customHeight="1">
      <c r="A4865" s="7" t="n">
        <v>1</v>
      </c>
      <c r="B4865" s="7" t="inlineStr">
        <is>
          <t>Etapa</t>
        </is>
      </c>
      <c r="C4865" s="7" t="inlineStr">
        <is>
          <t>Bancada em Granito para Tanques</t>
        </is>
      </c>
      <c r="D4865" s="7" t="inlineStr">
        <is>
          <t>COBERTURA</t>
        </is>
      </c>
      <c r="E4865" s="8" t="n"/>
      <c r="F4865" s="2159" t="n"/>
      <c r="G4865" s="91">
        <f t="array" ref="G4865">IF(B4865="insumo",_xlfn.XLOOKUP($D4865,Insumos!$B$1:$B$996,Insumos!$D$1:$D$996),"")</f>
        <v/>
      </c>
      <c r="H4865" s="91" t="n">
        <v>0</v>
      </c>
      <c r="I4865" s="2159" t="n">
        <v>0</v>
      </c>
      <c r="J4865" s="2159" t="n">
        <v>0</v>
      </c>
      <c r="K4865" s="2159" t="n"/>
    </row>
    <row r="4866" outlineLevel="1" ht="15.75" customHeight="1">
      <c r="A4866" s="1067" t="n">
        <v>1</v>
      </c>
      <c r="B4866" s="1067" t="inlineStr">
        <is>
          <t>Serviço</t>
        </is>
      </c>
      <c r="C4866" s="1067" t="inlineStr">
        <is>
          <t>Pergolado</t>
        </is>
      </c>
      <c r="D4866" s="1067" t="inlineStr">
        <is>
          <t>Pergolado</t>
        </is>
      </c>
      <c r="E4866" s="1068" t="inlineStr">
        <is>
          <t>UN</t>
        </is>
      </c>
      <c r="F4866" s="1067" t="n"/>
      <c r="G4866" s="1069">
        <f t="array" ref="G4866">IF(B4866="insumo",_xlfn.XLOOKUP($D4866,Insumos!$B$1:$B$996,Insumos!$D$1:$D$996),"")</f>
        <v/>
      </c>
      <c r="H4866" s="1069" t="n">
        <v>34721</v>
      </c>
      <c r="I4866" s="2161" t="n">
        <v>1</v>
      </c>
      <c r="J4866" s="2161" t="n">
        <v>34721</v>
      </c>
      <c r="K4866" s="2161" t="n"/>
    </row>
    <row r="4867" outlineLevel="2" ht="15.75" customHeight="1">
      <c r="A4867" s="10" t="n">
        <v>4</v>
      </c>
      <c r="B4867" s="10" t="inlineStr">
        <is>
          <t>Insumo</t>
        </is>
      </c>
      <c r="C4867" s="10" t="inlineStr">
        <is>
          <t>Pergolado</t>
        </is>
      </c>
      <c r="D4867" s="10" t="inlineStr">
        <is>
          <t>Policarbonato Compacto</t>
        </is>
      </c>
      <c r="E4867" s="11">
        <f t="array" ref="E4867">_xlfn.XLOOKUP(D4867,Insumos!B:B,Insumos!C:$C)</f>
        <v/>
      </c>
      <c r="F4867" s="14" t="n">
        <v>1</v>
      </c>
      <c r="G4867" s="92">
        <f t="array" ref="G4867">IF(B4867="insumo",_xlfn.XLOOKUP($D4867,Insumos!$B$1:$B$996,Insumos!$D$1:$D$996),"")</f>
        <v/>
      </c>
      <c r="H4867" s="92" t="n">
        <v>30657</v>
      </c>
      <c r="I4867" s="2162" t="n">
        <v>1</v>
      </c>
      <c r="J4867" s="2162" t="n">
        <v>30657</v>
      </c>
      <c r="K4867" s="2162" t="n"/>
    </row>
    <row r="4868" outlineLevel="2" ht="15.75" customHeight="1">
      <c r="A4868" s="10" t="n">
        <v>1</v>
      </c>
      <c r="B4868" s="10" t="inlineStr">
        <is>
          <t>Insumo</t>
        </is>
      </c>
      <c r="C4868" s="10" t="inlineStr">
        <is>
          <t>Pergolado</t>
        </is>
      </c>
      <c r="D4868" s="10" t="inlineStr">
        <is>
          <t xml:space="preserve">Viga de Sustentação para pergolado em madeira </t>
        </is>
      </c>
      <c r="E4868" s="11">
        <f t="array" ref="E4868">_xlfn.XLOOKUP(D4868,Insumos!B:B,Insumos!C:$C)</f>
        <v/>
      </c>
      <c r="F4868" s="14" t="n">
        <v>1</v>
      </c>
      <c r="G4868" s="92">
        <f t="array" ref="G4868">IF(B4868="insumo",_xlfn.XLOOKUP($D4868,Insumos!$B$1:$B$996,Insumos!$D$1:$D$996),"")</f>
        <v/>
      </c>
      <c r="H4868" s="92" t="n">
        <v>3300</v>
      </c>
      <c r="I4868" s="2162" t="n">
        <v>1</v>
      </c>
      <c r="J4868" s="2162" t="n">
        <v>3300</v>
      </c>
      <c r="K4868" s="2162" t="n"/>
    </row>
    <row r="4869" outlineLevel="2" ht="15.75" customHeight="1">
      <c r="A4869" s="10" t="n">
        <v>1</v>
      </c>
      <c r="B4869" s="10" t="inlineStr">
        <is>
          <t>Insumo</t>
        </is>
      </c>
      <c r="C4869" s="10" t="inlineStr">
        <is>
          <t>Pergolado</t>
        </is>
      </c>
      <c r="D4869" s="10" t="inlineStr">
        <is>
          <t xml:space="preserve">Pilar de Sustentação para pergolado em madeira </t>
        </is>
      </c>
      <c r="E4869" s="11">
        <f t="array" ref="E4869">_xlfn.XLOOKUP(D4869,Insumos!B:B,Insumos!C:$C)</f>
        <v/>
      </c>
      <c r="F4869" s="14" t="n">
        <v>2</v>
      </c>
      <c r="G4869" s="92">
        <f t="array" ref="G4869">IF(B4869="insumo",_xlfn.XLOOKUP($D4869,Insumos!$B$1:$B$996,Insumos!$D$1:$D$996),"")</f>
        <v/>
      </c>
      <c r="H4869" s="92" t="n">
        <v>764</v>
      </c>
      <c r="I4869" s="2162" t="n">
        <v>1</v>
      </c>
      <c r="J4869" s="2162" t="n">
        <v>764</v>
      </c>
      <c r="K4869" s="2162" t="n"/>
    </row>
    <row r="4870" outlineLevel="1" ht="15.75" customHeight="1">
      <c r="A4870" s="1067" t="n">
        <v>1</v>
      </c>
      <c r="B4870" s="1067" t="inlineStr">
        <is>
          <t>Serviço</t>
        </is>
      </c>
      <c r="C4870" s="1067" t="inlineStr">
        <is>
          <t>Estrutura Metálica para Portico com abamento em ACM- Material e mão de obra</t>
        </is>
      </c>
      <c r="D4870" s="1067" t="inlineStr">
        <is>
          <t>Estrutura Metálica para Portico com abamento em ACM- Material e mão de obra</t>
        </is>
      </c>
      <c r="E4870" s="1068" t="inlineStr">
        <is>
          <t>M</t>
        </is>
      </c>
      <c r="F4870" s="1067" t="n"/>
      <c r="G4870" s="1069">
        <f t="array" ref="G4870">IF(B4870="insumo",_xlfn.XLOOKUP($D4870,Insumos!$B$1:$B$996,Insumos!$D$1:$D$996),"")</f>
        <v/>
      </c>
      <c r="H4870" s="1069" t="n">
        <v>2320</v>
      </c>
      <c r="I4870" s="2161" t="n">
        <v>0</v>
      </c>
      <c r="J4870" s="2161" t="n">
        <v>0</v>
      </c>
      <c r="K4870" s="2161" t="n"/>
    </row>
    <row r="4871" outlineLevel="2" ht="15.75" customHeight="1">
      <c r="A4871" s="10" t="n">
        <v>1</v>
      </c>
      <c r="B4871" s="10" t="inlineStr">
        <is>
          <t>Insumo</t>
        </is>
      </c>
      <c r="C4871" s="10" t="inlineStr">
        <is>
          <t>Estrutura Metálica para Portico com abamento em ACM- Material e mão de obra</t>
        </is>
      </c>
      <c r="D4871" s="10" t="inlineStr">
        <is>
          <t>Estrutura Metálica para Portico</t>
        </is>
      </c>
      <c r="E4871" s="11">
        <f t="array" ref="E4871">_xlfn.XLOOKUP(D4871,Insumos!B:B,Insumos!C:$C)</f>
        <v/>
      </c>
      <c r="F4871" s="14" t="n">
        <v>1</v>
      </c>
      <c r="G4871" s="92">
        <f t="array" ref="G4871">IF(B4871="insumo",_xlfn.XLOOKUP($D4871,Insumos!$B$1:$B$996,Insumos!$D$1:$D$996),"")</f>
        <v/>
      </c>
      <c r="H4871" s="92" t="n">
        <v>880</v>
      </c>
      <c r="I4871" s="2162" t="n">
        <v>0</v>
      </c>
      <c r="J4871" s="2162" t="n">
        <v>0</v>
      </c>
      <c r="K4871" s="2162" t="n"/>
    </row>
    <row r="4872" outlineLevel="2" ht="15.75" customHeight="1">
      <c r="A4872" s="10" t="n">
        <v>4</v>
      </c>
      <c r="B4872" s="10" t="inlineStr">
        <is>
          <t>Insumo</t>
        </is>
      </c>
      <c r="C4872" s="10" t="inlineStr">
        <is>
          <t>Estrutura Metálica para Portico com abamento em ACM- Material e mão de obra</t>
        </is>
      </c>
      <c r="D4872" s="10" t="inlineStr">
        <is>
          <t>Acabamento em ACM para Fachadas - Material e mão de obra</t>
        </is>
      </c>
      <c r="E4872" s="11">
        <f t="array" ref="E4872">_xlfn.XLOOKUP(D4872,Insumos!B:B,Insumos!C:$C)</f>
        <v/>
      </c>
      <c r="F4872" s="14">
        <f>0.6*2</f>
        <v/>
      </c>
      <c r="G4872" s="92">
        <f t="array" ref="G4872">IF(B4872="insumo",_xlfn.XLOOKUP($D4872,Insumos!$B$1:$B$996,Insumos!$D$1:$D$996),"")</f>
        <v/>
      </c>
      <c r="H4872" s="92" t="n">
        <v>1440</v>
      </c>
      <c r="I4872" s="2162" t="n">
        <v>0</v>
      </c>
      <c r="J4872" s="2162" t="n">
        <v>0</v>
      </c>
      <c r="K4872" s="2162" t="n"/>
    </row>
    <row r="4873" outlineLevel="1" ht="15.75" customHeight="1">
      <c r="A4873" s="1067" t="n">
        <v>1</v>
      </c>
      <c r="B4873" s="1067" t="inlineStr">
        <is>
          <t>Serviço</t>
        </is>
      </c>
      <c r="C4873" s="1067" t="inlineStr">
        <is>
          <t xml:space="preserve">Claraboia em vidro laminado </t>
        </is>
      </c>
      <c r="D4873" s="1067" t="inlineStr">
        <is>
          <t xml:space="preserve">Claraboia em vidro laminado </t>
        </is>
      </c>
      <c r="E4873" s="1068" t="inlineStr">
        <is>
          <t>M2</t>
        </is>
      </c>
      <c r="F4873" s="1067" t="n"/>
      <c r="G4873" s="1069">
        <f t="array" ref="G4873">IF(B4873="insumo",_xlfn.XLOOKUP($D4873,Insumos!$B$1:$B$996,Insumos!$D$1:$D$996),"")</f>
        <v/>
      </c>
      <c r="H4873" s="1069" t="n">
        <v>1014</v>
      </c>
      <c r="I4873" s="2161" t="n">
        <v>0</v>
      </c>
      <c r="J4873" s="2161" t="n">
        <v>0</v>
      </c>
      <c r="K4873" s="2161" t="n"/>
    </row>
    <row r="4874" outlineLevel="2" ht="15.75" customHeight="1">
      <c r="A4874" s="10" t="n">
        <v>1</v>
      </c>
      <c r="B4874" s="10" t="inlineStr">
        <is>
          <t>Insumo</t>
        </is>
      </c>
      <c r="C4874" s="10" t="inlineStr">
        <is>
          <t xml:space="preserve">Claraboia em vidro laminado </t>
        </is>
      </c>
      <c r="D4874" s="10" t="inlineStr">
        <is>
          <t xml:space="preserve">Claraboia em vidro laminado </t>
        </is>
      </c>
      <c r="E4874" s="11">
        <f t="array" ref="E4874">_xlfn.XLOOKUP(D4874,Insumos!B:B,Insumos!C:$C)</f>
        <v/>
      </c>
      <c r="F4874" s="14" t="n">
        <v>1</v>
      </c>
      <c r="G4874" s="92">
        <f t="array" ref="G4874">IF(B4874="insumo",_xlfn.XLOOKUP($D4874,Insumos!$B$1:$B$996,Insumos!$D$1:$D$996),"")</f>
        <v/>
      </c>
      <c r="H4874" s="92" t="n">
        <v>1014</v>
      </c>
      <c r="I4874" s="2162" t="n">
        <v>0</v>
      </c>
      <c r="J4874" s="2162" t="n">
        <v>0</v>
      </c>
      <c r="K4874" s="2162" t="n"/>
    </row>
    <row r="4875" outlineLevel="1" ht="15.75" customHeight="1">
      <c r="A4875" s="1067" t="n">
        <v>1</v>
      </c>
      <c r="B4875" s="1067" t="inlineStr">
        <is>
          <t>Serviço</t>
        </is>
      </c>
      <c r="C4875" s="1067" t="inlineStr">
        <is>
          <t>Estrutura para cobertura em concreto</t>
        </is>
      </c>
      <c r="D4875" s="1067" t="inlineStr">
        <is>
          <t>Estrutura para cobertura em concreto</t>
        </is>
      </c>
      <c r="E4875" s="1068" t="inlineStr">
        <is>
          <t>M2</t>
        </is>
      </c>
      <c r="F4875" s="1067" t="n"/>
      <c r="G4875" s="1069">
        <f t="array" ref="G4875">IF(B4875="insumo",_xlfn.XLOOKUP($D4875,Insumos!$B$1:$B$996,Insumos!$D$1:$D$996),"")</f>
        <v/>
      </c>
      <c r="H4875" s="1069" t="n">
        <v>92.16740849999999</v>
      </c>
      <c r="I4875" s="2161" t="n">
        <v>0</v>
      </c>
      <c r="J4875" s="2161" t="n">
        <v>0</v>
      </c>
      <c r="K4875" s="2161" t="n"/>
    </row>
    <row r="4876" outlineLevel="2" ht="15.75" customHeight="1">
      <c r="A4876" s="10" t="n">
        <v>6</v>
      </c>
      <c r="B4876" s="10" t="inlineStr">
        <is>
          <t>Insumo</t>
        </is>
      </c>
      <c r="C4876" s="10" t="inlineStr">
        <is>
          <t>Estrutura para cobertura em concreto</t>
        </is>
      </c>
      <c r="D4876" s="10" t="inlineStr">
        <is>
          <t>Concreto Usinado bombeável 35MPa Convencional</t>
        </is>
      </c>
      <c r="E4876" s="11">
        <f t="array" ref="E4876">_xlfn.XLOOKUP(D4876,Insumos!B:B,Insumos!C:$C)</f>
        <v/>
      </c>
      <c r="F4876" s="14">
        <f>0.0243*3/2</f>
        <v/>
      </c>
      <c r="G4876" s="92">
        <f t="array" ref="G4876">IF(B4876="insumo",_xlfn.XLOOKUP($D4876,Insumos!$B$1:$B$996,Insumos!$D$1:$D$996),"")</f>
        <v/>
      </c>
      <c r="H4876" s="92" t="n">
        <v>22.0424085</v>
      </c>
      <c r="I4876" s="2162" t="n">
        <v>0</v>
      </c>
      <c r="J4876" s="2162" t="n">
        <v>0</v>
      </c>
      <c r="K4876" s="2162" t="n"/>
    </row>
    <row r="4877" outlineLevel="2" ht="15.75" customHeight="1">
      <c r="A4877" s="10" t="n">
        <v>4</v>
      </c>
      <c r="B4877" s="10" t="inlineStr">
        <is>
          <t>Insumo</t>
        </is>
      </c>
      <c r="C4877" s="10" t="inlineStr">
        <is>
          <t>Estrutura para cobertura em concreto</t>
        </is>
      </c>
      <c r="D4877" s="10" t="inlineStr">
        <is>
          <t>ENDURECEDOR MINERAL DE BASE CIMENTICIA PARA PISO DE CONCRETO</t>
        </is>
      </c>
      <c r="E4877" s="11">
        <f t="array" ref="E4877">_xlfn.XLOOKUP(D4877,Insumos!B:B,Insumos!C:$C)</f>
        <v/>
      </c>
      <c r="F4877" s="14">
        <f>5*3/2</f>
        <v/>
      </c>
      <c r="G4877" s="92">
        <f t="array" ref="G4877">IF(B4877="insumo",_xlfn.XLOOKUP($D4877,Insumos!$B$1:$B$996,Insumos!$D$1:$D$996),"")</f>
        <v/>
      </c>
      <c r="H4877" s="92" t="n">
        <v>70.125</v>
      </c>
      <c r="I4877" s="2162" t="n">
        <v>0</v>
      </c>
      <c r="J4877" s="2162" t="n">
        <v>0</v>
      </c>
      <c r="K4877" s="2162" t="n"/>
    </row>
    <row r="4878" outlineLevel="1" ht="15.75" customHeight="1">
      <c r="A4878" s="1067" t="n">
        <v>1</v>
      </c>
      <c r="B4878" s="1067" t="inlineStr">
        <is>
          <t>Serviço</t>
        </is>
      </c>
      <c r="C4878" s="1067" t="inlineStr">
        <is>
          <t>Estrutura e trama para cobertura em madeira</t>
        </is>
      </c>
      <c r="D4878" s="1067" t="inlineStr">
        <is>
          <t>Estrutura e trama para cobertura em madeira</t>
        </is>
      </c>
      <c r="E4878" s="1068" t="inlineStr">
        <is>
          <t>M2</t>
        </is>
      </c>
      <c r="F4878" s="1067" t="n"/>
      <c r="G4878" s="1069">
        <f t="array" ref="G4878">IF(B4878="insumo",_xlfn.XLOOKUP($D4878,Insumos!$B$1:$B$996,Insumos!$D$1:$D$996),"")</f>
        <v/>
      </c>
      <c r="H4878" s="1069" t="n">
        <v>119.77</v>
      </c>
      <c r="I4878" s="2161" t="n">
        <v>0</v>
      </c>
      <c r="J4878" s="2161" t="n">
        <v>0</v>
      </c>
      <c r="K4878" s="2161" t="n"/>
    </row>
    <row r="4879" outlineLevel="2" ht="15.75" customHeight="1">
      <c r="A4879" s="10" t="n">
        <v>1</v>
      </c>
      <c r="B4879" s="10" t="inlineStr">
        <is>
          <t>Insumo</t>
        </is>
      </c>
      <c r="C4879" s="17" t="inlineStr">
        <is>
          <t>Estrutura e trama para cobertura em madeira</t>
        </is>
      </c>
      <c r="D4879" s="17" t="inlineStr">
        <is>
          <t>Estrutura e trama para cobertura em madeira</t>
        </is>
      </c>
      <c r="E4879" s="11">
        <f t="array" ref="E4879">_xlfn.XLOOKUP(D4879,Insumos!B:B,Insumos!C:$C)</f>
        <v/>
      </c>
      <c r="F4879" s="14" t="n">
        <v>1</v>
      </c>
      <c r="G4879" s="92">
        <f t="array" ref="G4879">IF(B4879="insumo",_xlfn.XLOOKUP($D4879,Insumos!$B$1:$B$996,Insumos!$D$1:$D$996),"")</f>
        <v/>
      </c>
      <c r="H4879" s="92" t="n">
        <v>119.77</v>
      </c>
      <c r="I4879" s="2162" t="n">
        <v>0</v>
      </c>
      <c r="J4879" s="2162" t="n">
        <v>0</v>
      </c>
      <c r="K4879" s="2162" t="n"/>
    </row>
    <row r="4880" outlineLevel="1" ht="15.75" customHeight="1">
      <c r="A4880" s="1067" t="n">
        <v>1</v>
      </c>
      <c r="B4880" s="1067" t="inlineStr">
        <is>
          <t>Serviço</t>
        </is>
      </c>
      <c r="C4880" s="1067" t="inlineStr">
        <is>
          <t>Telhamento para cobertura em Fribrocimento</t>
        </is>
      </c>
      <c r="D4880" s="1067" t="inlineStr">
        <is>
          <t>Telhamento para cobertura em Fribrocimento</t>
        </is>
      </c>
      <c r="E4880" s="1068" t="inlineStr">
        <is>
          <t>M3</t>
        </is>
      </c>
      <c r="F4880" s="1067" t="n"/>
      <c r="G4880" s="1069">
        <f t="array" ref="G4880">IF(B4880="insumo",_xlfn.XLOOKUP($D4880,Insumos!$B$1:$B$996,Insumos!$D$1:$D$996),"")</f>
        <v/>
      </c>
      <c r="H4880" s="1069" t="n">
        <v>94.99745</v>
      </c>
      <c r="I4880" s="2161" t="n">
        <v>0</v>
      </c>
      <c r="J4880" s="2161" t="n">
        <v>0</v>
      </c>
      <c r="K4880" s="2161" t="n"/>
    </row>
    <row r="4881" outlineLevel="2" ht="15.75" customHeight="1">
      <c r="A4881" s="10" t="n">
        <v>2</v>
      </c>
      <c r="B4881" s="10" t="inlineStr">
        <is>
          <t>Insumo</t>
        </is>
      </c>
      <c r="C4881" s="10" t="inlineStr">
        <is>
          <t>Telhamento para cobertura em Fribrocimento</t>
        </is>
      </c>
      <c r="D4881" s="10" t="inlineStr">
        <is>
          <t>CONJUNTO ARRUELAS DE VEDACAO 5/16" PARA TELHA FIBROCIMENTO (UMA ARRUELA METALICA E UMA ARRUELA PVC - CONICAS)</t>
        </is>
      </c>
      <c r="E4881" s="11">
        <f t="array" ref="E4881">_xlfn.XLOOKUP(D4881,Insumos!B:B,Insumos!C:$C)</f>
        <v/>
      </c>
      <c r="F4881" s="14" t="n">
        <v>1.26</v>
      </c>
      <c r="G4881" s="92">
        <f t="array" ref="G4881">IF(B4881="insumo",_xlfn.XLOOKUP($D4881,Insumos!$B$1:$B$996,Insumos!$D$1:$D$996),"")</f>
        <v/>
      </c>
      <c r="H4881" s="92" t="n">
        <v>0.3276</v>
      </c>
      <c r="I4881" s="2162" t="n">
        <v>0</v>
      </c>
      <c r="J4881" s="2162" t="n">
        <v>0</v>
      </c>
      <c r="K4881" s="2162" t="n"/>
    </row>
    <row r="4882" outlineLevel="2" ht="15.75" customHeight="1">
      <c r="A4882" s="10" t="n">
        <v>2</v>
      </c>
      <c r="B4882" s="10" t="inlineStr">
        <is>
          <t>Insumo</t>
        </is>
      </c>
      <c r="C4882" s="10" t="inlineStr">
        <is>
          <t>Telhamento para cobertura em Fribrocimento</t>
        </is>
      </c>
      <c r="D4882" s="10" t="inlineStr">
        <is>
          <t>PARAFUSO ZINCADO ROSCA SOBERBA, CABECA SEXTAVADA, 5/16" X 250 MM, PARA FIXACAO DE TELHA EM MADEIRA</t>
        </is>
      </c>
      <c r="E4882" s="11">
        <f t="array" ref="E4882">_xlfn.XLOOKUP(D4882,Insumos!B:B,Insumos!C:$C)</f>
        <v/>
      </c>
      <c r="F4882" s="14" t="n">
        <v>1.26</v>
      </c>
      <c r="G4882" s="92">
        <f t="array" ref="G4882">IF(B4882="insumo",_xlfn.XLOOKUP($D4882,Insumos!$B$1:$B$996,Insumos!$D$1:$D$996),"")</f>
        <v/>
      </c>
      <c r="H4882" s="92" t="n">
        <v>5.04</v>
      </c>
      <c r="I4882" s="2162" t="n">
        <v>0</v>
      </c>
      <c r="J4882" s="2162" t="n">
        <v>0</v>
      </c>
      <c r="K4882" s="2162" t="n"/>
    </row>
    <row r="4883" outlineLevel="2" ht="15.75" customHeight="1">
      <c r="A4883" s="10" t="n">
        <v>1</v>
      </c>
      <c r="B4883" s="10" t="inlineStr">
        <is>
          <t>Insumo</t>
        </is>
      </c>
      <c r="C4883" s="10" t="inlineStr">
        <is>
          <t>Telhamento para cobertura em Fribrocimento</t>
        </is>
      </c>
      <c r="D4883" s="10" t="inlineStr">
        <is>
          <t>TELHA DE FIBROCIMENTO ONDULADA E = 6 MM, DE 2,44 X 1,10 M (SEM AMIANTO)</t>
        </is>
      </c>
      <c r="E4883" s="11">
        <f t="array" ref="E4883">_xlfn.XLOOKUP(D4883,Insumos!B:B,Insumos!C:$C)</f>
        <v/>
      </c>
      <c r="F4883" s="14" t="n">
        <v>1.357</v>
      </c>
      <c r="G4883" s="92">
        <f t="array" ref="G4883">IF(B4883="insumo",_xlfn.XLOOKUP($D4883,Insumos!$B$1:$B$996,Insumos!$D$1:$D$996),"")</f>
        <v/>
      </c>
      <c r="H4883" s="92" t="n">
        <v>89.62985</v>
      </c>
      <c r="I4883" s="2162" t="n">
        <v>0</v>
      </c>
      <c r="J4883" s="2162" t="n">
        <v>0</v>
      </c>
      <c r="K4883" s="2162" t="n"/>
    </row>
    <row r="4884" outlineLevel="1" ht="15.75" customHeight="1">
      <c r="A4884" s="1067" t="n">
        <v>1</v>
      </c>
      <c r="B4884" s="1067" t="inlineStr">
        <is>
          <t>Serviço</t>
        </is>
      </c>
      <c r="C4884" s="1067" t="inlineStr">
        <is>
          <t>Telhamento para cobertura em Telha metálica termoacústica</t>
        </is>
      </c>
      <c r="D4884" s="1067" t="inlineStr">
        <is>
          <t>Telhamento para cobertura em Telha metálica termoacústica</t>
        </is>
      </c>
      <c r="E4884" s="1068" t="inlineStr">
        <is>
          <t>M3</t>
        </is>
      </c>
      <c r="F4884" s="1067" t="n"/>
      <c r="G4884" s="1069">
        <f t="array" ref="G4884">IF(B4884="insumo",_xlfn.XLOOKUP($D4884,Insumos!$B$1:$B$996,Insumos!$D$1:$D$996),"")</f>
        <v/>
      </c>
      <c r="H4884" s="1069" t="n">
        <v>274.31143</v>
      </c>
      <c r="I4884" s="2161" t="n">
        <v>0</v>
      </c>
      <c r="J4884" s="2161" t="n">
        <v>0</v>
      </c>
      <c r="K4884" s="2161" t="n"/>
    </row>
    <row r="4885" outlineLevel="2" ht="15.75" customHeight="1">
      <c r="A4885" s="10" t="n">
        <v>2</v>
      </c>
      <c r="B4885" s="10" t="inlineStr">
        <is>
          <t>Insumo</t>
        </is>
      </c>
      <c r="C4885" s="10" t="inlineStr">
        <is>
          <t>Telhamento para cobertura em Telha metálica termoacústica</t>
        </is>
      </c>
      <c r="D4885" s="10" t="inlineStr">
        <is>
          <t>CONJUNTO ARRUELAS DE VEDACAO 5/16" PARA TELHA FIBROCIMENTO (UMA ARRUELA METALICA E UMA ARRUELA PVC - CONICAS)</t>
        </is>
      </c>
      <c r="E4885" s="11">
        <f t="array" ref="E4885">_xlfn.XLOOKUP(D4885,Insumos!B:B,Insumos!C:$C)</f>
        <v/>
      </c>
      <c r="F4885" s="14" t="n">
        <v>1.26</v>
      </c>
      <c r="G4885" s="92">
        <f t="array" ref="G4885">IF(B4885="insumo",_xlfn.XLOOKUP($D4885,Insumos!$B$1:$B$996,Insumos!$D$1:$D$996),"")</f>
        <v/>
      </c>
      <c r="H4885" s="92" t="n">
        <v>0.3276</v>
      </c>
      <c r="I4885" s="2162" t="n">
        <v>0</v>
      </c>
      <c r="J4885" s="2162" t="n">
        <v>0</v>
      </c>
      <c r="K4885" s="2162" t="n"/>
    </row>
    <row r="4886" outlineLevel="2" ht="15.75" customHeight="1">
      <c r="A4886" s="10" t="n">
        <v>2</v>
      </c>
      <c r="B4886" s="10" t="inlineStr">
        <is>
          <t>Insumo</t>
        </is>
      </c>
      <c r="C4886" s="10" t="inlineStr">
        <is>
          <t>Telhamento para cobertura em Telha metálica termoacústica</t>
        </is>
      </c>
      <c r="D4886" s="10" t="inlineStr">
        <is>
          <t>PARAFUSO ZINCADO ROSCA SOBERBA, CABECA SEXTAVADA, 5/16" X 250 MM, PARA FIXACAO DE TELHA EM MADEIRA</t>
        </is>
      </c>
      <c r="E4886" s="11">
        <f t="array" ref="E4886">_xlfn.XLOOKUP(D4886,Insumos!B:B,Insumos!C:$C)</f>
        <v/>
      </c>
      <c r="F4886" s="14" t="n">
        <v>1.26</v>
      </c>
      <c r="G4886" s="92">
        <f t="array" ref="G4886">IF(B4886="insumo",_xlfn.XLOOKUP($D4886,Insumos!$B$1:$B$996,Insumos!$D$1:$D$996),"")</f>
        <v/>
      </c>
      <c r="H4886" s="92" t="n">
        <v>5.04</v>
      </c>
      <c r="I4886" s="2162" t="n">
        <v>0</v>
      </c>
      <c r="J4886" s="2162" t="n">
        <v>0</v>
      </c>
      <c r="K4886" s="2162" t="n"/>
    </row>
    <row r="4887" outlineLevel="2" ht="15.75" customHeight="1">
      <c r="A4887" s="10" t="n">
        <v>1</v>
      </c>
      <c r="B4887" s="10" t="inlineStr">
        <is>
          <t>Insumo</t>
        </is>
      </c>
      <c r="C4887" s="10" t="inlineStr">
        <is>
          <t>Telhamento para cobertura em Telha metálica termoacústica</t>
        </is>
      </c>
      <c r="D4887" s="10" t="inlineStr">
        <is>
          <t>Isotelha Trapezoidal Térmica Sanduiche branco neve</t>
        </is>
      </c>
      <c r="E4887" s="11">
        <f t="array" ref="E4887">_xlfn.XLOOKUP(D4887,Insumos!B:B,Insumos!C:$C)</f>
        <v/>
      </c>
      <c r="F4887" s="14" t="n">
        <v>1.357</v>
      </c>
      <c r="G4887" s="92">
        <f t="array" ref="G4887">IF(B4887="insumo",_xlfn.XLOOKUP($D4887,Insumos!$B$1:$B$996,Insumos!$D$1:$D$996),"")</f>
        <v/>
      </c>
      <c r="H4887" s="92" t="n">
        <v>268.94383</v>
      </c>
      <c r="I4887" s="2162" t="n">
        <v>0</v>
      </c>
      <c r="J4887" s="2162" t="n">
        <v>0</v>
      </c>
      <c r="K4887" s="2162" t="n"/>
    </row>
    <row r="4888" outlineLevel="1" ht="15.75" customHeight="1">
      <c r="A4888" s="1067" t="n">
        <v>1</v>
      </c>
      <c r="B4888" s="1067" t="inlineStr">
        <is>
          <t>Serviço</t>
        </is>
      </c>
      <c r="C4888" s="1067" t="inlineStr">
        <is>
          <t>Calha em alumínio - 13 cm</t>
        </is>
      </c>
      <c r="D4888" s="1067" t="inlineStr">
        <is>
          <t>Calha em alumínio - 13 cm</t>
        </is>
      </c>
      <c r="E4888" s="1068" t="inlineStr">
        <is>
          <t>M</t>
        </is>
      </c>
      <c r="F4888" s="1067" t="n"/>
      <c r="G4888" s="1069">
        <f t="array" ref="G4888">IF(B4888="insumo",_xlfn.XLOOKUP($D4888,Insumos!$B$1:$B$996,Insumos!$D$1:$D$996),"")</f>
        <v/>
      </c>
      <c r="H4888" s="1069" t="n">
        <v>53.077489</v>
      </c>
      <c r="I4888" s="2161" t="n">
        <v>0</v>
      </c>
      <c r="J4888" s="2161" t="n">
        <v>0</v>
      </c>
      <c r="K4888" s="2161" t="n"/>
    </row>
    <row r="4889" outlineLevel="2" ht="15.75" customHeight="1">
      <c r="A4889" s="10" t="n">
        <v>1</v>
      </c>
      <c r="B4889" s="10" t="inlineStr">
        <is>
          <t>Insumo</t>
        </is>
      </c>
      <c r="C4889" s="10" t="inlineStr">
        <is>
          <t>Calha em alumínio - 13 cm</t>
        </is>
      </c>
      <c r="D4889" s="10" t="inlineStr">
        <is>
          <t>Calha Beiral Alumínio Com 2 Tampas Corte 13</t>
        </is>
      </c>
      <c r="E4889" s="11">
        <f t="array" ref="E4889">_xlfn.XLOOKUP(D4889,Insumos!B:B,Insumos!C:$C)</f>
        <v/>
      </c>
      <c r="F4889" s="14" t="n">
        <v>1.05</v>
      </c>
      <c r="G4889" s="92">
        <f t="array" ref="G4889">IF(B4889="insumo",_xlfn.XLOOKUP($D4889,Insumos!$B$1:$B$996,Insumos!$D$1:$D$996),"")</f>
        <v/>
      </c>
      <c r="H4889" s="92" t="n">
        <v>19.65054</v>
      </c>
      <c r="I4889" s="2162" t="n">
        <v>0</v>
      </c>
      <c r="J4889" s="2162" t="n">
        <v>0</v>
      </c>
      <c r="K4889" s="2162" t="n"/>
    </row>
    <row r="4890" outlineLevel="2" ht="15.75" customHeight="1">
      <c r="A4890" s="10" t="n">
        <v>6</v>
      </c>
      <c r="B4890" s="10" t="inlineStr">
        <is>
          <t>Insumo</t>
        </is>
      </c>
      <c r="C4890" s="10" t="inlineStr">
        <is>
          <t>Calha em alumínio - 13 cm</t>
        </is>
      </c>
      <c r="D4890" s="10" t="inlineStr">
        <is>
          <t>PREGO DE ACO POLIDO COM CABECA 18 X 27 (2 1/2 X 10)</t>
        </is>
      </c>
      <c r="E4890" s="11">
        <f t="array" ref="E4890">_xlfn.XLOOKUP(D4890,Insumos!B:B,Insumos!C:$C)</f>
        <v/>
      </c>
      <c r="F4890" s="14" t="n">
        <v>0.025</v>
      </c>
      <c r="G4890" s="92">
        <f t="array" ref="G4890">IF(B4890="insumo",_xlfn.XLOOKUP($D4890,Insumos!$B$1:$B$996,Insumos!$D$1:$D$996),"")</f>
        <v/>
      </c>
      <c r="H4890" s="92" t="n">
        <v>0.39125</v>
      </c>
      <c r="I4890" s="2162" t="n">
        <v>0</v>
      </c>
      <c r="J4890" s="2162" t="n">
        <v>0</v>
      </c>
      <c r="K4890" s="2162" t="n"/>
    </row>
    <row r="4891" outlineLevel="2" ht="15.75" customHeight="1">
      <c r="A4891" s="10" t="n">
        <v>7</v>
      </c>
      <c r="B4891" s="10" t="inlineStr">
        <is>
          <t>Insumo</t>
        </is>
      </c>
      <c r="C4891" s="10" t="inlineStr">
        <is>
          <t>Calha em alumínio - 13 cm</t>
        </is>
      </c>
      <c r="D4891" s="10" t="inlineStr">
        <is>
          <t>REBITE DE REPUXO EM ALUMINIO VAZADO, DIAMETRO 3,2 X 8 MM DE COMPRIMENTO (1KG = 1025 UNIDADES)</t>
        </is>
      </c>
      <c r="E4891" s="11">
        <f t="array" ref="E4891">_xlfn.XLOOKUP(D4891,Insumos!B:B,Insumos!C:$C)</f>
        <v/>
      </c>
      <c r="F4891" s="14" t="n">
        <v>0.0049</v>
      </c>
      <c r="G4891" s="92">
        <f t="array" ref="G4891">IF(B4891="insumo",_xlfn.XLOOKUP($D4891,Insumos!$B$1:$B$996,Insumos!$D$1:$D$996),"")</f>
        <v/>
      </c>
      <c r="H4891" s="92" t="n">
        <v>0.350399</v>
      </c>
      <c r="I4891" s="2162" t="n">
        <v>0</v>
      </c>
      <c r="J4891" s="2162" t="n">
        <v>0</v>
      </c>
      <c r="K4891" s="2162" t="n"/>
    </row>
    <row r="4892" outlineLevel="2" ht="15.75" customHeight="1">
      <c r="A4892" s="10" t="n">
        <v>10</v>
      </c>
      <c r="B4892" s="10" t="inlineStr">
        <is>
          <t>Insumo</t>
        </is>
      </c>
      <c r="C4892" s="10" t="inlineStr">
        <is>
          <t>Calha em alumínio - 13 cm</t>
        </is>
      </c>
      <c r="D4892" s="10" t="inlineStr">
        <is>
          <t>SELANTE ELASTICO MONOCOMPONENTE A BASE DE POLIURETANO (PU) PARA JUNTAS DIVERSAS</t>
        </is>
      </c>
      <c r="E4892" s="11">
        <f t="array" ref="E4892">_xlfn.XLOOKUP(D4892,Insumos!B:B,Insumos!C:$C)</f>
        <v/>
      </c>
      <c r="F4892" s="14" t="n">
        <v>0.161</v>
      </c>
      <c r="G4892" s="92">
        <f t="array" ref="G4892">IF(B4892="insumo",_xlfn.XLOOKUP($D4892,Insumos!$B$1:$B$996,Insumos!$D$1:$D$996),"")</f>
        <v/>
      </c>
      <c r="H4892" s="92" t="n">
        <v>3.3327</v>
      </c>
      <c r="I4892" s="2162" t="n">
        <v>0</v>
      </c>
      <c r="J4892" s="2162" t="n">
        <v>0</v>
      </c>
      <c r="K4892" s="2162" t="n"/>
    </row>
    <row r="4893" outlineLevel="2" ht="15.75" customHeight="1">
      <c r="A4893" s="10" t="n">
        <v>7</v>
      </c>
      <c r="B4893" s="10" t="inlineStr">
        <is>
          <t>Insumo</t>
        </is>
      </c>
      <c r="C4893" s="10" t="inlineStr">
        <is>
          <t>Calha em alumínio - 13 cm</t>
        </is>
      </c>
      <c r="D4893" s="10" t="inlineStr">
        <is>
          <t>SOLDA EM BARRA DE ESTANHO-CHUMBO 50/50</t>
        </is>
      </c>
      <c r="E4893" s="11">
        <f t="array" ref="E4893">_xlfn.XLOOKUP(D4893,Insumos!B:B,Insumos!C:$C)</f>
        <v/>
      </c>
      <c r="F4893" s="14" t="n">
        <v>0.18</v>
      </c>
      <c r="G4893" s="92">
        <f t="array" ref="G4893">IF(B4893="insumo",_xlfn.XLOOKUP($D4893,Insumos!$B$1:$B$996,Insumos!$D$1:$D$996),"")</f>
        <v/>
      </c>
      <c r="H4893" s="92" t="n">
        <v>29.3526</v>
      </c>
      <c r="I4893" s="2162" t="n">
        <v>0</v>
      </c>
      <c r="J4893" s="2162" t="n">
        <v>0</v>
      </c>
      <c r="K4893" s="2162" t="n"/>
    </row>
    <row r="4894" outlineLevel="1" ht="15.75" customHeight="1">
      <c r="A4894" s="1067" t="n">
        <v>1</v>
      </c>
      <c r="B4894" s="1067" t="inlineStr">
        <is>
          <t>Serviço</t>
        </is>
      </c>
      <c r="C4894" s="1067" t="inlineStr">
        <is>
          <t>Calha em alumínio - 16 cm</t>
        </is>
      </c>
      <c r="D4894" s="1067" t="inlineStr">
        <is>
          <t>Calha em alumínio - 16 cm</t>
        </is>
      </c>
      <c r="E4894" s="1068" t="inlineStr">
        <is>
          <t>M</t>
        </is>
      </c>
      <c r="F4894" s="1067" t="n"/>
      <c r="G4894" s="1069">
        <f t="array" ref="G4894">IF(B4894="insumo",_xlfn.XLOOKUP($D4894,Insumos!$B$1:$B$996,Insumos!$D$1:$D$996),"")</f>
        <v/>
      </c>
      <c r="H4894" s="1069" t="n">
        <v>57.612229</v>
      </c>
      <c r="I4894" s="2161" t="n">
        <v>0</v>
      </c>
      <c r="J4894" s="2161" t="n">
        <v>0</v>
      </c>
      <c r="K4894" s="2161" t="n"/>
    </row>
    <row r="4895" outlineLevel="2" ht="15.75" customHeight="1">
      <c r="A4895" s="10" t="n">
        <v>1</v>
      </c>
      <c r="B4895" s="10" t="inlineStr">
        <is>
          <t>Insumo</t>
        </is>
      </c>
      <c r="C4895" s="10" t="inlineStr">
        <is>
          <t>Calha em alumínio - 16 cm</t>
        </is>
      </c>
      <c r="D4895" s="10" t="inlineStr">
        <is>
          <t>Calha Beiral Alumínio Com 2 Tampas Corte 16</t>
        </is>
      </c>
      <c r="E4895" s="11">
        <f t="array" ref="E4895">_xlfn.XLOOKUP(D4895,Insumos!B:B,Insumos!C:$C)</f>
        <v/>
      </c>
      <c r="F4895" s="14" t="n">
        <v>1.05</v>
      </c>
      <c r="G4895" s="92">
        <f t="array" ref="G4895">IF(B4895="insumo",_xlfn.XLOOKUP($D4895,Insumos!$B$1:$B$996,Insumos!$D$1:$D$996),"")</f>
        <v/>
      </c>
      <c r="H4895" s="92" t="n">
        <v>24.18528</v>
      </c>
      <c r="I4895" s="2162" t="n">
        <v>0</v>
      </c>
      <c r="J4895" s="2162" t="n">
        <v>0</v>
      </c>
      <c r="K4895" s="2162" t="n"/>
    </row>
    <row r="4896" outlineLevel="2" ht="15.75" customHeight="1">
      <c r="A4896" s="10" t="n">
        <v>6</v>
      </c>
      <c r="B4896" s="10" t="inlineStr">
        <is>
          <t>Insumo</t>
        </is>
      </c>
      <c r="C4896" s="10" t="inlineStr">
        <is>
          <t>Calha em alumínio - 16 cm</t>
        </is>
      </c>
      <c r="D4896" s="10" t="inlineStr">
        <is>
          <t>PREGO DE ACO POLIDO COM CABECA 18 X 27 (2 1/2 X 10)</t>
        </is>
      </c>
      <c r="E4896" s="11">
        <f t="array" ref="E4896">_xlfn.XLOOKUP(D4896,Insumos!B:B,Insumos!C:$C)</f>
        <v/>
      </c>
      <c r="F4896" s="14" t="n">
        <v>0.025</v>
      </c>
      <c r="G4896" s="92">
        <f t="array" ref="G4896">IF(B4896="insumo",_xlfn.XLOOKUP($D4896,Insumos!$B$1:$B$996,Insumos!$D$1:$D$996),"")</f>
        <v/>
      </c>
      <c r="H4896" s="92" t="n">
        <v>0.39125</v>
      </c>
      <c r="I4896" s="2162" t="n">
        <v>0</v>
      </c>
      <c r="J4896" s="2162" t="n">
        <v>0</v>
      </c>
      <c r="K4896" s="2162" t="n"/>
    </row>
    <row r="4897" outlineLevel="2" ht="15.75" customHeight="1">
      <c r="A4897" s="10" t="n">
        <v>7</v>
      </c>
      <c r="B4897" s="10" t="inlineStr">
        <is>
          <t>Insumo</t>
        </is>
      </c>
      <c r="C4897" s="10" t="inlineStr">
        <is>
          <t>Calha em alumínio - 16 cm</t>
        </is>
      </c>
      <c r="D4897" s="10" t="inlineStr">
        <is>
          <t>REBITE DE REPUXO EM ALUMINIO VAZADO, DIAMETRO 3,2 X 8 MM DE COMPRIMENTO (1KG = 1025 UNIDADES)</t>
        </is>
      </c>
      <c r="E4897" s="11">
        <f t="array" ref="E4897">_xlfn.XLOOKUP(D4897,Insumos!B:B,Insumos!C:$C)</f>
        <v/>
      </c>
      <c r="F4897" s="14" t="n">
        <v>0.0049</v>
      </c>
      <c r="G4897" s="92">
        <f t="array" ref="G4897">IF(B4897="insumo",_xlfn.XLOOKUP($D4897,Insumos!$B$1:$B$996,Insumos!$D$1:$D$996),"")</f>
        <v/>
      </c>
      <c r="H4897" s="92" t="n">
        <v>0.350399</v>
      </c>
      <c r="I4897" s="2162" t="n">
        <v>0</v>
      </c>
      <c r="J4897" s="2162" t="n">
        <v>0</v>
      </c>
      <c r="K4897" s="2162" t="n"/>
    </row>
    <row r="4898" outlineLevel="2" ht="15.75" customHeight="1">
      <c r="A4898" s="10" t="n">
        <v>10</v>
      </c>
      <c r="B4898" s="10" t="inlineStr">
        <is>
          <t>Insumo</t>
        </is>
      </c>
      <c r="C4898" s="10" t="inlineStr">
        <is>
          <t>Calha em alumínio - 16 cm</t>
        </is>
      </c>
      <c r="D4898" s="10" t="inlineStr">
        <is>
          <t>SELANTE ELASTICO MONOCOMPONENTE A BASE DE POLIURETANO (PU) PARA JUNTAS DIVERSAS</t>
        </is>
      </c>
      <c r="E4898" s="11">
        <f t="array" ref="E4898">_xlfn.XLOOKUP(D4898,Insumos!B:B,Insumos!C:$C)</f>
        <v/>
      </c>
      <c r="F4898" s="14" t="n">
        <v>0.161</v>
      </c>
      <c r="G4898" s="92">
        <f t="array" ref="G4898">IF(B4898="insumo",_xlfn.XLOOKUP($D4898,Insumos!$B$1:$B$996,Insumos!$D$1:$D$996),"")</f>
        <v/>
      </c>
      <c r="H4898" s="92" t="n">
        <v>3.3327</v>
      </c>
      <c r="I4898" s="2162" t="n">
        <v>0</v>
      </c>
      <c r="J4898" s="2162" t="n">
        <v>0</v>
      </c>
      <c r="K4898" s="2162" t="n"/>
    </row>
    <row r="4899" outlineLevel="2" ht="15.75" customHeight="1">
      <c r="A4899" s="10" t="n">
        <v>7</v>
      </c>
      <c r="B4899" s="10" t="inlineStr">
        <is>
          <t>Insumo</t>
        </is>
      </c>
      <c r="C4899" s="10" t="inlineStr">
        <is>
          <t>Calha em alumínio - 16 cm</t>
        </is>
      </c>
      <c r="D4899" s="10" t="inlineStr">
        <is>
          <t>SOLDA EM BARRA DE ESTANHO-CHUMBO 50/50</t>
        </is>
      </c>
      <c r="E4899" s="11">
        <f t="array" ref="E4899">_xlfn.XLOOKUP(D4899,Insumos!B:B,Insumos!C:$C)</f>
        <v/>
      </c>
      <c r="F4899" s="14" t="n">
        <v>0.18</v>
      </c>
      <c r="G4899" s="92">
        <f t="array" ref="G4899">IF(B4899="insumo",_xlfn.XLOOKUP($D4899,Insumos!$B$1:$B$996,Insumos!$D$1:$D$996),"")</f>
        <v/>
      </c>
      <c r="H4899" s="92" t="n">
        <v>29.3526</v>
      </c>
      <c r="I4899" s="2162" t="n">
        <v>0</v>
      </c>
      <c r="J4899" s="2162" t="n">
        <v>0</v>
      </c>
      <c r="K4899" s="2162" t="n"/>
    </row>
    <row r="4900" outlineLevel="1" ht="15.75" customHeight="1">
      <c r="A4900" s="1067" t="n">
        <v>1</v>
      </c>
      <c r="B4900" s="1067" t="inlineStr">
        <is>
          <t>Serviço</t>
        </is>
      </c>
      <c r="C4900" s="1067" t="inlineStr">
        <is>
          <t>Calha em alumínio - 23,5 cm</t>
        </is>
      </c>
      <c r="D4900" s="1067" t="inlineStr">
        <is>
          <t>Calha em alumínio - 23,5 cm</t>
        </is>
      </c>
      <c r="E4900" s="1068" t="inlineStr">
        <is>
          <t>M</t>
        </is>
      </c>
      <c r="F4900" s="1067" t="n"/>
      <c r="G4900" s="1069">
        <f t="array" ref="G4900">IF(B4900="insumo",_xlfn.XLOOKUP($D4900,Insumos!$B$1:$B$996,Insumos!$D$1:$D$996),"")</f>
        <v/>
      </c>
      <c r="H4900" s="1069" t="n">
        <v>71.216449</v>
      </c>
      <c r="I4900" s="2161" t="n">
        <v>0</v>
      </c>
      <c r="J4900" s="2161" t="n">
        <v>0</v>
      </c>
      <c r="K4900" s="2161" t="n"/>
    </row>
    <row r="4901" outlineLevel="2" ht="15.75" customHeight="1">
      <c r="A4901" s="10" t="n">
        <v>1</v>
      </c>
      <c r="B4901" s="10" t="inlineStr">
        <is>
          <t>Insumo</t>
        </is>
      </c>
      <c r="C4901" s="10" t="inlineStr">
        <is>
          <t>Calha em alumínio - 23,5 cm</t>
        </is>
      </c>
      <c r="D4901" s="10" t="inlineStr">
        <is>
          <t>Calha Beiral Alumínio Com 2 Tampas Corte 25</t>
        </is>
      </c>
      <c r="E4901" s="11">
        <f t="array" ref="E4901">_xlfn.XLOOKUP(D4901,Insumos!B:B,Insumos!C:$C)</f>
        <v/>
      </c>
      <c r="F4901" s="14" t="n">
        <v>1.05</v>
      </c>
      <c r="G4901" s="92">
        <f t="array" ref="G4901">IF(B4901="insumo",_xlfn.XLOOKUP($D4901,Insumos!$B$1:$B$996,Insumos!$D$1:$D$996),"")</f>
        <v/>
      </c>
      <c r="H4901" s="92" t="n">
        <v>37.7895</v>
      </c>
      <c r="I4901" s="2162" t="n">
        <v>0</v>
      </c>
      <c r="J4901" s="2162" t="n">
        <v>0</v>
      </c>
      <c r="K4901" s="2162" t="n"/>
    </row>
    <row r="4902" outlineLevel="2" ht="15.75" customHeight="1">
      <c r="A4902" s="10" t="n">
        <v>6</v>
      </c>
      <c r="B4902" s="10" t="inlineStr">
        <is>
          <t>Insumo</t>
        </is>
      </c>
      <c r="C4902" s="10" t="inlineStr">
        <is>
          <t>Calha em alumínio - 23,5 cm</t>
        </is>
      </c>
      <c r="D4902" s="10" t="inlineStr">
        <is>
          <t>PREGO DE ACO POLIDO COM CABECA 18 X 27 (2 1/2 X 10)</t>
        </is>
      </c>
      <c r="E4902" s="11">
        <f t="array" ref="E4902">_xlfn.XLOOKUP(D4902,Insumos!B:B,Insumos!C:$C)</f>
        <v/>
      </c>
      <c r="F4902" s="14" t="n">
        <v>0.025</v>
      </c>
      <c r="G4902" s="92">
        <f t="array" ref="G4902">IF(B4902="insumo",_xlfn.XLOOKUP($D4902,Insumos!$B$1:$B$996,Insumos!$D$1:$D$996),"")</f>
        <v/>
      </c>
      <c r="H4902" s="92" t="n">
        <v>0.39125</v>
      </c>
      <c r="I4902" s="2162" t="n">
        <v>0</v>
      </c>
      <c r="J4902" s="2162" t="n">
        <v>0</v>
      </c>
      <c r="K4902" s="2162" t="n"/>
    </row>
    <row r="4903" outlineLevel="2" ht="15.75" customHeight="1">
      <c r="A4903" s="10" t="n">
        <v>7</v>
      </c>
      <c r="B4903" s="10" t="inlineStr">
        <is>
          <t>Insumo</t>
        </is>
      </c>
      <c r="C4903" s="10" t="inlineStr">
        <is>
          <t>Calha em alumínio - 23,5 cm</t>
        </is>
      </c>
      <c r="D4903" s="10" t="inlineStr">
        <is>
          <t>REBITE DE REPUXO EM ALUMINIO VAZADO, DIAMETRO 3,2 X 8 MM DE COMPRIMENTO (1KG = 1025 UNIDADES)</t>
        </is>
      </c>
      <c r="E4903" s="11">
        <f t="array" ref="E4903">_xlfn.XLOOKUP(D4903,Insumos!B:B,Insumos!C:$C)</f>
        <v/>
      </c>
      <c r="F4903" s="14" t="n">
        <v>0.0049</v>
      </c>
      <c r="G4903" s="92">
        <f t="array" ref="G4903">IF(B4903="insumo",_xlfn.XLOOKUP($D4903,Insumos!$B$1:$B$996,Insumos!$D$1:$D$996),"")</f>
        <v/>
      </c>
      <c r="H4903" s="92" t="n">
        <v>0.350399</v>
      </c>
      <c r="I4903" s="2162" t="n">
        <v>0</v>
      </c>
      <c r="J4903" s="2162" t="n">
        <v>0</v>
      </c>
      <c r="K4903" s="2162" t="n"/>
    </row>
    <row r="4904" outlineLevel="2" ht="15.75" customHeight="1">
      <c r="A4904" s="10" t="n">
        <v>10</v>
      </c>
      <c r="B4904" s="10" t="inlineStr">
        <is>
          <t>Insumo</t>
        </is>
      </c>
      <c r="C4904" s="10" t="inlineStr">
        <is>
          <t>Calha em alumínio - 23,5 cm</t>
        </is>
      </c>
      <c r="D4904" s="10" t="inlineStr">
        <is>
          <t>SELANTE ELASTICO MONOCOMPONENTE A BASE DE POLIURETANO (PU) PARA JUNTAS DIVERSAS</t>
        </is>
      </c>
      <c r="E4904" s="11">
        <f t="array" ref="E4904">_xlfn.XLOOKUP(D4904,Insumos!B:B,Insumos!C:$C)</f>
        <v/>
      </c>
      <c r="F4904" s="14" t="n">
        <v>0.161</v>
      </c>
      <c r="G4904" s="92">
        <f t="array" ref="G4904">IF(B4904="insumo",_xlfn.XLOOKUP($D4904,Insumos!$B$1:$B$996,Insumos!$D$1:$D$996),"")</f>
        <v/>
      </c>
      <c r="H4904" s="92" t="n">
        <v>3.3327</v>
      </c>
      <c r="I4904" s="2162" t="n">
        <v>0</v>
      </c>
      <c r="J4904" s="2162" t="n">
        <v>0</v>
      </c>
      <c r="K4904" s="2162" t="n"/>
    </row>
    <row r="4905" outlineLevel="2" ht="15.75" customHeight="1">
      <c r="A4905" s="10" t="n">
        <v>7</v>
      </c>
      <c r="B4905" s="10" t="inlineStr">
        <is>
          <t>Insumo</t>
        </is>
      </c>
      <c r="C4905" s="10" t="inlineStr">
        <is>
          <t>Calha em alumínio - 23,5 cm</t>
        </is>
      </c>
      <c r="D4905" s="10" t="inlineStr">
        <is>
          <t>SOLDA EM BARRA DE ESTANHO-CHUMBO 50/50</t>
        </is>
      </c>
      <c r="E4905" s="11">
        <f t="array" ref="E4905">_xlfn.XLOOKUP(D4905,Insumos!B:B,Insumos!C:$C)</f>
        <v/>
      </c>
      <c r="F4905" s="14" t="n">
        <v>0.18</v>
      </c>
      <c r="G4905" s="92">
        <f t="array" ref="G4905">IF(B4905="insumo",_xlfn.XLOOKUP($D4905,Insumos!$B$1:$B$996,Insumos!$D$1:$D$996),"")</f>
        <v/>
      </c>
      <c r="H4905" s="92" t="n">
        <v>29.3526</v>
      </c>
      <c r="I4905" s="2162" t="n">
        <v>0</v>
      </c>
      <c r="J4905" s="2162" t="n">
        <v>0</v>
      </c>
      <c r="K4905" s="2162" t="n"/>
    </row>
    <row r="4906" outlineLevel="1" ht="15.75" customHeight="1">
      <c r="A4906" s="1067" t="n">
        <v>1</v>
      </c>
      <c r="B4906" s="1067" t="inlineStr">
        <is>
          <t>Serviço</t>
        </is>
      </c>
      <c r="C4906" s="1067" t="inlineStr">
        <is>
          <t>Calha em alumínio - 30x30</t>
        </is>
      </c>
      <c r="D4906" s="1067" t="inlineStr">
        <is>
          <t>Calha em alumínio - 30x30</t>
        </is>
      </c>
      <c r="E4906" s="1068" t="inlineStr">
        <is>
          <t>M</t>
        </is>
      </c>
      <c r="F4906" s="1067" t="n"/>
      <c r="G4906" s="1069">
        <f t="array" ref="G4906">IF(B4906="insumo",_xlfn.XLOOKUP($D4906,Insumos!$B$1:$B$996,Insumos!$D$1:$D$996),"")</f>
        <v/>
      </c>
      <c r="H4906" s="1069" t="n">
        <v>82.42694899999999</v>
      </c>
      <c r="I4906" s="2161" t="n">
        <v>0</v>
      </c>
      <c r="J4906" s="2161" t="n">
        <v>0</v>
      </c>
      <c r="K4906" s="2161" t="n"/>
    </row>
    <row r="4907" outlineLevel="2" ht="15.75" customHeight="1">
      <c r="A4907" s="10" t="n">
        <v>1</v>
      </c>
      <c r="B4907" s="10" t="inlineStr">
        <is>
          <t>Insumo</t>
        </is>
      </c>
      <c r="C4907" s="10" t="inlineStr">
        <is>
          <t>Calha em alumínio - 30x30</t>
        </is>
      </c>
      <c r="D4907" s="10" t="inlineStr">
        <is>
          <t>Calha Beiral Alumínio Com 2 Tampas Corte 30</t>
        </is>
      </c>
      <c r="E4907" s="11">
        <f t="array" ref="E4907">_xlfn.XLOOKUP(D4907,Insumos!B:B,Insumos!C:$C)</f>
        <v/>
      </c>
      <c r="F4907" s="14" t="n">
        <v>1.05</v>
      </c>
      <c r="G4907" s="92">
        <f t="array" ref="G4907">IF(B4907="insumo",_xlfn.XLOOKUP($D4907,Insumos!$B$1:$B$996,Insumos!$D$1:$D$996),"")</f>
        <v/>
      </c>
      <c r="H4907" s="92" t="n">
        <v>49</v>
      </c>
      <c r="I4907" s="2162" t="n">
        <v>0</v>
      </c>
      <c r="J4907" s="2162" t="n">
        <v>0</v>
      </c>
      <c r="K4907" s="2162" t="n"/>
    </row>
    <row r="4908" outlineLevel="2" ht="15.75" customHeight="1">
      <c r="A4908" s="10" t="n">
        <v>6</v>
      </c>
      <c r="B4908" s="10" t="inlineStr">
        <is>
          <t>Insumo</t>
        </is>
      </c>
      <c r="C4908" s="10" t="inlineStr">
        <is>
          <t>Calha em alumínio - 30x30</t>
        </is>
      </c>
      <c r="D4908" s="10" t="inlineStr">
        <is>
          <t>PREGO DE ACO POLIDO COM CABECA 18 X 27 (2 1/2 X 10)</t>
        </is>
      </c>
      <c r="E4908" s="11">
        <f t="array" ref="E4908">_xlfn.XLOOKUP(D4908,Insumos!B:B,Insumos!C:$C)</f>
        <v/>
      </c>
      <c r="F4908" s="14" t="n">
        <v>0.025</v>
      </c>
      <c r="G4908" s="92">
        <f t="array" ref="G4908">IF(B4908="insumo",_xlfn.XLOOKUP($D4908,Insumos!$B$1:$B$996,Insumos!$D$1:$D$996),"")</f>
        <v/>
      </c>
      <c r="H4908" s="92" t="n">
        <v>0.39125</v>
      </c>
      <c r="I4908" s="2162" t="n">
        <v>0</v>
      </c>
      <c r="J4908" s="2162" t="n">
        <v>0</v>
      </c>
      <c r="K4908" s="2162" t="n"/>
    </row>
    <row r="4909" outlineLevel="2" ht="15.75" customHeight="1">
      <c r="A4909" s="10" t="n">
        <v>7</v>
      </c>
      <c r="B4909" s="10" t="inlineStr">
        <is>
          <t>Insumo</t>
        </is>
      </c>
      <c r="C4909" s="10" t="inlineStr">
        <is>
          <t>Calha em alumínio - 30x30</t>
        </is>
      </c>
      <c r="D4909" s="10" t="inlineStr">
        <is>
          <t>REBITE DE REPUXO EM ALUMINIO VAZADO, DIAMETRO 3,2 X 8 MM DE COMPRIMENTO (1KG = 1025 UNIDADES)</t>
        </is>
      </c>
      <c r="E4909" s="11">
        <f t="array" ref="E4909">_xlfn.XLOOKUP(D4909,Insumos!B:B,Insumos!C:$C)</f>
        <v/>
      </c>
      <c r="F4909" s="14" t="n">
        <v>0.0049</v>
      </c>
      <c r="G4909" s="92">
        <f t="array" ref="G4909">IF(B4909="insumo",_xlfn.XLOOKUP($D4909,Insumos!$B$1:$B$996,Insumos!$D$1:$D$996),"")</f>
        <v/>
      </c>
      <c r="H4909" s="92" t="n">
        <v>0.350399</v>
      </c>
      <c r="I4909" s="2162" t="n">
        <v>0</v>
      </c>
      <c r="J4909" s="2162" t="n">
        <v>0</v>
      </c>
      <c r="K4909" s="2162" t="n"/>
    </row>
    <row r="4910" outlineLevel="2" ht="15.75" customHeight="1">
      <c r="A4910" s="10" t="n">
        <v>10</v>
      </c>
      <c r="B4910" s="10" t="inlineStr">
        <is>
          <t>Insumo</t>
        </is>
      </c>
      <c r="C4910" s="10" t="inlineStr">
        <is>
          <t>Calha em alumínio - 30x30</t>
        </is>
      </c>
      <c r="D4910" s="10" t="inlineStr">
        <is>
          <t>SELANTE ELASTICO MONOCOMPONENTE A BASE DE POLIURETANO (PU) PARA JUNTAS DIVERSAS</t>
        </is>
      </c>
      <c r="E4910" s="11">
        <f t="array" ref="E4910">_xlfn.XLOOKUP(D4910,Insumos!B:B,Insumos!C:$C)</f>
        <v/>
      </c>
      <c r="F4910" s="14" t="n">
        <v>0.161</v>
      </c>
      <c r="G4910" s="92">
        <f t="array" ref="G4910">IF(B4910="insumo",_xlfn.XLOOKUP($D4910,Insumos!$B$1:$B$996,Insumos!$D$1:$D$996),"")</f>
        <v/>
      </c>
      <c r="H4910" s="92" t="n">
        <v>3.3327</v>
      </c>
      <c r="I4910" s="2162" t="n">
        <v>0</v>
      </c>
      <c r="J4910" s="2162" t="n">
        <v>0</v>
      </c>
      <c r="K4910" s="2162" t="n"/>
    </row>
    <row r="4911" outlineLevel="2" ht="15.75" customHeight="1">
      <c r="A4911" s="10" t="n">
        <v>7</v>
      </c>
      <c r="B4911" s="10" t="inlineStr">
        <is>
          <t>Insumo</t>
        </is>
      </c>
      <c r="C4911" s="10" t="inlineStr">
        <is>
          <t>Calha em alumínio - 30x30</t>
        </is>
      </c>
      <c r="D4911" s="10" t="inlineStr">
        <is>
          <t>SOLDA EM BARRA DE ESTANHO-CHUMBO 50/50</t>
        </is>
      </c>
      <c r="E4911" s="11">
        <f t="array" ref="E4911">_xlfn.XLOOKUP(D4911,Insumos!B:B,Insumos!C:$C)</f>
        <v/>
      </c>
      <c r="F4911" s="14" t="n">
        <v>0.18</v>
      </c>
      <c r="G4911" s="92">
        <f t="array" ref="G4911">IF(B4911="insumo",_xlfn.XLOOKUP($D4911,Insumos!$B$1:$B$996,Insumos!$D$1:$D$996),"")</f>
        <v/>
      </c>
      <c r="H4911" s="92" t="n">
        <v>29.3526</v>
      </c>
      <c r="I4911" s="2162" t="n">
        <v>0</v>
      </c>
      <c r="J4911" s="2162" t="n">
        <v>0</v>
      </c>
      <c r="K4911" s="2162" t="n"/>
    </row>
    <row r="4912" outlineLevel="1" ht="15.75" customHeight="1">
      <c r="A4912" s="1067" t="n">
        <v>1</v>
      </c>
      <c r="B4912" s="1067" t="inlineStr">
        <is>
          <t>Serviço</t>
        </is>
      </c>
      <c r="C4912" s="1067" t="inlineStr">
        <is>
          <t>Calha em alumínio - 94x94</t>
        </is>
      </c>
      <c r="D4912" s="1067" t="inlineStr">
        <is>
          <t>Calha em alumínio - 94x94</t>
        </is>
      </c>
      <c r="E4912" s="1068" t="inlineStr">
        <is>
          <t>M</t>
        </is>
      </c>
      <c r="F4912" s="1067" t="n"/>
      <c r="G4912" s="1069">
        <f t="array" ref="G4912">IF(B4912="insumo",_xlfn.XLOOKUP($D4912,Insumos!$B$1:$B$996,Insumos!$D$1:$D$996),"")</f>
        <v/>
      </c>
      <c r="H4912" s="1069" t="n">
        <v>96.391949</v>
      </c>
      <c r="I4912" s="2161" t="n">
        <v>0</v>
      </c>
      <c r="J4912" s="2161" t="n">
        <v>0</v>
      </c>
      <c r="K4912" s="2161" t="n"/>
    </row>
    <row r="4913" outlineLevel="2" ht="15.75" customHeight="1">
      <c r="A4913" s="10" t="n">
        <v>1</v>
      </c>
      <c r="B4913" s="10" t="inlineStr">
        <is>
          <t>Insumo</t>
        </is>
      </c>
      <c r="C4913" s="10" t="inlineStr">
        <is>
          <t>Calha em alumínio - 94x94</t>
        </is>
      </c>
      <c r="D4913" s="10" t="inlineStr">
        <is>
          <t>Calha em alumínio - 94x94</t>
        </is>
      </c>
      <c r="E4913" s="11">
        <f t="array" ref="E4913">_xlfn.XLOOKUP(D4913,Insumos!B:B,Insumos!C:$C)</f>
        <v/>
      </c>
      <c r="F4913" s="14" t="n">
        <v>1.05</v>
      </c>
      <c r="G4913" s="92">
        <f t="array" ref="G4913">IF(B4913="insumo",_xlfn.XLOOKUP($D4913,Insumos!$B$1:$B$996,Insumos!$D$1:$D$996),"")</f>
        <v/>
      </c>
      <c r="H4913" s="92" t="n">
        <v>62.965</v>
      </c>
      <c r="I4913" s="2162" t="n">
        <v>0</v>
      </c>
      <c r="J4913" s="2162" t="n">
        <v>0</v>
      </c>
      <c r="K4913" s="2162" t="n"/>
    </row>
    <row r="4914" outlineLevel="2" ht="15.75" customHeight="1">
      <c r="A4914" s="10" t="n">
        <v>6</v>
      </c>
      <c r="B4914" s="10" t="inlineStr">
        <is>
          <t>Insumo</t>
        </is>
      </c>
      <c r="C4914" s="10" t="inlineStr">
        <is>
          <t>Calha em alumínio - 94x94</t>
        </is>
      </c>
      <c r="D4914" s="10" t="inlineStr">
        <is>
          <t>PREGO DE ACO POLIDO COM CABECA 18 X 27 (2 1/2 X 10)</t>
        </is>
      </c>
      <c r="E4914" s="11">
        <f t="array" ref="E4914">_xlfn.XLOOKUP(D4914,Insumos!B:B,Insumos!C:$C)</f>
        <v/>
      </c>
      <c r="F4914" s="14" t="n">
        <v>0.025</v>
      </c>
      <c r="G4914" s="92">
        <f t="array" ref="G4914">IF(B4914="insumo",_xlfn.XLOOKUP($D4914,Insumos!$B$1:$B$996,Insumos!$D$1:$D$996),"")</f>
        <v/>
      </c>
      <c r="H4914" s="92" t="n">
        <v>0.39125</v>
      </c>
      <c r="I4914" s="2162" t="n">
        <v>0</v>
      </c>
      <c r="J4914" s="2162" t="n">
        <v>0</v>
      </c>
      <c r="K4914" s="2162" t="n"/>
    </row>
    <row r="4915" outlineLevel="2" ht="15.75" customHeight="1">
      <c r="A4915" s="10" t="n">
        <v>7</v>
      </c>
      <c r="B4915" s="10" t="inlineStr">
        <is>
          <t>Insumo</t>
        </is>
      </c>
      <c r="C4915" s="10" t="inlineStr">
        <is>
          <t>Calha em alumínio - 94x94</t>
        </is>
      </c>
      <c r="D4915" s="10" t="inlineStr">
        <is>
          <t>REBITE DE REPUXO EM ALUMINIO VAZADO, DIAMETRO 3,2 X 8 MM DE COMPRIMENTO (1KG = 1025 UNIDADES)</t>
        </is>
      </c>
      <c r="E4915" s="11">
        <f t="array" ref="E4915">_xlfn.XLOOKUP(D4915,Insumos!B:B,Insumos!C:$C)</f>
        <v/>
      </c>
      <c r="F4915" s="14" t="n">
        <v>0.0049</v>
      </c>
      <c r="G4915" s="92">
        <f t="array" ref="G4915">IF(B4915="insumo",_xlfn.XLOOKUP($D4915,Insumos!$B$1:$B$996,Insumos!$D$1:$D$996),"")</f>
        <v/>
      </c>
      <c r="H4915" s="92" t="n">
        <v>0.350399</v>
      </c>
      <c r="I4915" s="2162" t="n">
        <v>0</v>
      </c>
      <c r="J4915" s="2162" t="n">
        <v>0</v>
      </c>
      <c r="K4915" s="2162" t="n"/>
    </row>
    <row r="4916" outlineLevel="2" ht="15.75" customHeight="1">
      <c r="A4916" s="10" t="n">
        <v>10</v>
      </c>
      <c r="B4916" s="10" t="inlineStr">
        <is>
          <t>Insumo</t>
        </is>
      </c>
      <c r="C4916" s="10" t="inlineStr">
        <is>
          <t>Calha em alumínio - 94x94</t>
        </is>
      </c>
      <c r="D4916" s="10" t="inlineStr">
        <is>
          <t>SELANTE ELASTICO MONOCOMPONENTE A BASE DE POLIURETANO (PU) PARA JUNTAS DIVERSAS</t>
        </is>
      </c>
      <c r="E4916" s="11">
        <f t="array" ref="E4916">_xlfn.XLOOKUP(D4916,Insumos!B:B,Insumos!C:$C)</f>
        <v/>
      </c>
      <c r="F4916" s="14" t="n">
        <v>0.161</v>
      </c>
      <c r="G4916" s="92">
        <f t="array" ref="G4916">IF(B4916="insumo",_xlfn.XLOOKUP($D4916,Insumos!$B$1:$B$996,Insumos!$D$1:$D$996),"")</f>
        <v/>
      </c>
      <c r="H4916" s="92" t="n">
        <v>3.3327</v>
      </c>
      <c r="I4916" s="2162" t="n">
        <v>0</v>
      </c>
      <c r="J4916" s="2162" t="n">
        <v>0</v>
      </c>
      <c r="K4916" s="2162" t="n"/>
    </row>
    <row r="4917" outlineLevel="2" ht="15.75" customHeight="1">
      <c r="A4917" s="10" t="n">
        <v>7</v>
      </c>
      <c r="B4917" s="10" t="inlineStr">
        <is>
          <t>Insumo</t>
        </is>
      </c>
      <c r="C4917" s="10" t="inlineStr">
        <is>
          <t>Calha em alumínio - 94x94</t>
        </is>
      </c>
      <c r="D4917" s="10" t="inlineStr">
        <is>
          <t>SOLDA EM BARRA DE ESTANHO-CHUMBO 50/50</t>
        </is>
      </c>
      <c r="E4917" s="11">
        <f t="array" ref="E4917">_xlfn.XLOOKUP(D4917,Insumos!B:B,Insumos!C:$C)</f>
        <v/>
      </c>
      <c r="F4917" s="14" t="n">
        <v>0.18</v>
      </c>
      <c r="G4917" s="92">
        <f t="array" ref="G4917">IF(B4917="insumo",_xlfn.XLOOKUP($D4917,Insumos!$B$1:$B$996,Insumos!$D$1:$D$996),"")</f>
        <v/>
      </c>
      <c r="H4917" s="92" t="n">
        <v>29.3526</v>
      </c>
      <c r="I4917" s="2162" t="n">
        <v>0</v>
      </c>
      <c r="J4917" s="2162" t="n">
        <v>0</v>
      </c>
      <c r="K4917" s="2162" t="n"/>
    </row>
    <row r="4918" outlineLevel="1" ht="12.75" customHeight="1">
      <c r="A4918" s="1071" t="n">
        <v>1</v>
      </c>
      <c r="B4918" s="1071" t="inlineStr">
        <is>
          <t>Serviço</t>
        </is>
      </c>
      <c r="C4918" s="1071" t="inlineStr">
        <is>
          <t>Rufo em alumínio - m2</t>
        </is>
      </c>
      <c r="D4918" s="1071" t="inlineStr">
        <is>
          <t>Rufo em alumínio - m2</t>
        </is>
      </c>
      <c r="E4918" s="1072" t="inlineStr">
        <is>
          <t>M</t>
        </is>
      </c>
      <c r="F4918" s="1071" t="n"/>
      <c r="G4918" s="1073">
        <f t="array" ref="G4918">IF(B4918="insumo",_xlfn.XLOOKUP($D4918,Insumos!$B$1:$B$996,Insumos!$D$1:$D$996),"")</f>
        <v/>
      </c>
      <c r="H4918" s="1073" t="n">
        <v>163.690248</v>
      </c>
      <c r="I4918" s="2163" t="n">
        <v>0</v>
      </c>
      <c r="J4918" s="2163" t="n">
        <v>0</v>
      </c>
      <c r="K4918" s="2163" t="n"/>
    </row>
    <row r="4919" outlineLevel="2" ht="12.75" customHeight="1">
      <c r="A4919" s="82" t="n">
        <v>7</v>
      </c>
      <c r="B4919" s="82" t="inlineStr">
        <is>
          <t>Insumo</t>
        </is>
      </c>
      <c r="C4919" s="82" t="inlineStr">
        <is>
          <t>Rufo em alumínio - m2</t>
        </is>
      </c>
      <c r="D4919" s="82" t="inlineStr">
        <is>
          <t>REBITE DE REPUXO EM ALUMINIO VAZADO, DIAMETRO 3,2 X 8 MM DE COMPRIMENTO (1KG = 1025 UNIDADES)</t>
        </is>
      </c>
      <c r="E4919" s="11">
        <f t="array" ref="E4919">_xlfn.XLOOKUP(D4919,Insumos!B:B,Insumos!C:$C)</f>
        <v/>
      </c>
      <c r="F4919" s="2164" t="n">
        <v>0.0048</v>
      </c>
      <c r="G4919" s="92">
        <f t="array" ref="G4919">IF(B4919="insumo",_xlfn.XLOOKUP($D4919,Insumos!$B$1:$B$996,Insumos!$D$1:$D$996),"")</f>
        <v/>
      </c>
      <c r="H4919" s="92" t="n">
        <v>0.343248</v>
      </c>
      <c r="I4919" s="2165" t="n">
        <v>0</v>
      </c>
      <c r="J4919" s="2165" t="n">
        <v>0</v>
      </c>
      <c r="K4919" s="2165" t="n"/>
    </row>
    <row r="4920" outlineLevel="2" ht="12.75" customHeight="1">
      <c r="A4920" s="82" t="n">
        <v>2</v>
      </c>
      <c r="B4920" s="82" t="inlineStr">
        <is>
          <t>Insumo</t>
        </is>
      </c>
      <c r="C4920" s="82" t="inlineStr">
        <is>
          <t>Rufo em alumínio - m2</t>
        </is>
      </c>
      <c r="D4920" s="82" t="inlineStr">
        <is>
          <t>RUFO INTERNO/EXTERNO DE CHAPA DE ACO GALVANIZADA NUM 24, CORTE 25 CM</t>
        </is>
      </c>
      <c r="E4920" s="11">
        <f t="array" ref="E4920">_xlfn.XLOOKUP(D4920,Insumos!B:B,Insumos!C:$C)</f>
        <v/>
      </c>
      <c r="F4920" s="2164" t="n">
        <v>4.2</v>
      </c>
      <c r="G4920" s="92">
        <f t="array" ref="G4920">IF(B4920="insumo",_xlfn.XLOOKUP($D4920,Insumos!$B$1:$B$996,Insumos!$D$1:$D$996),"")</f>
        <v/>
      </c>
      <c r="H4920" s="92" t="n">
        <v>117.6</v>
      </c>
      <c r="I4920" s="2165" t="n">
        <v>0</v>
      </c>
      <c r="J4920" s="2165" t="n">
        <v>0</v>
      </c>
      <c r="K4920" s="2165" t="n"/>
    </row>
    <row r="4921" outlineLevel="2" ht="12.75" customHeight="1">
      <c r="A4921" s="82" t="n">
        <v>10</v>
      </c>
      <c r="B4921" s="82" t="inlineStr">
        <is>
          <t>Insumo</t>
        </is>
      </c>
      <c r="C4921" s="82" t="inlineStr">
        <is>
          <t>Rufo em alumínio - m2</t>
        </is>
      </c>
      <c r="D4921" s="82" t="inlineStr">
        <is>
          <t>SELANTE ELASTICO MONOCOMPONENTE A BASE DE POLIURETANO (PU) PARA JUNTAS DIVERSAS</t>
        </is>
      </c>
      <c r="E4921" s="11">
        <f t="array" ref="E4921">_xlfn.XLOOKUP(D4921,Insumos!B:B,Insumos!C:$C)</f>
        <v/>
      </c>
      <c r="F4921" s="2164" t="n">
        <v>0.792</v>
      </c>
      <c r="G4921" s="92">
        <f t="array" ref="G4921">IF(B4921="insumo",_xlfn.XLOOKUP($D4921,Insumos!$B$1:$B$996,Insumos!$D$1:$D$996),"")</f>
        <v/>
      </c>
      <c r="H4921" s="92" t="n">
        <v>16.3944</v>
      </c>
      <c r="I4921" s="2165" t="n">
        <v>0</v>
      </c>
      <c r="J4921" s="2165" t="n">
        <v>0</v>
      </c>
      <c r="K4921" s="2165" t="n"/>
    </row>
    <row r="4922" outlineLevel="2" ht="12.75" customHeight="1">
      <c r="A4922" s="82" t="n">
        <v>7</v>
      </c>
      <c r="B4922" s="82" t="inlineStr">
        <is>
          <t>Insumo</t>
        </is>
      </c>
      <c r="C4922" s="82" t="inlineStr">
        <is>
          <t>Rufo em alumínio - m2</t>
        </is>
      </c>
      <c r="D4922" s="82" t="inlineStr">
        <is>
          <t>SOLDA EM BARRA DE ESTANHO-CHUMBO 50/50</t>
        </is>
      </c>
      <c r="E4922" s="11">
        <f t="array" ref="E4922">_xlfn.XLOOKUP(D4922,Insumos!B:B,Insumos!C:$C)</f>
        <v/>
      </c>
      <c r="F4922" s="2164" t="n">
        <v>0.18</v>
      </c>
      <c r="G4922" s="92">
        <f t="array" ref="G4922">IF(B4922="insumo",_xlfn.XLOOKUP($D4922,Insumos!$B$1:$B$996,Insumos!$D$1:$D$996),"")</f>
        <v/>
      </c>
      <c r="H4922" s="92" t="n">
        <v>29.3526</v>
      </c>
      <c r="I4922" s="2165" t="n">
        <v>0</v>
      </c>
      <c r="J4922" s="2165" t="n">
        <v>0</v>
      </c>
      <c r="K4922" s="2165" t="n"/>
    </row>
    <row r="4923" outlineLevel="1" ht="15.75" customHeight="1">
      <c r="A4923" s="1067" t="n">
        <v>1</v>
      </c>
      <c r="B4923" s="1067" t="inlineStr">
        <is>
          <t>Serviço</t>
        </is>
      </c>
      <c r="C4923" s="1067" t="inlineStr">
        <is>
          <t>Rufo em alumínio</t>
        </is>
      </c>
      <c r="D4923" s="1067" t="inlineStr">
        <is>
          <t>Rufo em alumínio</t>
        </is>
      </c>
      <c r="E4923" s="1068" t="inlineStr">
        <is>
          <t>M</t>
        </is>
      </c>
      <c r="F4923" s="1067" t="n"/>
      <c r="G4923" s="1069">
        <f t="array" ref="G4923">IF(B4923="insumo",_xlfn.XLOOKUP($D4923,Insumos!$B$1:$B$996,Insumos!$D$1:$D$996),"")</f>
        <v/>
      </c>
      <c r="H4923" s="1069" t="n">
        <v>40.922562</v>
      </c>
      <c r="I4923" s="2161" t="n">
        <v>0</v>
      </c>
      <c r="J4923" s="2161" t="n">
        <v>0</v>
      </c>
      <c r="K4923" s="2161" t="n"/>
    </row>
    <row r="4924" outlineLevel="2" ht="15.75" customHeight="1">
      <c r="A4924" s="10" t="n">
        <v>7</v>
      </c>
      <c r="B4924" s="10" t="inlineStr">
        <is>
          <t>Insumo</t>
        </is>
      </c>
      <c r="C4924" s="10" t="inlineStr">
        <is>
          <t>Rufo em alumínio</t>
        </is>
      </c>
      <c r="D4924" s="10" t="inlineStr">
        <is>
          <t>REBITE DE REPUXO EM ALUMINIO VAZADO, DIAMETRO 3,2 X 8 MM DE COMPRIMENTO (1KG = 1025 UNIDADES)</t>
        </is>
      </c>
      <c r="E4924" s="11">
        <f t="array" ref="E4924">_xlfn.XLOOKUP(D4924,Insumos!B:B,Insumos!C:$C)</f>
        <v/>
      </c>
      <c r="F4924" s="14" t="n">
        <v>0.0012</v>
      </c>
      <c r="G4924" s="92">
        <f t="array" ref="G4924">IF(B4924="insumo",_xlfn.XLOOKUP($D4924,Insumos!$B$1:$B$996,Insumos!$D$1:$D$996),"")</f>
        <v/>
      </c>
      <c r="H4924" s="92" t="n">
        <v>0.085812</v>
      </c>
      <c r="I4924" s="2162" t="n">
        <v>0</v>
      </c>
      <c r="J4924" s="2162" t="n">
        <v>0</v>
      </c>
      <c r="K4924" s="2162" t="n"/>
    </row>
    <row r="4925" outlineLevel="2" ht="15.75" customHeight="1">
      <c r="A4925" s="10" t="n">
        <v>2</v>
      </c>
      <c r="B4925" s="10" t="inlineStr">
        <is>
          <t>Insumo</t>
        </is>
      </c>
      <c r="C4925" s="10" t="inlineStr">
        <is>
          <t>Rufo em alumínio</t>
        </is>
      </c>
      <c r="D4925" s="10" t="inlineStr">
        <is>
          <t>RUFO INTERNO/EXTERNO DE CHAPA DE ACO GALVANIZADA NUM 24, CORTE 25 CM</t>
        </is>
      </c>
      <c r="E4925" s="11">
        <f t="array" ref="E4925">_xlfn.XLOOKUP(D4925,Insumos!B:B,Insumos!C:$C)</f>
        <v/>
      </c>
      <c r="F4925" s="14" t="n">
        <v>1.05</v>
      </c>
      <c r="G4925" s="92">
        <f t="array" ref="G4925">IF(B4925="insumo",_xlfn.XLOOKUP($D4925,Insumos!$B$1:$B$996,Insumos!$D$1:$D$996),"")</f>
        <v/>
      </c>
      <c r="H4925" s="92" t="n">
        <v>29.4</v>
      </c>
      <c r="I4925" s="2162" t="n">
        <v>0</v>
      </c>
      <c r="J4925" s="2162" t="n">
        <v>0</v>
      </c>
      <c r="K4925" s="2162" t="n"/>
    </row>
    <row r="4926" outlineLevel="2" ht="15.75" customHeight="1">
      <c r="A4926" s="10" t="n">
        <v>10</v>
      </c>
      <c r="B4926" s="10" t="inlineStr">
        <is>
          <t>Insumo</t>
        </is>
      </c>
      <c r="C4926" s="10" t="inlineStr">
        <is>
          <t>Rufo em alumínio</t>
        </is>
      </c>
      <c r="D4926" s="10" t="inlineStr">
        <is>
          <t>SELANTE ELASTICO MONOCOMPONENTE A BASE DE POLIURETANO (PU) PARA JUNTAS DIVERSAS</t>
        </is>
      </c>
      <c r="E4926" s="11">
        <f t="array" ref="E4926">_xlfn.XLOOKUP(D4926,Insumos!B:B,Insumos!C:$C)</f>
        <v/>
      </c>
      <c r="F4926" s="14" t="n">
        <v>0.198</v>
      </c>
      <c r="G4926" s="92">
        <f t="array" ref="G4926">IF(B4926="insumo",_xlfn.XLOOKUP($D4926,Insumos!$B$1:$B$996,Insumos!$D$1:$D$996),"")</f>
        <v/>
      </c>
      <c r="H4926" s="92" t="n">
        <v>4.0986</v>
      </c>
      <c r="I4926" s="2162" t="n">
        <v>0</v>
      </c>
      <c r="J4926" s="2162" t="n">
        <v>0</v>
      </c>
      <c r="K4926" s="2162" t="n"/>
    </row>
    <row r="4927" outlineLevel="2" ht="15.75" customHeight="1">
      <c r="A4927" s="10" t="n">
        <v>7</v>
      </c>
      <c r="B4927" s="10" t="inlineStr">
        <is>
          <t>Insumo</t>
        </is>
      </c>
      <c r="C4927" s="10" t="inlineStr">
        <is>
          <t>Rufo em alumínio</t>
        </is>
      </c>
      <c r="D4927" s="10" t="inlineStr">
        <is>
          <t>SOLDA EM BARRA DE ESTANHO-CHUMBO 50/50</t>
        </is>
      </c>
      <c r="E4927" s="11">
        <f t="array" ref="E4927">_xlfn.XLOOKUP(D4927,Insumos!B:B,Insumos!C:$C)</f>
        <v/>
      </c>
      <c r="F4927" s="14" t="n">
        <v>0.045</v>
      </c>
      <c r="G4927" s="92">
        <f t="array" ref="G4927">IF(B4927="insumo",_xlfn.XLOOKUP($D4927,Insumos!$B$1:$B$996,Insumos!$D$1:$D$996),"")</f>
        <v/>
      </c>
      <c r="H4927" s="92" t="n">
        <v>7.33815</v>
      </c>
      <c r="I4927" s="2162" t="n">
        <v>0</v>
      </c>
      <c r="J4927" s="2162" t="n">
        <v>0</v>
      </c>
      <c r="K4927" s="2162" t="n"/>
    </row>
    <row r="4928" outlineLevel="1" ht="15.75" customHeight="1">
      <c r="A4928" s="1067" t="n">
        <v>1</v>
      </c>
      <c r="B4928" s="1067" t="inlineStr">
        <is>
          <t>Serviço</t>
        </is>
      </c>
      <c r="C4928" s="1067" t="inlineStr">
        <is>
          <t>Pergolado com 2 pilares sustentação</t>
        </is>
      </c>
      <c r="D4928" s="1067" t="inlineStr">
        <is>
          <t>Pergolado com 2 pilares sustentação</t>
        </is>
      </c>
      <c r="E4928" s="1068" t="inlineStr">
        <is>
          <t>UN</t>
        </is>
      </c>
      <c r="F4928" s="1067" t="n"/>
      <c r="G4928" s="1069" t="n"/>
      <c r="H4928" s="1069" t="n">
        <v>31541.0873362445</v>
      </c>
      <c r="I4928" s="2161" t="n">
        <v>0</v>
      </c>
      <c r="J4928" s="2161" t="n">
        <v>0</v>
      </c>
      <c r="K4928" s="2161" t="n"/>
    </row>
    <row r="4929" outlineLevel="2" ht="15.75" customHeight="1">
      <c r="A4929" s="10" t="n">
        <v>4</v>
      </c>
      <c r="B4929" s="10" t="inlineStr">
        <is>
          <t>Insumo</t>
        </is>
      </c>
      <c r="C4929" s="10" t="inlineStr">
        <is>
          <t>Pergolado com 2 pilares sustentação</t>
        </is>
      </c>
      <c r="D4929" s="10" t="inlineStr">
        <is>
          <t>Policarbonato Compacto</t>
        </is>
      </c>
      <c r="E4929" s="11">
        <f t="array" ref="E4929">_xlfn.XLOOKUP(D4929,Insumos!B:B,Insumos!C:$C)</f>
        <v/>
      </c>
      <c r="F4929" s="14" t="n">
        <v>1</v>
      </c>
      <c r="G4929" s="92">
        <f t="array" ref="G4929">IF(B4929="insumo",_xlfn.XLOOKUP($D4929,Insumos!$B$1:$B$996,Insumos!$D$1:$D$996),"")</f>
        <v/>
      </c>
      <c r="H4929" s="92" t="n">
        <v>30657</v>
      </c>
      <c r="I4929" s="2162" t="n">
        <v>0</v>
      </c>
      <c r="J4929" s="2162" t="n">
        <v>0</v>
      </c>
      <c r="K4929" s="2162" t="n"/>
    </row>
    <row r="4930" outlineLevel="2" ht="15.75" customHeight="1">
      <c r="A4930" s="10" t="n">
        <v>3</v>
      </c>
      <c r="B4930" s="10" t="inlineStr">
        <is>
          <t>Insumo</t>
        </is>
      </c>
      <c r="C4930" s="10" t="inlineStr">
        <is>
          <t>Pergolado com 2 pilares sustentação</t>
        </is>
      </c>
      <c r="D4930" s="10" t="inlineStr">
        <is>
          <t>Estrutura horizontal</t>
        </is>
      </c>
      <c r="E4930" s="11">
        <f t="array" ref="E4930">_xlfn.XLOOKUP(D4930,Insumos!B:B,Insumos!C:$C)</f>
        <v/>
      </c>
      <c r="F4930" s="14" t="n">
        <v>1</v>
      </c>
      <c r="G4930" s="92">
        <f t="array" ref="G4930">IF(B4930="insumo",_xlfn.XLOOKUP($D4930,Insumos!$B$1:$B$996,Insumos!$D$1:$D$996),"")</f>
        <v/>
      </c>
      <c r="H4930" s="92" t="n">
        <v>120.087336244541</v>
      </c>
      <c r="I4930" s="2162" t="n">
        <v>0</v>
      </c>
      <c r="J4930" s="2162" t="n">
        <v>0</v>
      </c>
      <c r="K4930" s="2162" t="n"/>
    </row>
    <row r="4931" outlineLevel="2" ht="15.75" customHeight="1">
      <c r="A4931" s="10" t="n">
        <v>2</v>
      </c>
      <c r="B4931" s="10" t="inlineStr">
        <is>
          <t>Insumo</t>
        </is>
      </c>
      <c r="C4931" s="10" t="inlineStr">
        <is>
          <t>Pergolado com 2 pilares sustentação</t>
        </is>
      </c>
      <c r="D4931" s="10" t="inlineStr">
        <is>
          <t xml:space="preserve"> Pilar de Sustentação</t>
        </is>
      </c>
      <c r="E4931" s="11">
        <f t="array" ref="E4931">_xlfn.XLOOKUP(D4931,Insumos!B:B,Insumos!C:$C)</f>
        <v/>
      </c>
      <c r="F4931" s="14" t="n">
        <v>2</v>
      </c>
      <c r="G4931" s="92">
        <f t="array" ref="G4931">IF(B4931="insumo",_xlfn.XLOOKUP($D4931,Insumos!$B$1:$B$996,Insumos!$D$1:$D$996),"")</f>
        <v/>
      </c>
      <c r="H4931" s="92" t="n">
        <v>764</v>
      </c>
      <c r="I4931" s="2162" t="n">
        <v>0</v>
      </c>
      <c r="J4931" s="2162" t="n">
        <v>0</v>
      </c>
      <c r="K4931" s="2162" t="n"/>
    </row>
    <row r="4932" outlineLevel="1" ht="15.75" customHeight="1">
      <c r="A4932" s="1067" t="n">
        <v>1</v>
      </c>
      <c r="B4932" s="1067" t="inlineStr">
        <is>
          <t>Serviço</t>
        </is>
      </c>
      <c r="C4932" s="1067" t="inlineStr">
        <is>
          <t>Pergolado com 4 pilares sustentação</t>
        </is>
      </c>
      <c r="D4932" s="1067" t="inlineStr">
        <is>
          <t>Pergolado com 4 pilares sustentação</t>
        </is>
      </c>
      <c r="E4932" s="1068" t="inlineStr">
        <is>
          <t>UN</t>
        </is>
      </c>
      <c r="F4932" s="1067" t="n"/>
      <c r="G4932" s="1069" t="n"/>
      <c r="H4932" s="1069" t="n">
        <v>32305.0873362445</v>
      </c>
      <c r="I4932" s="2161" t="n">
        <v>0</v>
      </c>
      <c r="J4932" s="2161" t="n">
        <v>0</v>
      </c>
      <c r="K4932" s="2161" t="n"/>
    </row>
    <row r="4933" outlineLevel="2" ht="15.75" customHeight="1">
      <c r="A4933" s="10" t="n">
        <v>4</v>
      </c>
      <c r="B4933" s="10" t="inlineStr">
        <is>
          <t>Insumo</t>
        </is>
      </c>
      <c r="C4933" s="10" t="inlineStr">
        <is>
          <t>Pergolado com 4 pilares sustentação</t>
        </is>
      </c>
      <c r="D4933" s="10" t="inlineStr">
        <is>
          <t>Policarbonato Compacto</t>
        </is>
      </c>
      <c r="E4933" s="11">
        <f t="array" ref="E4933">_xlfn.XLOOKUP(D4933,Insumos!B:B,Insumos!C:$C)</f>
        <v/>
      </c>
      <c r="F4933" s="14" t="n">
        <v>1</v>
      </c>
      <c r="G4933" s="92">
        <f t="array" ref="G4933">IF(B4933="insumo",_xlfn.XLOOKUP($D4933,Insumos!$B$1:$B$996,Insumos!$D$1:$D$996),"")</f>
        <v/>
      </c>
      <c r="H4933" s="92" t="n">
        <v>30657</v>
      </c>
      <c r="I4933" s="2162" t="n">
        <v>0</v>
      </c>
      <c r="J4933" s="2162" t="n">
        <v>0</v>
      </c>
      <c r="K4933" s="2162" t="n"/>
    </row>
    <row r="4934" outlineLevel="2" ht="15.75" customHeight="1">
      <c r="A4934" s="10" t="n">
        <v>3</v>
      </c>
      <c r="B4934" s="10" t="inlineStr">
        <is>
          <t>Insumo</t>
        </is>
      </c>
      <c r="C4934" s="10" t="inlineStr">
        <is>
          <t>Pergolado com 4 pilares sustentação</t>
        </is>
      </c>
      <c r="D4934" s="10" t="inlineStr">
        <is>
          <t>Estrutura horizontal</t>
        </is>
      </c>
      <c r="E4934" s="11">
        <f t="array" ref="E4934">_xlfn.XLOOKUP(D4934,Insumos!B:B,Insumos!C:$C)</f>
        <v/>
      </c>
      <c r="F4934" s="14" t="n">
        <v>1</v>
      </c>
      <c r="G4934" s="92">
        <f t="array" ref="G4934">IF(B4934="insumo",_xlfn.XLOOKUP($D4934,Insumos!$B$1:$B$996,Insumos!$D$1:$D$996),"")</f>
        <v/>
      </c>
      <c r="H4934" s="92" t="n">
        <v>120.087336244541</v>
      </c>
      <c r="I4934" s="2162" t="n">
        <v>0</v>
      </c>
      <c r="J4934" s="2162" t="n">
        <v>0</v>
      </c>
      <c r="K4934" s="2162" t="n"/>
    </row>
    <row r="4935" outlineLevel="2" ht="15.75" customHeight="1">
      <c r="A4935" s="10" t="n">
        <v>2</v>
      </c>
      <c r="B4935" s="10" t="inlineStr">
        <is>
          <t>Insumo</t>
        </is>
      </c>
      <c r="C4935" s="10" t="inlineStr">
        <is>
          <t>Pergolado com 4 pilares sustentação</t>
        </is>
      </c>
      <c r="D4935" s="10" t="inlineStr">
        <is>
          <t xml:space="preserve"> Pilar de Sustentação</t>
        </is>
      </c>
      <c r="E4935" s="11">
        <f t="array" ref="E4935">_xlfn.XLOOKUP(D4935,Insumos!B:B,Insumos!C:$C)</f>
        <v/>
      </c>
      <c r="F4935" s="14" t="n">
        <v>4</v>
      </c>
      <c r="G4935" s="92">
        <f t="array" ref="G4935">IF(B4935="insumo",_xlfn.XLOOKUP($D4935,Insumos!$B$1:$B$996,Insumos!$D$1:$D$996),"")</f>
        <v/>
      </c>
      <c r="H4935" s="92" t="n">
        <v>1528</v>
      </c>
      <c r="I4935" s="2162" t="n">
        <v>0</v>
      </c>
      <c r="J4935" s="2162" t="n">
        <v>0</v>
      </c>
      <c r="K4935" s="2162" t="n"/>
    </row>
    <row r="4936" outlineLevel="1" ht="15.75" customHeight="1">
      <c r="A4936" s="1067" t="n">
        <v>1</v>
      </c>
      <c r="B4936" s="1067" t="inlineStr">
        <is>
          <t>Serviço</t>
        </is>
      </c>
      <c r="C4936" s="1067" t="inlineStr">
        <is>
          <t>Pergolado sem pilares sustentação</t>
        </is>
      </c>
      <c r="D4936" s="1067" t="inlineStr">
        <is>
          <t>Pergolado sem pilares sustentação</t>
        </is>
      </c>
      <c r="E4936" s="1068" t="inlineStr">
        <is>
          <t>UN</t>
        </is>
      </c>
      <c r="F4936" s="1067" t="n"/>
      <c r="G4936" s="1069" t="n"/>
      <c r="H4936" s="1069" t="n">
        <v>30777.0873362445</v>
      </c>
      <c r="I4936" s="2161" t="n">
        <v>0</v>
      </c>
      <c r="J4936" s="2161" t="n">
        <v>0</v>
      </c>
      <c r="K4936" s="2161" t="n"/>
    </row>
    <row r="4937" outlineLevel="2" ht="15.75" customHeight="1">
      <c r="A4937" s="10" t="n">
        <v>4</v>
      </c>
      <c r="B4937" s="10" t="inlineStr">
        <is>
          <t>Insumo</t>
        </is>
      </c>
      <c r="C4937" s="10" t="inlineStr">
        <is>
          <t>Pergolado sem pilares sustentação</t>
        </is>
      </c>
      <c r="D4937" s="10" t="inlineStr">
        <is>
          <t>Policarbonato Compacto</t>
        </is>
      </c>
      <c r="E4937" s="11">
        <f t="array" ref="E4937">_xlfn.XLOOKUP(D4937,Insumos!B:B,Insumos!C:$C)</f>
        <v/>
      </c>
      <c r="F4937" s="14" t="n">
        <v>1</v>
      </c>
      <c r="G4937" s="92">
        <f t="array" ref="G4937">IF(B4937="insumo",_xlfn.XLOOKUP($D4937,Insumos!$B$1:$B$996,Insumos!$D$1:$D$996),"")</f>
        <v/>
      </c>
      <c r="H4937" s="92" t="n">
        <v>30657</v>
      </c>
      <c r="I4937" s="2162" t="n">
        <v>0</v>
      </c>
      <c r="J4937" s="2162" t="n">
        <v>0</v>
      </c>
      <c r="K4937" s="2162" t="n"/>
    </row>
    <row r="4938" outlineLevel="2" ht="15.75" customHeight="1">
      <c r="A4938" s="10" t="n">
        <v>3</v>
      </c>
      <c r="B4938" s="10" t="inlineStr">
        <is>
          <t>Insumo</t>
        </is>
      </c>
      <c r="C4938" s="10" t="inlineStr">
        <is>
          <t>Pergolado sem pilares sustentação</t>
        </is>
      </c>
      <c r="D4938" s="10" t="inlineStr">
        <is>
          <t>Estrutura horizontal</t>
        </is>
      </c>
      <c r="E4938" s="11">
        <f t="array" ref="E4938">_xlfn.XLOOKUP(D4938,Insumos!B:B,Insumos!C:$C)</f>
        <v/>
      </c>
      <c r="F4938" s="14" t="n">
        <v>1</v>
      </c>
      <c r="G4938" s="92">
        <f t="array" ref="G4938">IF(B4938="insumo",_xlfn.XLOOKUP($D4938,Insumos!$B$1:$B$996,Insumos!$D$1:$D$996),"")</f>
        <v/>
      </c>
      <c r="H4938" s="92" t="n">
        <v>120.087336244541</v>
      </c>
      <c r="I4938" s="2162" t="n">
        <v>0</v>
      </c>
      <c r="J4938" s="2162" t="n">
        <v>0</v>
      </c>
      <c r="K4938" s="2162" t="n"/>
    </row>
    <row r="4939" outlineLevel="1" ht="15.75" customHeight="1">
      <c r="A4939" s="1067" t="n">
        <v>1</v>
      </c>
      <c r="B4939" s="1067" t="inlineStr">
        <is>
          <t>Serviço</t>
        </is>
      </c>
      <c r="C4939" s="1067" t="inlineStr">
        <is>
          <t>Mão de obra coberturas</t>
        </is>
      </c>
      <c r="D4939" s="1067" t="inlineStr">
        <is>
          <t>Mão de obra coberturas</t>
        </is>
      </c>
      <c r="E4939" s="1068" t="inlineStr">
        <is>
          <t>M2</t>
        </is>
      </c>
      <c r="F4939" s="1075" t="n"/>
      <c r="G4939" s="1069">
        <f t="array" ref="G4939">IF(B4939="insumo",_xlfn.XLOOKUP($D4939,Insumos!$B$1:$B$996,Insumos!$D$1:$D$996),"")</f>
        <v/>
      </c>
      <c r="H4939" s="1069" t="n">
        <v>220</v>
      </c>
      <c r="I4939" s="2161" t="n">
        <v>0</v>
      </c>
      <c r="J4939" s="2161" t="n">
        <v>0</v>
      </c>
      <c r="K4939" s="2161" t="n"/>
    </row>
    <row r="4940" outlineLevel="2" ht="15.75" customHeight="1">
      <c r="A4940" s="10" t="n">
        <v>1</v>
      </c>
      <c r="B4940" s="10" t="inlineStr">
        <is>
          <t>Insumo</t>
        </is>
      </c>
      <c r="C4940" s="10" t="inlineStr">
        <is>
          <t>Mão de obra coberturas</t>
        </is>
      </c>
      <c r="D4940" s="10" t="inlineStr">
        <is>
          <t>Mão de obra coberturas</t>
        </is>
      </c>
      <c r="E4940" s="11">
        <f t="array" ref="E4940">_xlfn.XLOOKUP(D4940,Insumos!B:B,Insumos!C:$C)</f>
        <v/>
      </c>
      <c r="F4940" s="14" t="n">
        <v>1</v>
      </c>
      <c r="G4940" s="92">
        <f t="array" ref="G4940">IF(B4940="insumo",_xlfn.XLOOKUP($D4940,Insumos!$B$1:$B$996,Insumos!$D$1:$D$996),"")</f>
        <v/>
      </c>
      <c r="H4940" s="92" t="n">
        <v>220</v>
      </c>
      <c r="I4940" s="2162" t="n">
        <v>0</v>
      </c>
      <c r="J4940" s="2162" t="n">
        <v>0</v>
      </c>
      <c r="K4940" s="2162" t="n"/>
    </row>
    <row r="4941" ht="15.75" customHeight="1">
      <c r="A4941" s="7" t="n">
        <v>1</v>
      </c>
      <c r="B4941" s="7" t="inlineStr">
        <is>
          <t>Etapa</t>
        </is>
      </c>
      <c r="C4941" s="7" t="inlineStr">
        <is>
          <t>Mão de obra coberturas</t>
        </is>
      </c>
      <c r="D4941" s="7" t="inlineStr">
        <is>
          <t>PAVIMENTAÇÃO EXTERNA</t>
        </is>
      </c>
      <c r="E4941" s="8" t="n"/>
      <c r="F4941" s="2159" t="n"/>
      <c r="G4941" s="91">
        <f t="array" ref="G4941">IF(B4941="insumo",_xlfn.XLOOKUP($D4941,Insumos!$B$1:$B$996,Insumos!$D$1:$D$996),"")</f>
        <v/>
      </c>
      <c r="H4941" s="91" t="n">
        <v>0</v>
      </c>
      <c r="I4941" s="2159" t="n">
        <v>0</v>
      </c>
      <c r="J4941" s="2159" t="n">
        <v>0</v>
      </c>
      <c r="K4941" s="2159" t="n"/>
    </row>
    <row r="4942" outlineLevel="1" ht="15.75" customHeight="1">
      <c r="A4942" s="1067" t="n">
        <v>1</v>
      </c>
      <c r="B4942" s="1067" t="inlineStr">
        <is>
          <t>Serviço</t>
        </is>
      </c>
      <c r="C4942" s="1067" t="inlineStr">
        <is>
          <t>Execução Rede Elétrica  (Produtividade 300m/dia)</t>
        </is>
      </c>
      <c r="D4942" s="1067" t="inlineStr">
        <is>
          <t>Execução Rede Elétrica  (Produtividade 300m/dia)</t>
        </is>
      </c>
      <c r="E4942" s="1068" t="inlineStr">
        <is>
          <t>M</t>
        </is>
      </c>
      <c r="F4942" s="1067" t="n"/>
      <c r="G4942" s="1069">
        <f t="array" ref="G4942">IF(B4942="insumo",_xlfn.XLOOKUP($D4942,Insumos!$B$1:$B$996,Insumos!$D$1:$D$996),"")</f>
        <v/>
      </c>
      <c r="H4942" s="1069" t="n">
        <v>7.3973</v>
      </c>
      <c r="I4942" s="2161" t="n">
        <v>0</v>
      </c>
      <c r="J4942" s="2161" t="n">
        <v>0</v>
      </c>
      <c r="K4942" s="2161" t="n"/>
    </row>
    <row r="4943" outlineLevel="2" ht="15.75" customHeight="1">
      <c r="A4943" s="10" t="n">
        <v>4</v>
      </c>
      <c r="B4943" s="10" t="inlineStr">
        <is>
          <t>Insumo</t>
        </is>
      </c>
      <c r="C4943" s="10" t="inlineStr">
        <is>
          <t>Execução Rede Elétrica  (Produtividade 300m/dia)</t>
        </is>
      </c>
      <c r="D4943" s="10" t="inlineStr">
        <is>
          <t>Retro case 580 traçada 2009</t>
        </is>
      </c>
      <c r="E4943" s="11">
        <f t="array" ref="E4943">_xlfn.XLOOKUP(D4943,Insumos!B:B,Insumos!C:$C)</f>
        <v/>
      </c>
      <c r="F4943" s="14" t="n">
        <v>0.0005470000000000001</v>
      </c>
      <c r="G4943" s="92">
        <f t="array" ref="G4943">IF(B4943="insumo",_xlfn.XLOOKUP($D4943,Insumos!$B$1:$B$996,Insumos!$D$1:$D$996),"")</f>
        <v/>
      </c>
      <c r="H4943" s="92" t="n">
        <v>0.8205</v>
      </c>
      <c r="I4943" s="2162" t="n">
        <v>0</v>
      </c>
      <c r="J4943" s="2162" t="n">
        <v>0</v>
      </c>
      <c r="K4943" s="2162" t="n"/>
    </row>
    <row r="4944" outlineLevel="2" ht="15.75" customHeight="1">
      <c r="A4944" s="10" t="n">
        <v>4</v>
      </c>
      <c r="B4944" s="10" t="inlineStr">
        <is>
          <t>Insumo</t>
        </is>
      </c>
      <c r="C4944" s="10" t="inlineStr">
        <is>
          <t>Execução Rede Elétrica  (Produtividade 300m/dia)</t>
        </is>
      </c>
      <c r="D4944" s="10" t="inlineStr">
        <is>
          <t>Escavadeira 8T link belt 80SA BANYNN</t>
        </is>
      </c>
      <c r="E4944" s="11">
        <f t="array" ref="E4944">_xlfn.XLOOKUP(D4944,Insumos!B:B,Insumos!C:$C)</f>
        <v/>
      </c>
      <c r="F4944" s="14" t="n">
        <v>0.000257</v>
      </c>
      <c r="G4944" s="92">
        <f t="array" ref="G4944">IF(B4944="insumo",_xlfn.XLOOKUP($D4944,Insumos!$B$1:$B$996,Insumos!$D$1:$D$996),"")</f>
        <v/>
      </c>
      <c r="H4944" s="92" t="n">
        <v>0.8224</v>
      </c>
      <c r="I4944" s="2162" t="n">
        <v>0</v>
      </c>
      <c r="J4944" s="2162" t="n">
        <v>0</v>
      </c>
      <c r="K4944" s="2162" t="n"/>
    </row>
    <row r="4945" outlineLevel="2" ht="15.75" customHeight="1">
      <c r="A4945" s="10" t="n">
        <v>7</v>
      </c>
      <c r="B4945" s="10" t="inlineStr">
        <is>
          <t>Insumo</t>
        </is>
      </c>
      <c r="C4945" s="10" t="inlineStr">
        <is>
          <t>Execução Rede Elétrica  (Produtividade 300m/dia)</t>
        </is>
      </c>
      <c r="D4945" s="10" t="inlineStr">
        <is>
          <t>Operador de máquina 2</t>
        </is>
      </c>
      <c r="E4945" s="11">
        <f t="array" ref="E4945">_xlfn.XLOOKUP(D4945,Insumos!B:B,Insumos!C:$C)</f>
        <v/>
      </c>
      <c r="F4945" s="14" t="n">
        <v>0.000357</v>
      </c>
      <c r="G4945" s="92">
        <f t="array" ref="G4945">IF(B4945="insumo",_xlfn.XLOOKUP($D4945,Insumos!$B$1:$B$996,Insumos!$D$1:$D$996),"")</f>
        <v/>
      </c>
      <c r="H4945" s="92" t="n">
        <v>1.23165</v>
      </c>
      <c r="I4945" s="2162" t="n">
        <v>0</v>
      </c>
      <c r="J4945" s="2162" t="n">
        <v>0</v>
      </c>
      <c r="K4945" s="2162" t="n"/>
    </row>
    <row r="4946" outlineLevel="2" ht="15.75" customHeight="1">
      <c r="A4946" s="10" t="n">
        <v>4</v>
      </c>
      <c r="B4946" s="10" t="inlineStr">
        <is>
          <t>Insumo</t>
        </is>
      </c>
      <c r="C4946" s="10" t="inlineStr">
        <is>
          <t>Execução Rede Elétrica  (Produtividade 300m/dia)</t>
        </is>
      </c>
      <c r="D4946" s="10" t="inlineStr">
        <is>
          <t>Operador de máquina 3</t>
        </is>
      </c>
      <c r="E4946" s="11">
        <f t="array" ref="E4946">_xlfn.XLOOKUP(D4946,Insumos!B:B,Insumos!C:$C)</f>
        <v/>
      </c>
      <c r="F4946" s="14" t="n">
        <v>0.000246</v>
      </c>
      <c r="G4946" s="92">
        <f t="array" ref="G4946">IF(B4946="insumo",_xlfn.XLOOKUP($D4946,Insumos!$B$1:$B$996,Insumos!$D$1:$D$996),"")</f>
        <v/>
      </c>
      <c r="H4946" s="92" t="n">
        <v>1.23</v>
      </c>
      <c r="I4946" s="2162" t="n">
        <v>0</v>
      </c>
      <c r="J4946" s="2162" t="n">
        <v>0</v>
      </c>
      <c r="K4946" s="2162" t="n"/>
    </row>
    <row r="4947" outlineLevel="2" ht="15.75" customHeight="1">
      <c r="A4947" s="10" t="n">
        <v>4</v>
      </c>
      <c r="B4947" s="10" t="inlineStr">
        <is>
          <t>Insumo</t>
        </is>
      </c>
      <c r="C4947" s="10" t="inlineStr">
        <is>
          <t>Execução Rede Elétrica  (Produtividade 300m/dia)</t>
        </is>
      </c>
      <c r="D4947" s="10" t="inlineStr">
        <is>
          <t>Mestre 1</t>
        </is>
      </c>
      <c r="E4947" s="11">
        <f t="array" ref="E4947">_xlfn.XLOOKUP(D4947,Insumos!B:B,Insumos!C:$C)</f>
        <v/>
      </c>
      <c r="F4947" s="14" t="n">
        <v>0.000181</v>
      </c>
      <c r="G4947" s="92">
        <f t="array" ref="G4947">IF(B4947="insumo",_xlfn.XLOOKUP($D4947,Insumos!$B$1:$B$996,Insumos!$D$1:$D$996),"")</f>
        <v/>
      </c>
      <c r="H4947" s="92" t="n">
        <v>0.82355</v>
      </c>
      <c r="I4947" s="2162" t="n">
        <v>0</v>
      </c>
      <c r="J4947" s="2162" t="n">
        <v>0</v>
      </c>
      <c r="K4947" s="2162" t="n"/>
    </row>
    <row r="4948" outlineLevel="2" ht="15.75" customHeight="1">
      <c r="A4948" s="10" t="n">
        <v>4</v>
      </c>
      <c r="B4948" s="10" t="inlineStr">
        <is>
          <t>Insumo</t>
        </is>
      </c>
      <c r="C4948" s="10" t="inlineStr">
        <is>
          <t>Execução Rede Elétrica  (Produtividade 300m/dia)</t>
        </is>
      </c>
      <c r="D4948" s="10" t="inlineStr">
        <is>
          <t>Oficial 1</t>
        </is>
      </c>
      <c r="E4948" s="11">
        <f t="array" ref="E4948">_xlfn.XLOOKUP(D4948,Insumos!B:B,Insumos!C:$C)</f>
        <v/>
      </c>
      <c r="F4948" s="14" t="n">
        <v>0.000392</v>
      </c>
      <c r="G4948" s="92">
        <f t="array" ref="G4948">IF(B4948="insumo",_xlfn.XLOOKUP($D4948,Insumos!$B$1:$B$996,Insumos!$D$1:$D$996),"")</f>
        <v/>
      </c>
      <c r="H4948" s="92" t="n">
        <v>1.6464</v>
      </c>
      <c r="I4948" s="2162" t="n">
        <v>0</v>
      </c>
      <c r="J4948" s="2162" t="n">
        <v>0</v>
      </c>
      <c r="K4948" s="2162" t="n"/>
    </row>
    <row r="4949" outlineLevel="2" ht="15.75" customHeight="1">
      <c r="A4949" s="10" t="n">
        <v>4</v>
      </c>
      <c r="B4949" s="10" t="inlineStr">
        <is>
          <t>Insumo</t>
        </is>
      </c>
      <c r="C4949" s="10" t="inlineStr">
        <is>
          <t>Execução Rede Elétrica  (Produtividade 300m/dia)</t>
        </is>
      </c>
      <c r="D4949" s="10" t="inlineStr">
        <is>
          <t>Meio Oficial 1</t>
        </is>
      </c>
      <c r="E4949" s="11">
        <f t="array" ref="E4949">_xlfn.XLOOKUP(D4949,Insumos!B:B,Insumos!C:$C)</f>
        <v/>
      </c>
      <c r="F4949" s="14" t="n">
        <v>0.000242</v>
      </c>
      <c r="G4949" s="92">
        <f t="array" ref="G4949">IF(B4949="insumo",_xlfn.XLOOKUP($D4949,Insumos!$B$1:$B$996,Insumos!$D$1:$D$996),"")</f>
        <v/>
      </c>
      <c r="H4949" s="92" t="n">
        <v>0.8228</v>
      </c>
      <c r="I4949" s="2162" t="n">
        <v>0</v>
      </c>
      <c r="J4949" s="2162" t="n">
        <v>0</v>
      </c>
      <c r="K4949" s="2162" t="n"/>
    </row>
    <row r="4950" outlineLevel="1" ht="15.75" customHeight="1">
      <c r="A4950" s="1067" t="n">
        <v>1</v>
      </c>
      <c r="B4950" s="1067" t="inlineStr">
        <is>
          <t>Serviço</t>
        </is>
      </c>
      <c r="C4950" s="1067" t="inlineStr">
        <is>
          <t>Execução Rede de Drenagem  (Produtividade 200m/dia)</t>
        </is>
      </c>
      <c r="D4950" s="1067" t="inlineStr">
        <is>
          <t>Execução Rede de Drenagem  (Produtividade 200m/dia)</t>
        </is>
      </c>
      <c r="E4950" s="1068" t="inlineStr">
        <is>
          <t>M</t>
        </is>
      </c>
      <c r="F4950" s="1067" t="n"/>
      <c r="G4950" s="1069">
        <f t="array" ref="G4950">IF(B4950="insumo",_xlfn.XLOOKUP($D4950,Insumos!$B$1:$B$996,Insumos!$D$1:$D$996),"")</f>
        <v/>
      </c>
      <c r="H4950" s="1069" t="n">
        <v>9.845499999999999</v>
      </c>
      <c r="I4950" s="2161" t="n">
        <v>0</v>
      </c>
      <c r="J4950" s="2161" t="n">
        <v>0</v>
      </c>
      <c r="K4950" s="2161" t="n"/>
    </row>
    <row r="4951" outlineLevel="2" ht="15.75" customHeight="1">
      <c r="A4951" s="10" t="n">
        <v>4</v>
      </c>
      <c r="B4951" s="10" t="inlineStr">
        <is>
          <t>Insumo</t>
        </is>
      </c>
      <c r="C4951" s="10" t="inlineStr">
        <is>
          <t>Execução Rede de Drenagem  (Produtividade 200m/dia)</t>
        </is>
      </c>
      <c r="D4951" s="10" t="inlineStr">
        <is>
          <t>Retro case 580 traçada 2009</t>
        </is>
      </c>
      <c r="E4951" s="11">
        <f t="array" ref="E4951">_xlfn.XLOOKUP(D4951,Insumos!B:B,Insumos!C:$C)</f>
        <v/>
      </c>
      <c r="F4951" s="14" t="n">
        <v>0.00082</v>
      </c>
      <c r="G4951" s="92">
        <f t="array" ref="G4951">IF(B4951="insumo",_xlfn.XLOOKUP($D4951,Insumos!$B$1:$B$996,Insumos!$D$1:$D$996),"")</f>
        <v/>
      </c>
      <c r="H4951" s="92" t="n">
        <v>1.23</v>
      </c>
      <c r="I4951" s="2162" t="n">
        <v>0</v>
      </c>
      <c r="J4951" s="2162" t="n">
        <v>0</v>
      </c>
      <c r="K4951" s="2162" t="n"/>
    </row>
    <row r="4952" outlineLevel="2" ht="15.75" customHeight="1">
      <c r="A4952" s="10" t="n">
        <v>4</v>
      </c>
      <c r="B4952" s="10" t="inlineStr">
        <is>
          <t>Insumo</t>
        </is>
      </c>
      <c r="C4952" s="10" t="inlineStr">
        <is>
          <t>Execução Rede de Drenagem  (Produtividade 200m/dia)</t>
        </is>
      </c>
      <c r="D4952" s="10" t="inlineStr">
        <is>
          <t>Escavadeira 8T link belt 80SA BANYNN</t>
        </is>
      </c>
      <c r="E4952" s="11">
        <f t="array" ref="E4952">_xlfn.XLOOKUP(D4952,Insumos!B:B,Insumos!C:$C)</f>
        <v/>
      </c>
      <c r="F4952" s="14" t="n">
        <v>0.000384</v>
      </c>
      <c r="G4952" s="92">
        <f t="array" ref="G4952">IF(B4952="insumo",_xlfn.XLOOKUP($D4952,Insumos!$B$1:$B$996,Insumos!$D$1:$D$996),"")</f>
        <v/>
      </c>
      <c r="H4952" s="92" t="n">
        <v>1.2288</v>
      </c>
      <c r="I4952" s="2162" t="n">
        <v>0</v>
      </c>
      <c r="J4952" s="2162" t="n">
        <v>0</v>
      </c>
      <c r="K4952" s="2162" t="n"/>
    </row>
    <row r="4953" outlineLevel="2" ht="15.75" customHeight="1">
      <c r="A4953" s="10" t="n">
        <v>7</v>
      </c>
      <c r="B4953" s="10" t="inlineStr">
        <is>
          <t>Insumo</t>
        </is>
      </c>
      <c r="C4953" s="10" t="inlineStr">
        <is>
          <t>Execução Rede de Drenagem  (Produtividade 200m/dia)</t>
        </is>
      </c>
      <c r="D4953" s="10" t="inlineStr">
        <is>
          <t>Operador de máquina 2</t>
        </is>
      </c>
      <c r="E4953" s="11">
        <f t="array" ref="E4953">_xlfn.XLOOKUP(D4953,Insumos!B:B,Insumos!C:$C)</f>
        <v/>
      </c>
      <c r="F4953" s="14" t="n">
        <v>0.000357</v>
      </c>
      <c r="G4953" s="92">
        <f t="array" ref="G4953">IF(B4953="insumo",_xlfn.XLOOKUP($D4953,Insumos!$B$1:$B$996,Insumos!$D$1:$D$996),"")</f>
        <v/>
      </c>
      <c r="H4953" s="92" t="n">
        <v>1.23165</v>
      </c>
      <c r="I4953" s="2162" t="n">
        <v>0</v>
      </c>
      <c r="J4953" s="2162" t="n">
        <v>0</v>
      </c>
      <c r="K4953" s="2162" t="n"/>
    </row>
    <row r="4954" outlineLevel="2" ht="15.75" customHeight="1">
      <c r="A4954" s="10" t="n">
        <v>4</v>
      </c>
      <c r="B4954" s="10" t="inlineStr">
        <is>
          <t>Insumo</t>
        </is>
      </c>
      <c r="C4954" s="10" t="inlineStr">
        <is>
          <t>Execução Rede de Drenagem  (Produtividade 200m/dia)</t>
        </is>
      </c>
      <c r="D4954" s="10" t="inlineStr">
        <is>
          <t>Operador de máquina 3</t>
        </is>
      </c>
      <c r="E4954" s="11">
        <f t="array" ref="E4954">_xlfn.XLOOKUP(D4954,Insumos!B:B,Insumos!C:$C)</f>
        <v/>
      </c>
      <c r="F4954" s="14" t="n">
        <v>0.000246</v>
      </c>
      <c r="G4954" s="92">
        <f t="array" ref="G4954">IF(B4954="insumo",_xlfn.XLOOKUP($D4954,Insumos!$B$1:$B$996,Insumos!$D$1:$D$996),"")</f>
        <v/>
      </c>
      <c r="H4954" s="92" t="n">
        <v>1.23</v>
      </c>
      <c r="I4954" s="2162" t="n">
        <v>0</v>
      </c>
      <c r="J4954" s="2162" t="n">
        <v>0</v>
      </c>
      <c r="K4954" s="2162" t="n"/>
    </row>
    <row r="4955" outlineLevel="2" ht="15.75" customHeight="1">
      <c r="A4955" s="10" t="n">
        <v>4</v>
      </c>
      <c r="B4955" s="10" t="inlineStr">
        <is>
          <t>Insumo</t>
        </is>
      </c>
      <c r="C4955" s="10" t="inlineStr">
        <is>
          <t>Execução Rede de Drenagem  (Produtividade 200m/dia)</t>
        </is>
      </c>
      <c r="D4955" s="10" t="inlineStr">
        <is>
          <t>Mestre 1</t>
        </is>
      </c>
      <c r="E4955" s="11">
        <f t="array" ref="E4955">_xlfn.XLOOKUP(D4955,Insumos!B:B,Insumos!C:$C)</f>
        <v/>
      </c>
      <c r="F4955" s="14" t="n">
        <v>0.000271</v>
      </c>
      <c r="G4955" s="92">
        <f t="array" ref="G4955">IF(B4955="insumo",_xlfn.XLOOKUP($D4955,Insumos!$B$1:$B$996,Insumos!$D$1:$D$996),"")</f>
        <v/>
      </c>
      <c r="H4955" s="92" t="n">
        <v>1.23305</v>
      </c>
      <c r="I4955" s="2162" t="n">
        <v>0</v>
      </c>
      <c r="J4955" s="2162" t="n">
        <v>0</v>
      </c>
      <c r="K4955" s="2162" t="n"/>
    </row>
    <row r="4956" outlineLevel="2" ht="15.75" customHeight="1">
      <c r="A4956" s="10" t="n">
        <v>4</v>
      </c>
      <c r="B4956" s="10" t="inlineStr">
        <is>
          <t>Insumo</t>
        </is>
      </c>
      <c r="C4956" s="10" t="inlineStr">
        <is>
          <t>Execução Rede de Drenagem  (Produtividade 200m/dia)</t>
        </is>
      </c>
      <c r="D4956" s="10" t="inlineStr">
        <is>
          <t>Oficial 1</t>
        </is>
      </c>
      <c r="E4956" s="11">
        <f t="array" ref="E4956">_xlfn.XLOOKUP(D4956,Insumos!B:B,Insumos!C:$C)</f>
        <v/>
      </c>
      <c r="F4956" s="14" t="n">
        <v>0.000586</v>
      </c>
      <c r="G4956" s="92">
        <f t="array" ref="G4956">IF(B4956="insumo",_xlfn.XLOOKUP($D4956,Insumos!$B$1:$B$996,Insumos!$D$1:$D$996),"")</f>
        <v/>
      </c>
      <c r="H4956" s="92" t="n">
        <v>2.4612</v>
      </c>
      <c r="I4956" s="2162" t="n">
        <v>0</v>
      </c>
      <c r="J4956" s="2162" t="n">
        <v>0</v>
      </c>
      <c r="K4956" s="2162" t="n"/>
    </row>
    <row r="4957" outlineLevel="2" ht="15.75" customHeight="1">
      <c r="A4957" s="10" t="n">
        <v>4</v>
      </c>
      <c r="B4957" s="10" t="inlineStr">
        <is>
          <t>Insumo</t>
        </is>
      </c>
      <c r="C4957" s="10" t="inlineStr">
        <is>
          <t>Execução Rede de Drenagem  (Produtividade 200m/dia)</t>
        </is>
      </c>
      <c r="D4957" s="10" t="inlineStr">
        <is>
          <t>Meio Oficial 1</t>
        </is>
      </c>
      <c r="E4957" s="11">
        <f t="array" ref="E4957">_xlfn.XLOOKUP(D4957,Insumos!B:B,Insumos!C:$C)</f>
        <v/>
      </c>
      <c r="F4957" s="14" t="n">
        <v>0.000362</v>
      </c>
      <c r="G4957" s="92">
        <f t="array" ref="G4957">IF(B4957="insumo",_xlfn.XLOOKUP($D4957,Insumos!$B$1:$B$996,Insumos!$D$1:$D$996),"")</f>
        <v/>
      </c>
      <c r="H4957" s="92" t="n">
        <v>1.2308</v>
      </c>
      <c r="I4957" s="2162" t="n">
        <v>0</v>
      </c>
      <c r="J4957" s="2162" t="n">
        <v>0</v>
      </c>
      <c r="K4957" s="2162" t="n"/>
    </row>
    <row r="4958" outlineLevel="1" ht="15.75" customHeight="1">
      <c r="A4958" s="1067" t="n">
        <v>1</v>
      </c>
      <c r="B4958" s="1067" t="inlineStr">
        <is>
          <t>Serviço</t>
        </is>
      </c>
      <c r="C4958" s="1067" t="inlineStr">
        <is>
          <t>Execução Rede água  (Produtividade 300m/dia)</t>
        </is>
      </c>
      <c r="D4958" s="1067" t="inlineStr">
        <is>
          <t>Execução Rede água  (Produtividade 300m/dia)</t>
        </is>
      </c>
      <c r="E4958" s="1068" t="inlineStr">
        <is>
          <t>M</t>
        </is>
      </c>
      <c r="F4958" s="1067" t="n"/>
      <c r="G4958" s="1069">
        <f t="array" ref="G4958">IF(B4958="insumo",_xlfn.XLOOKUP($D4958,Insumos!$B$1:$B$996,Insumos!$D$1:$D$996),"")</f>
        <v/>
      </c>
      <c r="H4958" s="1069" t="n">
        <v>7.3973</v>
      </c>
      <c r="I4958" s="2161" t="n">
        <v>0</v>
      </c>
      <c r="J4958" s="2161" t="n">
        <v>0</v>
      </c>
      <c r="K4958" s="2161" t="n"/>
    </row>
    <row r="4959" outlineLevel="2" ht="15.75" customHeight="1">
      <c r="A4959" s="10" t="n">
        <v>4</v>
      </c>
      <c r="B4959" s="10" t="inlineStr">
        <is>
          <t>Insumo</t>
        </is>
      </c>
      <c r="C4959" s="10" t="inlineStr">
        <is>
          <t>Execução Rede água  (Produtividade 300m/dia)</t>
        </is>
      </c>
      <c r="D4959" s="10" t="inlineStr">
        <is>
          <t>Retro case 580 traçada 2009</t>
        </is>
      </c>
      <c r="E4959" s="11">
        <f t="array" ref="E4959">_xlfn.XLOOKUP(D4959,Insumos!B:B,Insumos!C:$C)</f>
        <v/>
      </c>
      <c r="F4959" s="14" t="n">
        <v>0.0005470000000000001</v>
      </c>
      <c r="G4959" s="92">
        <f t="array" ref="G4959">IF(B4959="insumo",_xlfn.XLOOKUP($D4959,Insumos!$B$1:$B$996,Insumos!$D$1:$D$996),"")</f>
        <v/>
      </c>
      <c r="H4959" s="92" t="n">
        <v>0.8205</v>
      </c>
      <c r="I4959" s="2162" t="n">
        <v>0</v>
      </c>
      <c r="J4959" s="2162" t="n">
        <v>0</v>
      </c>
      <c r="K4959" s="2162" t="n"/>
    </row>
    <row r="4960" outlineLevel="2" ht="15.75" customHeight="1">
      <c r="A4960" s="10" t="n">
        <v>4</v>
      </c>
      <c r="B4960" s="10" t="inlineStr">
        <is>
          <t>Insumo</t>
        </is>
      </c>
      <c r="C4960" s="10" t="inlineStr">
        <is>
          <t>Execução Rede água  (Produtividade 300m/dia)</t>
        </is>
      </c>
      <c r="D4960" s="10" t="inlineStr">
        <is>
          <t>Escavadeira 8T link belt 80SA BANYNN</t>
        </is>
      </c>
      <c r="E4960" s="11">
        <f t="array" ref="E4960">_xlfn.XLOOKUP(D4960,Insumos!B:B,Insumos!C:$C)</f>
        <v/>
      </c>
      <c r="F4960" s="14" t="n">
        <v>0.000257</v>
      </c>
      <c r="G4960" s="92">
        <f t="array" ref="G4960">IF(B4960="insumo",_xlfn.XLOOKUP($D4960,Insumos!$B$1:$B$996,Insumos!$D$1:$D$996),"")</f>
        <v/>
      </c>
      <c r="H4960" s="92" t="n">
        <v>0.8224</v>
      </c>
      <c r="I4960" s="2162" t="n">
        <v>0</v>
      </c>
      <c r="J4960" s="2162" t="n">
        <v>0</v>
      </c>
      <c r="K4960" s="2162" t="n"/>
    </row>
    <row r="4961" outlineLevel="2" ht="15.75" customHeight="1">
      <c r="A4961" s="10" t="n">
        <v>7</v>
      </c>
      <c r="B4961" s="10" t="inlineStr">
        <is>
          <t>Insumo</t>
        </is>
      </c>
      <c r="C4961" s="10" t="inlineStr">
        <is>
          <t>Execução Rede água  (Produtividade 300m/dia)</t>
        </is>
      </c>
      <c r="D4961" s="10" t="inlineStr">
        <is>
          <t>Operador de máquina 2</t>
        </is>
      </c>
      <c r="E4961" s="11">
        <f t="array" ref="E4961">_xlfn.XLOOKUP(D4961,Insumos!B:B,Insumos!C:$C)</f>
        <v/>
      </c>
      <c r="F4961" s="14" t="n">
        <v>0.000357</v>
      </c>
      <c r="G4961" s="92">
        <f t="array" ref="G4961">IF(B4961="insumo",_xlfn.XLOOKUP($D4961,Insumos!$B$1:$B$996,Insumos!$D$1:$D$996),"")</f>
        <v/>
      </c>
      <c r="H4961" s="92" t="n">
        <v>1.23165</v>
      </c>
      <c r="I4961" s="2162" t="n">
        <v>0</v>
      </c>
      <c r="J4961" s="2162" t="n">
        <v>0</v>
      </c>
      <c r="K4961" s="2162" t="n"/>
    </row>
    <row r="4962" outlineLevel="2" ht="15.75" customHeight="1">
      <c r="A4962" s="10" t="n">
        <v>4</v>
      </c>
      <c r="B4962" s="10" t="inlineStr">
        <is>
          <t>Insumo</t>
        </is>
      </c>
      <c r="C4962" s="10" t="inlineStr">
        <is>
          <t>Execução Rede água  (Produtividade 300m/dia)</t>
        </is>
      </c>
      <c r="D4962" s="10" t="inlineStr">
        <is>
          <t>Operador de máquina 3</t>
        </is>
      </c>
      <c r="E4962" s="11">
        <f t="array" ref="E4962">_xlfn.XLOOKUP(D4962,Insumos!B:B,Insumos!C:$C)</f>
        <v/>
      </c>
      <c r="F4962" s="14" t="n">
        <v>0.000246</v>
      </c>
      <c r="G4962" s="92">
        <f t="array" ref="G4962">IF(B4962="insumo",_xlfn.XLOOKUP($D4962,Insumos!$B$1:$B$996,Insumos!$D$1:$D$996),"")</f>
        <v/>
      </c>
      <c r="H4962" s="92" t="n">
        <v>1.23</v>
      </c>
      <c r="I4962" s="2162" t="n">
        <v>0</v>
      </c>
      <c r="J4962" s="2162" t="n">
        <v>0</v>
      </c>
      <c r="K4962" s="2162" t="n"/>
    </row>
    <row r="4963" outlineLevel="2" ht="15.75" customHeight="1">
      <c r="A4963" s="10" t="n">
        <v>4</v>
      </c>
      <c r="B4963" s="10" t="inlineStr">
        <is>
          <t>Insumo</t>
        </is>
      </c>
      <c r="C4963" s="10" t="inlineStr">
        <is>
          <t>Execução Rede água  (Produtividade 300m/dia)</t>
        </is>
      </c>
      <c r="D4963" s="10" t="inlineStr">
        <is>
          <t>Mestre 1</t>
        </is>
      </c>
      <c r="E4963" s="11">
        <f t="array" ref="E4963">_xlfn.XLOOKUP(D4963,Insumos!B:B,Insumos!C:$C)</f>
        <v/>
      </c>
      <c r="F4963" s="14" t="n">
        <v>0.000181</v>
      </c>
      <c r="G4963" s="92">
        <f t="array" ref="G4963">IF(B4963="insumo",_xlfn.XLOOKUP($D4963,Insumos!$B$1:$B$996,Insumos!$D$1:$D$996),"")</f>
        <v/>
      </c>
      <c r="H4963" s="92" t="n">
        <v>0.82355</v>
      </c>
      <c r="I4963" s="2162" t="n">
        <v>0</v>
      </c>
      <c r="J4963" s="2162" t="n">
        <v>0</v>
      </c>
      <c r="K4963" s="2162" t="n"/>
    </row>
    <row r="4964" outlineLevel="2" ht="15.75" customHeight="1">
      <c r="A4964" s="10" t="n">
        <v>4</v>
      </c>
      <c r="B4964" s="10" t="inlineStr">
        <is>
          <t>Insumo</t>
        </is>
      </c>
      <c r="C4964" s="10" t="inlineStr">
        <is>
          <t>Execução Rede água  (Produtividade 300m/dia)</t>
        </is>
      </c>
      <c r="D4964" s="10" t="inlineStr">
        <is>
          <t>Oficial 1</t>
        </is>
      </c>
      <c r="E4964" s="11">
        <f t="array" ref="E4964">_xlfn.XLOOKUP(D4964,Insumos!B:B,Insumos!C:$C)</f>
        <v/>
      </c>
      <c r="F4964" s="14" t="n">
        <v>0.000392</v>
      </c>
      <c r="G4964" s="92">
        <f t="array" ref="G4964">IF(B4964="insumo",_xlfn.XLOOKUP($D4964,Insumos!$B$1:$B$996,Insumos!$D$1:$D$996),"")</f>
        <v/>
      </c>
      <c r="H4964" s="92" t="n">
        <v>1.6464</v>
      </c>
      <c r="I4964" s="2162" t="n">
        <v>0</v>
      </c>
      <c r="J4964" s="2162" t="n">
        <v>0</v>
      </c>
      <c r="K4964" s="2162" t="n"/>
    </row>
    <row r="4965" outlineLevel="2" ht="15.75" customHeight="1">
      <c r="A4965" s="10" t="n">
        <v>4</v>
      </c>
      <c r="B4965" s="10" t="inlineStr">
        <is>
          <t>Insumo</t>
        </is>
      </c>
      <c r="C4965" s="10" t="inlineStr">
        <is>
          <t>Execução Rede água  (Produtividade 300m/dia)</t>
        </is>
      </c>
      <c r="D4965" s="10" t="inlineStr">
        <is>
          <t>Meio Oficial 1</t>
        </is>
      </c>
      <c r="E4965" s="11">
        <f t="array" ref="E4965">_xlfn.XLOOKUP(D4965,Insumos!B:B,Insumos!C:$C)</f>
        <v/>
      </c>
      <c r="F4965" s="14" t="n">
        <v>0.000242</v>
      </c>
      <c r="G4965" s="92">
        <f t="array" ref="G4965">IF(B4965="insumo",_xlfn.XLOOKUP($D4965,Insumos!$B$1:$B$996,Insumos!$D$1:$D$996),"")</f>
        <v/>
      </c>
      <c r="H4965" s="92" t="n">
        <v>0.8228</v>
      </c>
      <c r="I4965" s="2162" t="n">
        <v>0</v>
      </c>
      <c r="J4965" s="2162" t="n">
        <v>0</v>
      </c>
      <c r="K4965" s="2162" t="n"/>
    </row>
    <row r="4966" outlineLevel="1" ht="15.75" customHeight="1">
      <c r="A4966" s="1067" t="n">
        <v>1</v>
      </c>
      <c r="B4966" s="1067" t="inlineStr">
        <is>
          <t>Serviço</t>
        </is>
      </c>
      <c r="C4966" s="1067" t="inlineStr">
        <is>
          <t>Execução Rede Esgoto  (Produtividade 150m/dia)</t>
        </is>
      </c>
      <c r="D4966" s="1067" t="inlineStr">
        <is>
          <t>Execução Rede Esgoto  (Produtividade 150m/dia)</t>
        </is>
      </c>
      <c r="E4966" s="1068" t="inlineStr">
        <is>
          <t>M</t>
        </is>
      </c>
      <c r="F4966" s="1067" t="n"/>
      <c r="G4966" s="1069">
        <f t="array" ref="G4966">IF(B4966="insumo",_xlfn.XLOOKUP($D4966,Insumos!$B$1:$B$996,Insumos!$D$1:$D$996),"")</f>
        <v/>
      </c>
      <c r="H4966" s="1069" t="n">
        <v>12.3085</v>
      </c>
      <c r="I4966" s="2161" t="n">
        <v>0</v>
      </c>
      <c r="J4966" s="2161" t="n">
        <v>0</v>
      </c>
      <c r="K4966" s="2161" t="n"/>
    </row>
    <row r="4967" outlineLevel="2" ht="15.75" customHeight="1">
      <c r="A4967" s="10" t="n">
        <v>4</v>
      </c>
      <c r="B4967" s="10" t="inlineStr">
        <is>
          <t>Insumo</t>
        </is>
      </c>
      <c r="C4967" s="10" t="inlineStr">
        <is>
          <t>Execução Rede Esgoto  (Produtividade 150m/dia)</t>
        </is>
      </c>
      <c r="D4967" s="10" t="inlineStr">
        <is>
          <t>Retro case 580 traçada 2009</t>
        </is>
      </c>
      <c r="E4967" s="11">
        <f t="array" ref="E4967">_xlfn.XLOOKUP(D4967,Insumos!B:B,Insumos!C:$C)</f>
        <v/>
      </c>
      <c r="F4967" s="14" t="n">
        <v>0.001093</v>
      </c>
      <c r="G4967" s="92">
        <f t="array" ref="G4967">IF(B4967="insumo",_xlfn.XLOOKUP($D4967,Insumos!$B$1:$B$996,Insumos!$D$1:$D$996),"")</f>
        <v/>
      </c>
      <c r="H4967" s="92" t="n">
        <v>1.6395</v>
      </c>
      <c r="I4967" s="2162" t="n">
        <v>0</v>
      </c>
      <c r="J4967" s="2162" t="n">
        <v>0</v>
      </c>
      <c r="K4967" s="2162" t="n"/>
    </row>
    <row r="4968" outlineLevel="2" ht="15.75" customHeight="1">
      <c r="A4968" s="10" t="n">
        <v>4</v>
      </c>
      <c r="B4968" s="10" t="inlineStr">
        <is>
          <t>Insumo</t>
        </is>
      </c>
      <c r="C4968" s="10" t="inlineStr">
        <is>
          <t>Execução Rede Esgoto  (Produtividade 150m/dia)</t>
        </is>
      </c>
      <c r="D4968" s="10" t="inlineStr">
        <is>
          <t>Escavadeira 8T link belt 80SA BANYNN</t>
        </is>
      </c>
      <c r="E4968" s="11">
        <f t="array" ref="E4968">_xlfn.XLOOKUP(D4968,Insumos!B:B,Insumos!C:$C)</f>
        <v/>
      </c>
      <c r="F4968" s="14" t="n">
        <v>0.000513</v>
      </c>
      <c r="G4968" s="92">
        <f t="array" ref="G4968">IF(B4968="insumo",_xlfn.XLOOKUP($D4968,Insumos!$B$1:$B$996,Insumos!$D$1:$D$996),"")</f>
        <v/>
      </c>
      <c r="H4968" s="92" t="n">
        <v>1.6416</v>
      </c>
      <c r="I4968" s="2162" t="n">
        <v>0</v>
      </c>
      <c r="J4968" s="2162" t="n">
        <v>0</v>
      </c>
      <c r="K4968" s="2162" t="n"/>
    </row>
    <row r="4969" outlineLevel="2" ht="15.75" customHeight="1">
      <c r="A4969" s="10" t="n">
        <v>7</v>
      </c>
      <c r="B4969" s="10" t="inlineStr">
        <is>
          <t>Insumo</t>
        </is>
      </c>
      <c r="C4969" s="10" t="inlineStr">
        <is>
          <t>Execução Rede Esgoto  (Produtividade 150m/dia)</t>
        </is>
      </c>
      <c r="D4969" s="10" t="inlineStr">
        <is>
          <t>Operador de máquina 2</t>
        </is>
      </c>
      <c r="E4969" s="11">
        <f t="array" ref="E4969">_xlfn.XLOOKUP(D4969,Insumos!B:B,Insumos!C:$C)</f>
        <v/>
      </c>
      <c r="F4969" s="14" t="n">
        <v>0.000357</v>
      </c>
      <c r="G4969" s="92">
        <f t="array" ref="G4969">IF(B4969="insumo",_xlfn.XLOOKUP($D4969,Insumos!$B$1:$B$996,Insumos!$D$1:$D$996),"")</f>
        <v/>
      </c>
      <c r="H4969" s="92" t="n">
        <v>1.23165</v>
      </c>
      <c r="I4969" s="2162" t="n">
        <v>0</v>
      </c>
      <c r="J4969" s="2162" t="n">
        <v>0</v>
      </c>
      <c r="K4969" s="2162" t="n"/>
    </row>
    <row r="4970" outlineLevel="2" ht="15.75" customHeight="1">
      <c r="A4970" s="10" t="n">
        <v>4</v>
      </c>
      <c r="B4970" s="10" t="inlineStr">
        <is>
          <t>Insumo</t>
        </is>
      </c>
      <c r="C4970" s="10" t="inlineStr">
        <is>
          <t>Execução Rede Esgoto  (Produtividade 150m/dia)</t>
        </is>
      </c>
      <c r="D4970" s="10" t="inlineStr">
        <is>
          <t>Operador de máquina 3</t>
        </is>
      </c>
      <c r="E4970" s="11">
        <f t="array" ref="E4970">_xlfn.XLOOKUP(D4970,Insumos!B:B,Insumos!C:$C)</f>
        <v/>
      </c>
      <c r="F4970" s="14" t="n">
        <v>0.000246</v>
      </c>
      <c r="G4970" s="92">
        <f t="array" ref="G4970">IF(B4970="insumo",_xlfn.XLOOKUP($D4970,Insumos!$B$1:$B$996,Insumos!$D$1:$D$996),"")</f>
        <v/>
      </c>
      <c r="H4970" s="92" t="n">
        <v>1.23</v>
      </c>
      <c r="I4970" s="2162" t="n">
        <v>0</v>
      </c>
      <c r="J4970" s="2162" t="n">
        <v>0</v>
      </c>
      <c r="K4970" s="2162" t="n"/>
    </row>
    <row r="4971" outlineLevel="2" ht="15.75" customHeight="1">
      <c r="A4971" s="10" t="n">
        <v>4</v>
      </c>
      <c r="B4971" s="10" t="inlineStr">
        <is>
          <t>Insumo</t>
        </is>
      </c>
      <c r="C4971" s="10" t="inlineStr">
        <is>
          <t>Execução Rede Esgoto  (Produtividade 150m/dia)</t>
        </is>
      </c>
      <c r="D4971" s="10" t="inlineStr">
        <is>
          <t>Mestre 1</t>
        </is>
      </c>
      <c r="E4971" s="11">
        <f t="array" ref="E4971">_xlfn.XLOOKUP(D4971,Insumos!B:B,Insumos!C:$C)</f>
        <v/>
      </c>
      <c r="F4971" s="14" t="n">
        <v>0.000361</v>
      </c>
      <c r="G4971" s="92">
        <f t="array" ref="G4971">IF(B4971="insumo",_xlfn.XLOOKUP($D4971,Insumos!$B$1:$B$996,Insumos!$D$1:$D$996),"")</f>
        <v/>
      </c>
      <c r="H4971" s="92" t="n">
        <v>1.64255</v>
      </c>
      <c r="I4971" s="2162" t="n">
        <v>0</v>
      </c>
      <c r="J4971" s="2162" t="n">
        <v>0</v>
      </c>
      <c r="K4971" s="2162" t="n"/>
    </row>
    <row r="4972" outlineLevel="2" ht="15.75" customHeight="1">
      <c r="A4972" s="10" t="n">
        <v>4</v>
      </c>
      <c r="B4972" s="10" t="inlineStr">
        <is>
          <t>Insumo</t>
        </is>
      </c>
      <c r="C4972" s="10" t="inlineStr">
        <is>
          <t>Execução Rede Esgoto  (Produtividade 150m/dia)</t>
        </is>
      </c>
      <c r="D4972" s="10" t="inlineStr">
        <is>
          <t>Oficial 1</t>
        </is>
      </c>
      <c r="E4972" s="11">
        <f t="array" ref="E4972">_xlfn.XLOOKUP(D4972,Insumos!B:B,Insumos!C:$C)</f>
        <v/>
      </c>
      <c r="F4972" s="14" t="n">
        <v>0.000782</v>
      </c>
      <c r="G4972" s="92">
        <f t="array" ref="G4972">IF(B4972="insumo",_xlfn.XLOOKUP($D4972,Insumos!$B$1:$B$996,Insumos!$D$1:$D$996),"")</f>
        <v/>
      </c>
      <c r="H4972" s="92" t="n">
        <v>3.2844</v>
      </c>
      <c r="I4972" s="2162" t="n">
        <v>0</v>
      </c>
      <c r="J4972" s="2162" t="n">
        <v>0</v>
      </c>
      <c r="K4972" s="2162" t="n"/>
    </row>
    <row r="4973" outlineLevel="2" ht="15.75" customHeight="1">
      <c r="A4973" s="10" t="n">
        <v>4</v>
      </c>
      <c r="B4973" s="10" t="inlineStr">
        <is>
          <t>Insumo</t>
        </is>
      </c>
      <c r="C4973" s="10" t="inlineStr">
        <is>
          <t>Execução Rede Esgoto  (Produtividade 150m/dia)</t>
        </is>
      </c>
      <c r="D4973" s="10" t="inlineStr">
        <is>
          <t>Meio Oficial 1</t>
        </is>
      </c>
      <c r="E4973" s="11">
        <f t="array" ref="E4973">_xlfn.XLOOKUP(D4973,Insumos!B:B,Insumos!C:$C)</f>
        <v/>
      </c>
      <c r="F4973" s="14" t="n">
        <v>0.000482</v>
      </c>
      <c r="G4973" s="92">
        <f t="array" ref="G4973">IF(B4973="insumo",_xlfn.XLOOKUP($D4973,Insumos!$B$1:$B$996,Insumos!$D$1:$D$996),"")</f>
        <v/>
      </c>
      <c r="H4973" s="92" t="n">
        <v>1.6388</v>
      </c>
      <c r="I4973" s="2162" t="n">
        <v>0</v>
      </c>
      <c r="J4973" s="2162" t="n">
        <v>0</v>
      </c>
      <c r="K4973" s="2162" t="n"/>
    </row>
    <row r="4974" outlineLevel="1" ht="15.75" customHeight="1">
      <c r="A4974" s="1067" t="n">
        <v>1</v>
      </c>
      <c r="B4974" s="1067" t="inlineStr">
        <is>
          <t>Serviço</t>
        </is>
      </c>
      <c r="C4974" s="1067" t="inlineStr">
        <is>
          <t>Sarjeta extrusada</t>
        </is>
      </c>
      <c r="D4974" s="1067" t="inlineStr">
        <is>
          <t>Sarjeta extrusada</t>
        </is>
      </c>
      <c r="E4974" s="1068" t="inlineStr">
        <is>
          <t>M</t>
        </is>
      </c>
      <c r="F4974" s="1067" t="n"/>
      <c r="G4974" s="1069">
        <f t="array" ref="G4974">IF(B4974="insumo",_xlfn.XLOOKUP($D4974,Insumos!$B$1:$B$996,Insumos!$D$1:$D$996),"")</f>
        <v/>
      </c>
      <c r="H4974" s="1069" t="n">
        <v>20.09</v>
      </c>
      <c r="I4974" s="2161" t="n">
        <v>0</v>
      </c>
      <c r="J4974" s="2161" t="n">
        <v>0</v>
      </c>
      <c r="K4974" s="2161" t="n"/>
    </row>
    <row r="4975" outlineLevel="2" ht="15.75" customHeight="1">
      <c r="A4975" s="10" t="n">
        <v>9</v>
      </c>
      <c r="B4975" s="10" t="inlineStr">
        <is>
          <t>Insumo</t>
        </is>
      </c>
      <c r="C4975" s="10" t="inlineStr">
        <is>
          <t>Sarjeta extrusada</t>
        </is>
      </c>
      <c r="D4975" s="10" t="inlineStr">
        <is>
          <t>Concreto Usinado bombeável 20MPa Convencional</t>
        </is>
      </c>
      <c r="E4975" s="11">
        <f t="array" ref="E4975">_xlfn.XLOOKUP(D4975,Insumos!B:B,Insumos!C:$C)</f>
        <v/>
      </c>
      <c r="F4975" s="14" t="n">
        <v>0.041</v>
      </c>
      <c r="G4975" s="92">
        <f t="array" ref="G4975">IF(B4975="insumo",_xlfn.XLOOKUP($D4975,Insumos!$B$1:$B$996,Insumos!$D$1:$D$996),"")</f>
        <v/>
      </c>
      <c r="H4975" s="92" t="n">
        <v>20.09</v>
      </c>
      <c r="I4975" s="2162" t="n">
        <v>0</v>
      </c>
      <c r="J4975" s="2162" t="n">
        <v>0</v>
      </c>
      <c r="K4975" s="2162" t="n"/>
    </row>
    <row r="4976" outlineLevel="1" ht="12.75" customHeight="1">
      <c r="A4976" s="1071" t="n">
        <v>1</v>
      </c>
      <c r="B4976" s="1071" t="inlineStr">
        <is>
          <t>Serviço</t>
        </is>
      </c>
      <c r="C4976" s="1071" t="inlineStr">
        <is>
          <t>Calçadada/passeio em concreto intertravado</t>
        </is>
      </c>
      <c r="D4976" s="1071" t="inlineStr">
        <is>
          <t>Calçadada/passeio em concreto intertravado</t>
        </is>
      </c>
      <c r="E4976" s="1072" t="inlineStr">
        <is>
          <t>M2</t>
        </is>
      </c>
      <c r="F4976" s="1071" t="n"/>
      <c r="G4976" s="1073">
        <f t="array" ref="G4976">IF(B4976="insumo",_xlfn.XLOOKUP($D4976,Insumos!$B$1:$B$996,Insumos!$D$1:$D$996),"")</f>
        <v/>
      </c>
      <c r="H4976" s="1073" t="n">
        <v>78.128686</v>
      </c>
      <c r="I4976" s="2163" t="n">
        <v>0</v>
      </c>
      <c r="J4976" s="2163" t="n">
        <v>0</v>
      </c>
      <c r="K4976" s="2163" t="n"/>
    </row>
    <row r="4977" outlineLevel="2" ht="12.75" customHeight="1">
      <c r="A4977" s="82" t="n">
        <v>2</v>
      </c>
      <c r="B4977" s="82" t="inlineStr">
        <is>
          <t>Insumo</t>
        </is>
      </c>
      <c r="C4977" s="82" t="inlineStr">
        <is>
          <t>Calçadada/passeio em concreto intertravado</t>
        </is>
      </c>
      <c r="D4977" s="82" t="inlineStr">
        <is>
          <t xml:space="preserve">Piso Intertravado Retangular 10x20x08 </t>
        </is>
      </c>
      <c r="E4977" s="11">
        <f t="array" ref="E4977">_xlfn.XLOOKUP(D4977,Insumos!B:B,Insumos!C:$C)</f>
        <v/>
      </c>
      <c r="F4977" s="2164" t="n">
        <v>1.05</v>
      </c>
      <c r="G4977" s="92">
        <f t="array" ref="G4977">IF(B4977="insumo",_xlfn.XLOOKUP($D4977,Insumos!$B$1:$B$996,Insumos!$D$1:$D$996),"")</f>
        <v/>
      </c>
      <c r="H4977" s="92" t="n">
        <v>69.19499999999999</v>
      </c>
      <c r="I4977" s="2165" t="n">
        <v>0</v>
      </c>
      <c r="J4977" s="2165" t="n">
        <v>0</v>
      </c>
      <c r="K4977" s="2165" t="n"/>
    </row>
    <row r="4978" outlineLevel="2" ht="12.75" customHeight="1">
      <c r="A4978" s="82" t="n">
        <v>6</v>
      </c>
      <c r="B4978" s="82" t="inlineStr">
        <is>
          <t>Insumo</t>
        </is>
      </c>
      <c r="C4978" s="82" t="inlineStr">
        <is>
          <t>Calçadada/passeio em concreto intertravado</t>
        </is>
      </c>
      <c r="D4978" s="82" t="inlineStr">
        <is>
          <t xml:space="preserve">PO DE PEDRA </t>
        </is>
      </c>
      <c r="E4978" s="11">
        <f t="array" ref="E4978">_xlfn.XLOOKUP(D4978,Insumos!B:B,Insumos!C:$C)</f>
        <v/>
      </c>
      <c r="F4978" s="2164" t="n">
        <v>0.0066</v>
      </c>
      <c r="G4978" s="92">
        <f t="array" ref="G4978">IF(B4978="insumo",_xlfn.XLOOKUP($D4978,Insumos!$B$1:$B$996,Insumos!$D$1:$D$996),"")</f>
        <v/>
      </c>
      <c r="H4978" s="92" t="n">
        <v>0.697686</v>
      </c>
      <c r="I4978" s="2165" t="n">
        <v>0</v>
      </c>
      <c r="J4978" s="2165" t="n">
        <v>0</v>
      </c>
      <c r="K4978" s="2165" t="n"/>
    </row>
    <row r="4979" outlineLevel="2" ht="12.75" customHeight="1">
      <c r="A4979" s="82" t="n">
        <v>8</v>
      </c>
      <c r="B4979" s="82" t="inlineStr">
        <is>
          <t>Insumo</t>
        </is>
      </c>
      <c r="C4979" s="82" t="inlineStr">
        <is>
          <t>Calçadada/passeio em concreto intertravado</t>
        </is>
      </c>
      <c r="D4979" s="82" t="inlineStr">
        <is>
          <t>AREIA MEDIA</t>
        </is>
      </c>
      <c r="E4979" s="11">
        <f t="array" ref="E4979">_xlfn.XLOOKUP(D4979,Insumos!B:B,Insumos!C:$C)</f>
        <v/>
      </c>
      <c r="F4979" s="2164" t="n">
        <v>0.0568</v>
      </c>
      <c r="G4979" s="92">
        <f t="array" ref="G4979">IF(B4979="insumo",_xlfn.XLOOKUP($D4979,Insumos!$B$1:$B$996,Insumos!$D$1:$D$996),"")</f>
        <v/>
      </c>
      <c r="H4979" s="92" t="n">
        <v>8.236000000000001</v>
      </c>
      <c r="I4979" s="2165" t="n">
        <v>0</v>
      </c>
      <c r="J4979" s="2165" t="n">
        <v>0</v>
      </c>
      <c r="K4979" s="2165" t="n"/>
    </row>
    <row r="4980" outlineLevel="1" ht="12.75" customHeight="1">
      <c r="A4980" s="1071" t="n">
        <v>1</v>
      </c>
      <c r="B4980" s="1071" t="inlineStr">
        <is>
          <t>Serviço</t>
        </is>
      </c>
      <c r="C4980" s="1071" t="inlineStr">
        <is>
          <t xml:space="preserve">Calçadada/passeio em Podotátil </t>
        </is>
      </c>
      <c r="D4980" s="1071" t="inlineStr">
        <is>
          <t xml:space="preserve">Calçadada/passeio em Podotátil </t>
        </is>
      </c>
      <c r="E4980" s="1072" t="inlineStr">
        <is>
          <t>M2</t>
        </is>
      </c>
      <c r="F4980" s="1071" t="n"/>
      <c r="G4980" s="1073">
        <f t="array" ref="G4980">IF(B4980="insumo",_xlfn.XLOOKUP($D4980,Insumos!$B$1:$B$996,Insumos!$D$1:$D$996),"")</f>
        <v/>
      </c>
      <c r="H4980" s="1073" t="n">
        <v>116.978686</v>
      </c>
      <c r="I4980" s="2163" t="n">
        <v>0</v>
      </c>
      <c r="J4980" s="2163" t="n">
        <v>0</v>
      </c>
      <c r="K4980" s="2163" t="n"/>
    </row>
    <row r="4981" outlineLevel="2" ht="12.75" customHeight="1">
      <c r="A4981" s="82" t="n">
        <v>1</v>
      </c>
      <c r="B4981" s="82" t="inlineStr">
        <is>
          <t>Insumo</t>
        </is>
      </c>
      <c r="C4981" s="82" t="inlineStr">
        <is>
          <t xml:space="preserve">Calçadada/passeio em Podotátil </t>
        </is>
      </c>
      <c r="D4981" s="82" t="inlineStr">
        <is>
          <t>Piso Podotátil Alerta Amarelo 20x20cm Cimartex</t>
        </is>
      </c>
      <c r="E4981" s="11">
        <f t="array" ref="E4981">_xlfn.XLOOKUP(D4981,Insumos!B:B,Insumos!C:$C)</f>
        <v/>
      </c>
      <c r="F4981" s="2164" t="n">
        <v>1.05</v>
      </c>
      <c r="G4981" s="92">
        <f t="array" ref="G4981">IF(B4981="insumo",_xlfn.XLOOKUP($D4981,Insumos!$B$1:$B$996,Insumos!$D$1:$D$996),"")</f>
        <v/>
      </c>
      <c r="H4981" s="92" t="n">
        <v>108.045</v>
      </c>
      <c r="I4981" s="2165" t="n">
        <v>0</v>
      </c>
      <c r="J4981" s="2165" t="n">
        <v>0</v>
      </c>
      <c r="K4981" s="2165" t="n"/>
    </row>
    <row r="4982" outlineLevel="2" ht="12.75" customHeight="1">
      <c r="A4982" s="82" t="n">
        <v>6</v>
      </c>
      <c r="B4982" s="82" t="inlineStr">
        <is>
          <t>Insumo</t>
        </is>
      </c>
      <c r="C4982" s="82" t="inlineStr">
        <is>
          <t xml:space="preserve">Calçadada/passeio em Podotátil </t>
        </is>
      </c>
      <c r="D4982" s="82" t="inlineStr">
        <is>
          <t xml:space="preserve">PO DE PEDRA </t>
        </is>
      </c>
      <c r="E4982" s="11">
        <f t="array" ref="E4982">_xlfn.XLOOKUP(D4982,Insumos!B:B,Insumos!C:$C)</f>
        <v/>
      </c>
      <c r="F4982" s="2164" t="n">
        <v>0.0066</v>
      </c>
      <c r="G4982" s="92">
        <f t="array" ref="G4982">IF(B4982="insumo",_xlfn.XLOOKUP($D4982,Insumos!$B$1:$B$996,Insumos!$D$1:$D$996),"")</f>
        <v/>
      </c>
      <c r="H4982" s="92" t="n">
        <v>0.697686</v>
      </c>
      <c r="I4982" s="2165" t="n">
        <v>0</v>
      </c>
      <c r="J4982" s="2165" t="n">
        <v>0</v>
      </c>
      <c r="K4982" s="2165" t="n"/>
    </row>
    <row r="4983" outlineLevel="2" ht="12.75" customHeight="1">
      <c r="A4983" s="82" t="n">
        <v>8</v>
      </c>
      <c r="B4983" s="82" t="inlineStr">
        <is>
          <t>Insumo</t>
        </is>
      </c>
      <c r="C4983" s="82" t="inlineStr">
        <is>
          <t xml:space="preserve">Calçadada/passeio em Podotátil </t>
        </is>
      </c>
      <c r="D4983" s="82" t="inlineStr">
        <is>
          <t>AREIA MEDIA</t>
        </is>
      </c>
      <c r="E4983" s="11">
        <f t="array" ref="E4983">_xlfn.XLOOKUP(D4983,Insumos!B:B,Insumos!C:$C)</f>
        <v/>
      </c>
      <c r="F4983" s="2164" t="n">
        <v>0.0568</v>
      </c>
      <c r="G4983" s="92">
        <f t="array" ref="G4983">IF(B4983="insumo",_xlfn.XLOOKUP($D4983,Insumos!$B$1:$B$996,Insumos!$D$1:$D$996),"")</f>
        <v/>
      </c>
      <c r="H4983" s="92" t="n">
        <v>8.236000000000001</v>
      </c>
      <c r="I4983" s="2165" t="n">
        <v>0</v>
      </c>
      <c r="J4983" s="2165" t="n">
        <v>0</v>
      </c>
      <c r="K4983" s="2165" t="n"/>
    </row>
    <row r="4984" outlineLevel="1" ht="15.75" customHeight="1">
      <c r="A4984" s="1067" t="n">
        <v>1</v>
      </c>
      <c r="B4984" s="1067" t="inlineStr">
        <is>
          <t>Serviço</t>
        </is>
      </c>
      <c r="C4984" s="1067" t="inlineStr">
        <is>
          <t>Pavimentação em Pedras Naturais na calçada</t>
        </is>
      </c>
      <c r="D4984" s="1067" t="inlineStr">
        <is>
          <t>Pavimentação em Pedras Naturais na calçada</t>
        </is>
      </c>
      <c r="E4984" s="1068" t="inlineStr">
        <is>
          <t>M2</t>
        </is>
      </c>
      <c r="F4984" s="1067" t="n"/>
      <c r="G4984" s="1069">
        <f t="array" ref="G4984">IF(B4984="insumo",_xlfn.XLOOKUP($D4984,Insumos!$B$1:$B$996,Insumos!$D$1:$D$996),"")</f>
        <v/>
      </c>
      <c r="H4984" s="1069" t="n">
        <v>898.2455</v>
      </c>
      <c r="I4984" s="2161" t="n">
        <v>0</v>
      </c>
      <c r="J4984" s="2161" t="n">
        <v>0</v>
      </c>
      <c r="K4984" s="2161" t="n"/>
    </row>
    <row r="4985" outlineLevel="2" ht="15.75" customHeight="1">
      <c r="A4985" s="10" t="n">
        <v>10</v>
      </c>
      <c r="B4985" s="10" t="inlineStr">
        <is>
          <t>Insumo</t>
        </is>
      </c>
      <c r="C4985" s="10" t="inlineStr">
        <is>
          <t>Pavimentação em Pedras Naturais na calçada</t>
        </is>
      </c>
      <c r="D4985" s="10" t="inlineStr">
        <is>
          <t>Pedra Natural  para Revestimento</t>
        </is>
      </c>
      <c r="E4985" s="11">
        <f t="array" ref="E4985">_xlfn.XLOOKUP(D4985,Insumos!B:B,Insumos!C:$C)</f>
        <v/>
      </c>
      <c r="F4985" s="14" t="n">
        <v>1.1</v>
      </c>
      <c r="G4985" s="92">
        <f t="array" ref="G4985">IF(B4985="insumo",_xlfn.XLOOKUP($D4985,Insumos!$B$1:$B$996,Insumos!$D$1:$D$996),"")</f>
        <v/>
      </c>
      <c r="H4985" s="92" t="n">
        <v>880</v>
      </c>
      <c r="I4985" s="2162" t="n">
        <v>0</v>
      </c>
      <c r="J4985" s="2162" t="n">
        <v>0</v>
      </c>
      <c r="K4985" s="2162" t="n"/>
    </row>
    <row r="4986" outlineLevel="2" ht="15.75" customHeight="1">
      <c r="A4986" s="10" t="n">
        <v>191</v>
      </c>
      <c r="B4986" s="10" t="inlineStr">
        <is>
          <t>Insumo</t>
        </is>
      </c>
      <c r="C4986" s="10" t="inlineStr">
        <is>
          <t>Pavimentação em Pedras Naturais na calçada</t>
        </is>
      </c>
      <c r="D4986" s="10" t="inlineStr">
        <is>
          <t>Argamassa ACIII</t>
        </is>
      </c>
      <c r="E4986" s="11">
        <f t="array" ref="E4986">_xlfn.XLOOKUP(D4986,Insumos!B:B,Insumos!C:$C)</f>
        <v/>
      </c>
      <c r="F4986" s="14" t="n">
        <v>9</v>
      </c>
      <c r="G4986" s="92">
        <f t="array" ref="G4986">IF(B4986="insumo",_xlfn.XLOOKUP($D4986,Insumos!$B$1:$B$996,Insumos!$D$1:$D$996),"")</f>
        <v/>
      </c>
      <c r="H4986" s="92" t="n">
        <v>9.580500000000001</v>
      </c>
      <c r="I4986" s="2162" t="n">
        <v>0</v>
      </c>
      <c r="J4986" s="2162" t="n">
        <v>0</v>
      </c>
      <c r="K4986" s="2162" t="n"/>
    </row>
    <row r="4987" outlineLevel="2" ht="15.75" customHeight="1">
      <c r="A4987" s="10" t="n">
        <v>34</v>
      </c>
      <c r="B4987" s="10" t="inlineStr">
        <is>
          <t>Insumo</t>
        </is>
      </c>
      <c r="C4987" s="10" t="inlineStr">
        <is>
          <t>Pavimentação em Pedras Naturais na calçada</t>
        </is>
      </c>
      <c r="D4987" s="10" t="inlineStr">
        <is>
          <t>Massa Plastica 400g</t>
        </is>
      </c>
      <c r="E4987" s="11">
        <f t="array" ref="E4987">_xlfn.XLOOKUP(D4987,Insumos!B:B,Insumos!C:$C)</f>
        <v/>
      </c>
      <c r="F4987" s="14" t="n">
        <v>0.5</v>
      </c>
      <c r="G4987" s="92">
        <f t="array" ref="G4987">IF(B4987="insumo",_xlfn.XLOOKUP($D4987,Insumos!$B$1:$B$996,Insumos!$D$1:$D$996),"")</f>
        <v/>
      </c>
      <c r="H4987" s="92" t="n">
        <v>8.664999999999999</v>
      </c>
      <c r="I4987" s="2162" t="n">
        <v>0</v>
      </c>
      <c r="J4987" s="2162" t="n">
        <v>0</v>
      </c>
      <c r="K4987" s="2162" t="n"/>
    </row>
    <row r="4988" outlineLevel="1" ht="15.75" customHeight="1">
      <c r="A4988" s="1067" t="n">
        <v>1</v>
      </c>
      <c r="B4988" s="1067" t="inlineStr">
        <is>
          <t>Serviço</t>
        </is>
      </c>
      <c r="C4988" s="1067" t="inlineStr">
        <is>
          <t>Mão de obra para execução de pedra natural em piso áreas externas</t>
        </is>
      </c>
      <c r="D4988" s="1067" t="inlineStr">
        <is>
          <t>Mão de obra para execução de pedra natural em piso áreas externas</t>
        </is>
      </c>
      <c r="E4988" s="1068" t="inlineStr">
        <is>
          <t>M2</t>
        </is>
      </c>
      <c r="F4988" s="1067" t="n"/>
      <c r="G4988" s="1069">
        <f t="array" ref="G4988">IF(B4988="insumo",_xlfn.XLOOKUP($D4988,Insumos!$B$1:$B$996,Insumos!$D$1:$D$996),"")</f>
        <v/>
      </c>
      <c r="H4988" s="1069" t="n">
        <v>150</v>
      </c>
      <c r="I4988" s="2161" t="n">
        <v>0</v>
      </c>
      <c r="J4988" s="2161" t="n">
        <v>0</v>
      </c>
      <c r="K4988" s="2161" t="n"/>
    </row>
    <row r="4989" outlineLevel="2" ht="15.75" customHeight="1">
      <c r="A4989" s="10" t="n">
        <v>1</v>
      </c>
      <c r="B4989" s="10" t="inlineStr">
        <is>
          <t>Insumo</t>
        </is>
      </c>
      <c r="C4989" s="10" t="inlineStr">
        <is>
          <t>Mão de obra para execução de pedra natural em piso áreas externas</t>
        </is>
      </c>
      <c r="D4989" s="10" t="inlineStr">
        <is>
          <t>Mão de obra para execução de pedra natural em piso áreas externas</t>
        </is>
      </c>
      <c r="E4989" s="11">
        <f t="array" ref="E4989">_xlfn.XLOOKUP(D4989,Insumos!B:B,Insumos!C:$C)</f>
        <v/>
      </c>
      <c r="F4989" s="14" t="n">
        <v>1</v>
      </c>
      <c r="G4989" s="92">
        <f t="array" ref="G4989">IF(B4989="insumo",_xlfn.XLOOKUP($D4989,Insumos!$B$1:$B$996,Insumos!$D$1:$D$996),"")</f>
        <v/>
      </c>
      <c r="H4989" s="92" t="n">
        <v>150</v>
      </c>
      <c r="I4989" s="2162" t="n">
        <v>0</v>
      </c>
      <c r="J4989" s="2162" t="n">
        <v>0</v>
      </c>
      <c r="K4989" s="2162" t="n"/>
    </row>
    <row r="4990" outlineLevel="1" ht="15.75" customHeight="1">
      <c r="A4990" s="1067" t="n">
        <v>1</v>
      </c>
      <c r="B4990" s="1067" t="inlineStr">
        <is>
          <t>Serviço</t>
        </is>
      </c>
      <c r="C4990" s="1067" t="inlineStr">
        <is>
          <t>Execução de sarjeta extrusada</t>
        </is>
      </c>
      <c r="D4990" s="1067" t="inlineStr">
        <is>
          <t>Execução de sarjeta extrusada</t>
        </is>
      </c>
      <c r="E4990" s="1068" t="inlineStr">
        <is>
          <t>M</t>
        </is>
      </c>
      <c r="F4990" s="1067" t="n"/>
      <c r="G4990" s="1069">
        <f t="array" ref="G4990">IF(B4990="insumo",_xlfn.XLOOKUP($D4990,Insumos!$B$1:$B$996,Insumos!$D$1:$D$996),"")</f>
        <v/>
      </c>
      <c r="H4990" s="1069" t="n">
        <v>4.08</v>
      </c>
      <c r="I4990" s="2161" t="n">
        <v>0</v>
      </c>
      <c r="J4990" s="2161" t="n">
        <v>0</v>
      </c>
      <c r="K4990" s="2161" t="n"/>
    </row>
    <row r="4991" outlineLevel="2" ht="15.75" customHeight="1">
      <c r="A4991" s="10" t="n">
        <v>1</v>
      </c>
      <c r="B4991" s="10" t="inlineStr">
        <is>
          <t>Insumo</t>
        </is>
      </c>
      <c r="C4991" s="10" t="inlineStr">
        <is>
          <t>Execução de sarjeta extrusada</t>
        </is>
      </c>
      <c r="D4991" s="10" t="inlineStr">
        <is>
          <t>Maquina meio fio Imb 2020</t>
        </is>
      </c>
      <c r="E4991" s="11">
        <f t="array" ref="E4991">_xlfn.XLOOKUP(D4991,Insumos!B:B,Insumos!C:$C)</f>
        <v/>
      </c>
      <c r="F4991" s="14" t="n">
        <v>0.00068</v>
      </c>
      <c r="G4991" s="92">
        <f t="array" ref="G4991">IF(B4991="insumo",_xlfn.XLOOKUP($D4991,Insumos!$B$1:$B$996,Insumos!$D$1:$D$996),"")</f>
        <v/>
      </c>
      <c r="H4991" s="92" t="n">
        <v>0.68</v>
      </c>
      <c r="I4991" s="2162" t="n">
        <v>0</v>
      </c>
      <c r="J4991" s="2162" t="n">
        <v>0</v>
      </c>
      <c r="K4991" s="2162" t="n"/>
    </row>
    <row r="4992" outlineLevel="2" ht="15.75" customHeight="1">
      <c r="A4992" s="10" t="n">
        <v>1</v>
      </c>
      <c r="B4992" s="10" t="inlineStr">
        <is>
          <t>Insumo</t>
        </is>
      </c>
      <c r="C4992" s="10" t="inlineStr">
        <is>
          <t>Execução de sarjeta extrusada</t>
        </is>
      </c>
      <c r="D4992" s="10" t="inlineStr">
        <is>
          <t>Retro New holland lb 90 simples 2010</t>
        </is>
      </c>
      <c r="E4992" s="11">
        <f t="array" ref="E4992">_xlfn.XLOOKUP(D4992,Insumos!B:B,Insumos!C:$C)</f>
        <v/>
      </c>
      <c r="F4992" s="14" t="n">
        <v>0.0004533333333333334</v>
      </c>
      <c r="G4992" s="92">
        <f t="array" ref="G4992">IF(B4992="insumo",_xlfn.XLOOKUP($D4992,Insumos!$B$1:$B$996,Insumos!$D$1:$D$996),"")</f>
        <v/>
      </c>
      <c r="H4992" s="92" t="n">
        <v>0.68</v>
      </c>
      <c r="I4992" s="2162" t="n">
        <v>0</v>
      </c>
      <c r="J4992" s="2162" t="n">
        <v>0</v>
      </c>
      <c r="K4992" s="2162" t="n"/>
    </row>
    <row r="4993" outlineLevel="2" ht="15.75" customHeight="1">
      <c r="A4993" s="10" t="n">
        <v>7</v>
      </c>
      <c r="B4993" s="10" t="inlineStr">
        <is>
          <t>Insumo</t>
        </is>
      </c>
      <c r="C4993" s="10" t="inlineStr">
        <is>
          <t>Execução de sarjeta extrusada</t>
        </is>
      </c>
      <c r="D4993" s="10" t="inlineStr">
        <is>
          <t>Operador de máquina 2</t>
        </is>
      </c>
      <c r="E4993" s="11">
        <f t="array" ref="E4993">_xlfn.XLOOKUP(D4993,Insumos!B:B,Insumos!C:$C)</f>
        <v/>
      </c>
      <c r="F4993" s="14" t="n">
        <v>0.0001971014492753623</v>
      </c>
      <c r="G4993" s="92">
        <f t="array" ref="G4993">IF(B4993="insumo",_xlfn.XLOOKUP($D4993,Insumos!$B$1:$B$996,Insumos!$D$1:$D$996),"")</f>
        <v/>
      </c>
      <c r="H4993" s="92" t="n">
        <v>0.68</v>
      </c>
      <c r="I4993" s="2162" t="n">
        <v>0</v>
      </c>
      <c r="J4993" s="2162" t="n">
        <v>0</v>
      </c>
      <c r="K4993" s="2162" t="n"/>
    </row>
    <row r="4994" outlineLevel="2" ht="15.75" customHeight="1">
      <c r="A4994" s="10" t="n">
        <v>7</v>
      </c>
      <c r="B4994" s="10" t="inlineStr">
        <is>
          <t>Insumo</t>
        </is>
      </c>
      <c r="C4994" s="10" t="inlineStr">
        <is>
          <t>Execução de sarjeta extrusada</t>
        </is>
      </c>
      <c r="D4994" s="10" t="inlineStr">
        <is>
          <t>Operador de máquina 2</t>
        </is>
      </c>
      <c r="E4994" s="11">
        <f t="array" ref="E4994">_xlfn.XLOOKUP(D4994,Insumos!B:B,Insumos!C:$C)</f>
        <v/>
      </c>
      <c r="F4994" s="14" t="n">
        <v>0.0001971014492753623</v>
      </c>
      <c r="G4994" s="92">
        <f t="array" ref="G4994">IF(B4994="insumo",_xlfn.XLOOKUP($D4994,Insumos!$B$1:$B$996,Insumos!$D$1:$D$996),"")</f>
        <v/>
      </c>
      <c r="H4994" s="92" t="n">
        <v>0.68</v>
      </c>
      <c r="I4994" s="2162" t="n">
        <v>0</v>
      </c>
      <c r="J4994" s="2162" t="n">
        <v>0</v>
      </c>
      <c r="K4994" s="2162" t="n"/>
    </row>
    <row r="4995" outlineLevel="2" ht="15.75" customHeight="1">
      <c r="A4995" s="10" t="n">
        <v>1</v>
      </c>
      <c r="B4995" s="10" t="inlineStr">
        <is>
          <t>Insumo</t>
        </is>
      </c>
      <c r="C4995" s="10" t="inlineStr">
        <is>
          <t>Execução de sarjeta extrusada</t>
        </is>
      </c>
      <c r="D4995" s="10" t="inlineStr">
        <is>
          <t>Oficial 2</t>
        </is>
      </c>
      <c r="E4995" s="11">
        <f t="array" ref="E4995">_xlfn.XLOOKUP(D4995,Insumos!B:B,Insumos!C:$C)</f>
        <v/>
      </c>
      <c r="F4995" s="14" t="n">
        <v>0.0002266666666666667</v>
      </c>
      <c r="G4995" s="92">
        <f t="array" ref="G4995">IF(B4995="insumo",_xlfn.XLOOKUP($D4995,Insumos!$B$1:$B$996,Insumos!$D$1:$D$996),"")</f>
        <v/>
      </c>
      <c r="H4995" s="92" t="n">
        <v>0.68</v>
      </c>
      <c r="I4995" s="2162" t="n">
        <v>0</v>
      </c>
      <c r="J4995" s="2162" t="n">
        <v>0</v>
      </c>
      <c r="K4995" s="2162" t="n"/>
    </row>
    <row r="4996" outlineLevel="2" ht="15.75" customHeight="1">
      <c r="A4996" s="10" t="n">
        <v>1</v>
      </c>
      <c r="B4996" s="10" t="inlineStr">
        <is>
          <t>Insumo</t>
        </is>
      </c>
      <c r="C4996" s="10" t="inlineStr">
        <is>
          <t>Execução de sarjeta extrusada</t>
        </is>
      </c>
      <c r="D4996" s="10" t="inlineStr">
        <is>
          <t>Ajudante 1</t>
        </is>
      </c>
      <c r="E4996" s="11">
        <f t="array" ref="E4996">_xlfn.XLOOKUP(D4996,Insumos!B:B,Insumos!C:$C)</f>
        <v/>
      </c>
      <c r="F4996" s="14" t="n">
        <v>0.0002833333333333334</v>
      </c>
      <c r="G4996" s="92">
        <f t="array" ref="G4996">IF(B4996="insumo",_xlfn.XLOOKUP($D4996,Insumos!$B$1:$B$996,Insumos!$D$1:$D$996),"")</f>
        <v/>
      </c>
      <c r="H4996" s="92" t="n">
        <v>0.68</v>
      </c>
      <c r="I4996" s="2162" t="n">
        <v>0</v>
      </c>
      <c r="J4996" s="2162" t="n">
        <v>0</v>
      </c>
      <c r="K4996" s="2162" t="n"/>
    </row>
    <row r="4997" outlineLevel="1" ht="15.75" customHeight="1">
      <c r="A4997" s="1067" t="n">
        <v>1</v>
      </c>
      <c r="B4997" s="1067" t="inlineStr">
        <is>
          <t>Serviço</t>
        </is>
      </c>
      <c r="C4997" s="1067" t="inlineStr">
        <is>
          <t>Base bica corrida e=20cm</t>
        </is>
      </c>
      <c r="D4997" s="1067" t="inlineStr">
        <is>
          <t>Base bica corrida e=20cm</t>
        </is>
      </c>
      <c r="E4997" s="1068" t="inlineStr">
        <is>
          <t>M3</t>
        </is>
      </c>
      <c r="F4997" s="1067" t="n"/>
      <c r="G4997" s="1069">
        <f t="array" ref="G4997">IF(B4997="insumo",_xlfn.XLOOKUP($D4997,Insumos!$B$1:$B$996,Insumos!$D$1:$D$996),"")</f>
        <v/>
      </c>
      <c r="H4997" s="1069" t="n">
        <v>150.15</v>
      </c>
      <c r="I4997" s="2161" t="n">
        <v>0</v>
      </c>
      <c r="J4997" s="2161" t="n">
        <v>0</v>
      </c>
      <c r="K4997" s="2161" t="n"/>
    </row>
    <row r="4998" outlineLevel="2" ht="15.75" customHeight="1">
      <c r="A4998" s="10" t="n">
        <v>1</v>
      </c>
      <c r="B4998" s="10" t="inlineStr">
        <is>
          <t>Insumo</t>
        </is>
      </c>
      <c r="C4998" s="10" t="inlineStr">
        <is>
          <t>Base bica corrida e=20cm</t>
        </is>
      </c>
      <c r="D4998" s="10" t="inlineStr">
        <is>
          <t>Bica corrida</t>
        </is>
      </c>
      <c r="E4998" s="11">
        <f t="array" ref="E4998">_xlfn.XLOOKUP(D4998,Insumos!B:B,Insumos!C:$C)</f>
        <v/>
      </c>
      <c r="F4998" s="14" t="n">
        <v>1.05</v>
      </c>
      <c r="G4998" s="92">
        <f t="array" ref="G4998">IF(B4998="insumo",_xlfn.XLOOKUP($D4998,Insumos!$B$1:$B$996,Insumos!$D$1:$D$996),"")</f>
        <v/>
      </c>
      <c r="H4998" s="92" t="n">
        <v>150.15</v>
      </c>
      <c r="I4998" s="2162" t="n">
        <v>0</v>
      </c>
      <c r="J4998" s="2162" t="n">
        <v>0</v>
      </c>
      <c r="K4998" s="2162" t="n"/>
    </row>
    <row r="4999" outlineLevel="1" ht="15.75" customHeight="1">
      <c r="A4999" s="1067" t="n">
        <v>1</v>
      </c>
      <c r="B4999" s="1067" t="inlineStr">
        <is>
          <t>Serviço</t>
        </is>
      </c>
      <c r="C4999" s="1067" t="inlineStr">
        <is>
          <t>Mão de obra para execução de base</t>
        </is>
      </c>
      <c r="D4999" s="1067" t="inlineStr">
        <is>
          <t>Mão de obra para execução de base</t>
        </is>
      </c>
      <c r="E4999" s="1068" t="inlineStr">
        <is>
          <t>M3</t>
        </is>
      </c>
      <c r="F4999" s="1067" t="n"/>
      <c r="G4999" s="1069">
        <f t="array" ref="G4999">IF(B4999="insumo",_xlfn.XLOOKUP($D4999,Insumos!$B$1:$B$996,Insumos!$D$1:$D$996),"")</f>
        <v/>
      </c>
      <c r="H4999" s="1069" t="n">
        <v>5.08</v>
      </c>
      <c r="I4999" s="2161" t="n">
        <v>0</v>
      </c>
      <c r="J4999" s="2161" t="n">
        <v>0</v>
      </c>
      <c r="K4999" s="2161" t="n"/>
    </row>
    <row r="5000" outlineLevel="2" ht="15.75" customHeight="1">
      <c r="A5000" s="10" t="n">
        <v>1</v>
      </c>
      <c r="B5000" s="10" t="inlineStr">
        <is>
          <t>Insumo</t>
        </is>
      </c>
      <c r="C5000" s="10" t="inlineStr">
        <is>
          <t>Mão de obra para execução de base</t>
        </is>
      </c>
      <c r="D5000" s="10" t="inlineStr">
        <is>
          <t>Patrola New holland 170g 2011</t>
        </is>
      </c>
      <c r="E5000" s="11">
        <f t="array" ref="E5000">_xlfn.XLOOKUP(D5000,Insumos!B:B,Insumos!C:$C)</f>
        <v/>
      </c>
      <c r="F5000" s="14" t="n">
        <v>0.0001814285714285715</v>
      </c>
      <c r="G5000" s="92">
        <f t="array" ref="G5000">IF(B5000="insumo",_xlfn.XLOOKUP($D5000,Insumos!$B$1:$B$996,Insumos!$D$1:$D$996),"")</f>
        <v/>
      </c>
      <c r="H5000" s="92" t="n">
        <v>0.725714285714286</v>
      </c>
      <c r="I5000" s="2162" t="n">
        <v>0</v>
      </c>
      <c r="J5000" s="2162" t="n">
        <v>0</v>
      </c>
      <c r="K5000" s="2162" t="n"/>
    </row>
    <row r="5001" outlineLevel="2" ht="15.75" customHeight="1">
      <c r="A5001" s="10" t="n">
        <v>1</v>
      </c>
      <c r="B5001" s="10" t="inlineStr">
        <is>
          <t>Insumo</t>
        </is>
      </c>
      <c r="C5001" s="10" t="inlineStr">
        <is>
          <t>Mão de obra para execução de base</t>
        </is>
      </c>
      <c r="D5001" s="10" t="inlineStr">
        <is>
          <t>Caminhao pipa ford f.14.000  1997</t>
        </is>
      </c>
      <c r="E5001" s="11">
        <f t="array" ref="E5001">_xlfn.XLOOKUP(D5001,Insumos!B:B,Insumos!C:$C)</f>
        <v/>
      </c>
      <c r="F5001" s="14" t="n">
        <v>0.0004838095238095238</v>
      </c>
      <c r="G5001" s="92">
        <f t="array" ref="G5001">IF(B5001="insumo",_xlfn.XLOOKUP($D5001,Insumos!$B$1:$B$996,Insumos!$D$1:$D$996),"")</f>
        <v/>
      </c>
      <c r="H5001" s="92" t="n">
        <v>0.725714285714286</v>
      </c>
      <c r="I5001" s="2162" t="n">
        <v>0</v>
      </c>
      <c r="J5001" s="2162" t="n">
        <v>0</v>
      </c>
      <c r="K5001" s="2162" t="n"/>
    </row>
    <row r="5002" outlineLevel="2" ht="15.75" customHeight="1">
      <c r="A5002" s="10" t="n">
        <v>1</v>
      </c>
      <c r="B5002" s="10" t="inlineStr">
        <is>
          <t>Insumo</t>
        </is>
      </c>
      <c r="C5002" s="10" t="inlineStr">
        <is>
          <t>Mão de obra para execução de base</t>
        </is>
      </c>
      <c r="D5002" s="10" t="inlineStr">
        <is>
          <t>Rolo Sany 2009</t>
        </is>
      </c>
      <c r="E5002" s="11">
        <f t="array" ref="E5002">_xlfn.XLOOKUP(D5002,Insumos!B:B,Insumos!C:$C)</f>
        <v/>
      </c>
      <c r="F5002" s="14" t="n">
        <v>0.0003628571428571429</v>
      </c>
      <c r="G5002" s="92">
        <f t="array" ref="G5002">IF(B5002="insumo",_xlfn.XLOOKUP($D5002,Insumos!$B$1:$B$996,Insumos!$D$1:$D$996),"")</f>
        <v/>
      </c>
      <c r="H5002" s="92" t="n">
        <v>0.725714285714286</v>
      </c>
      <c r="I5002" s="2162" t="n">
        <v>0</v>
      </c>
      <c r="J5002" s="2162" t="n">
        <v>0</v>
      </c>
      <c r="K5002" s="2162" t="n"/>
    </row>
    <row r="5003" outlineLevel="2" ht="15.75" customHeight="1">
      <c r="A5003" s="10" t="n">
        <v>7</v>
      </c>
      <c r="B5003" s="10" t="inlineStr">
        <is>
          <t>Insumo</t>
        </is>
      </c>
      <c r="C5003" s="10" t="inlineStr">
        <is>
          <t>Mão de obra para execução de base</t>
        </is>
      </c>
      <c r="D5003" s="10" t="inlineStr">
        <is>
          <t>Operador de máquina 2</t>
        </is>
      </c>
      <c r="E5003" s="11">
        <f t="array" ref="E5003">_xlfn.XLOOKUP(D5003,Insumos!B:B,Insumos!C:$C)</f>
        <v/>
      </c>
      <c r="F5003" s="14" t="n">
        <v>0.000210351966873706</v>
      </c>
      <c r="G5003" s="92">
        <f t="array" ref="G5003">IF(B5003="insumo",_xlfn.XLOOKUP($D5003,Insumos!$B$1:$B$996,Insumos!$D$1:$D$996),"")</f>
        <v/>
      </c>
      <c r="H5003" s="92" t="n">
        <v>0.725714285714286</v>
      </c>
      <c r="I5003" s="2162" t="n">
        <v>0</v>
      </c>
      <c r="J5003" s="2162" t="n">
        <v>0</v>
      </c>
      <c r="K5003" s="2162" t="n"/>
    </row>
    <row r="5004" outlineLevel="2" ht="15.75" customHeight="1">
      <c r="A5004" s="10" t="n">
        <v>1</v>
      </c>
      <c r="B5004" s="10" t="inlineStr">
        <is>
          <t>Insumo</t>
        </is>
      </c>
      <c r="C5004" s="10" t="inlineStr">
        <is>
          <t>Mão de obra para execução de base</t>
        </is>
      </c>
      <c r="D5004" s="10" t="inlineStr">
        <is>
          <t>Operador de máquina 4</t>
        </is>
      </c>
      <c r="E5004" s="11">
        <f t="array" ref="E5004">_xlfn.XLOOKUP(D5004,Insumos!B:B,Insumos!C:$C)</f>
        <v/>
      </c>
      <c r="F5004" s="14" t="n">
        <v>0.0002419047619047619</v>
      </c>
      <c r="G5004" s="92">
        <f t="array" ref="G5004">IF(B5004="insumo",_xlfn.XLOOKUP($D5004,Insumos!$B$1:$B$996,Insumos!$D$1:$D$996),"")</f>
        <v/>
      </c>
      <c r="H5004" s="92" t="n">
        <v>0.725714285714286</v>
      </c>
      <c r="I5004" s="2162" t="n">
        <v>0</v>
      </c>
      <c r="J5004" s="2162" t="n">
        <v>0</v>
      </c>
      <c r="K5004" s="2162" t="n"/>
    </row>
    <row r="5005" outlineLevel="2" ht="15.75" customHeight="1">
      <c r="A5005" s="10" t="n">
        <v>1</v>
      </c>
      <c r="B5005" s="10" t="inlineStr">
        <is>
          <t>Insumo</t>
        </is>
      </c>
      <c r="C5005" s="10" t="inlineStr">
        <is>
          <t>Mão de obra para execução de base</t>
        </is>
      </c>
      <c r="D5005" s="10" t="inlineStr">
        <is>
          <t>Operador de máquina 5</t>
        </is>
      </c>
      <c r="E5005" s="11">
        <f t="array" ref="E5005">_xlfn.XLOOKUP(D5005,Insumos!B:B,Insumos!C:$C)</f>
        <v/>
      </c>
      <c r="F5005" s="14" t="n">
        <v>0.0003023809523809524</v>
      </c>
      <c r="G5005" s="92">
        <f t="array" ref="G5005">IF(B5005="insumo",_xlfn.XLOOKUP($D5005,Insumos!$B$1:$B$996,Insumos!$D$1:$D$996),"")</f>
        <v/>
      </c>
      <c r="H5005" s="92" t="n">
        <v>0.725714285714286</v>
      </c>
      <c r="I5005" s="2162" t="n">
        <v>0</v>
      </c>
      <c r="J5005" s="2162" t="n">
        <v>0</v>
      </c>
      <c r="K5005" s="2162" t="n"/>
    </row>
    <row r="5006" outlineLevel="2" ht="15.75" customHeight="1">
      <c r="A5006" s="10" t="n">
        <v>1</v>
      </c>
      <c r="B5006" s="10" t="inlineStr">
        <is>
          <t>Insumo</t>
        </is>
      </c>
      <c r="C5006" s="10" t="inlineStr">
        <is>
          <t>Mão de obra para execução de base</t>
        </is>
      </c>
      <c r="D5006" s="10" t="inlineStr">
        <is>
          <t>Mestre 2</t>
        </is>
      </c>
      <c r="E5006" s="11">
        <f t="array" ref="E5006">_xlfn.XLOOKUP(D5006,Insumos!B:B,Insumos!C:$C)</f>
        <v/>
      </c>
      <c r="F5006" s="14" t="n">
        <v>0.0001116483516483516</v>
      </c>
      <c r="G5006" s="92">
        <f t="array" ref="G5006">IF(B5006="insumo",_xlfn.XLOOKUP($D5006,Insumos!$B$1:$B$996,Insumos!$D$1:$D$996),"")</f>
        <v/>
      </c>
      <c r="H5006" s="92" t="n">
        <v>0.725714285714286</v>
      </c>
      <c r="I5006" s="2162" t="n">
        <v>0</v>
      </c>
      <c r="J5006" s="2162" t="n">
        <v>0</v>
      </c>
      <c r="K5006" s="2162" t="n"/>
    </row>
    <row r="5007" outlineLevel="1" ht="15.75" customHeight="1">
      <c r="A5007" s="1067" t="n">
        <v>1</v>
      </c>
      <c r="B5007" s="1067" t="inlineStr">
        <is>
          <t>Serviço</t>
        </is>
      </c>
      <c r="C5007" s="1067" t="inlineStr">
        <is>
          <t>Pavimentação em Intertravado 10x20x06cm, Para vias, Calçadas e entrada das casas</t>
        </is>
      </c>
      <c r="D5007" s="1067" t="inlineStr">
        <is>
          <t>Pavimentação em Intertravado 10x20x06cm, Para vias, Calçadas e entrada das casas</t>
        </is>
      </c>
      <c r="E5007" s="1068" t="inlineStr">
        <is>
          <t>M2</t>
        </is>
      </c>
      <c r="F5007" s="1067" t="n"/>
      <c r="G5007" s="1069">
        <f t="array" ref="G5007">IF(B5007="insumo",_xlfn.XLOOKUP($D5007,Insumos!$B$1:$B$996,Insumos!$D$1:$D$996),"")</f>
        <v/>
      </c>
      <c r="H5007" s="1069" t="n">
        <v>108.035</v>
      </c>
      <c r="I5007" s="2161" t="n">
        <v>0</v>
      </c>
      <c r="J5007" s="2161" t="n">
        <v>0</v>
      </c>
      <c r="K5007" s="2161" t="n"/>
    </row>
    <row r="5008" outlineLevel="2" ht="15.75" customHeight="1">
      <c r="A5008" s="10" t="n">
        <v>1</v>
      </c>
      <c r="B5008" s="10" t="inlineStr">
        <is>
          <t>Insumo</t>
        </is>
      </c>
      <c r="C5008" s="10" t="inlineStr">
        <is>
          <t>Pavimentação em Intertravado 10x20x06cm, Para vias, Calçadas e entrada das casas</t>
        </is>
      </c>
      <c r="D5008" s="10" t="inlineStr">
        <is>
          <t>PISO INTERTRAVADO CONCRETO SEXTAVADO 35MPA 30X30X06CM NATURAL</t>
        </is>
      </c>
      <c r="E5008" s="11">
        <f t="array" ref="E5008">_xlfn.XLOOKUP(D5008,Insumos!B:B,Insumos!C:$C)</f>
        <v/>
      </c>
      <c r="F5008" s="14" t="n">
        <v>1.05</v>
      </c>
      <c r="G5008" s="92">
        <f t="array" ref="G5008">IF(B5008="insumo",_xlfn.XLOOKUP($D5008,Insumos!$B$1:$B$996,Insumos!$D$1:$D$996),"")</f>
        <v/>
      </c>
      <c r="H5008" s="92" t="n">
        <v>79.69499999999999</v>
      </c>
      <c r="I5008" s="2162" t="n">
        <v>0</v>
      </c>
      <c r="J5008" s="2162" t="n">
        <v>0</v>
      </c>
      <c r="K5008" s="2162" t="n"/>
    </row>
    <row r="5009" outlineLevel="2" ht="15.75" customHeight="1">
      <c r="A5009" s="10" t="n">
        <v>1</v>
      </c>
      <c r="B5009" s="10" t="inlineStr">
        <is>
          <t>Insumo</t>
        </is>
      </c>
      <c r="C5009" s="10" t="inlineStr">
        <is>
          <t>Pavimentação em Intertravado 10x20x06cm, Para vias, Calçadas e entrada das casas</t>
        </is>
      </c>
      <c r="D5009" s="10" t="inlineStr">
        <is>
          <t>PO PEDRA A GRANEL (M3) - GRANULOMETRIA 1,2 A 4,75MM NBR 7211</t>
        </is>
      </c>
      <c r="E5009" s="11">
        <f t="array" ref="E5009">_xlfn.XLOOKUP(D5009,Insumos!B:B,Insumos!C:$C)</f>
        <v/>
      </c>
      <c r="F5009" s="14" t="n">
        <v>0.09</v>
      </c>
      <c r="G5009" s="92">
        <f t="array" ref="G5009">IF(B5009="insumo",_xlfn.XLOOKUP($D5009,Insumos!$B$1:$B$996,Insumos!$D$1:$D$996),"")</f>
        <v/>
      </c>
      <c r="H5009" s="92" t="n">
        <v>27</v>
      </c>
      <c r="I5009" s="2162" t="n">
        <v>0</v>
      </c>
      <c r="J5009" s="2162" t="n">
        <v>0</v>
      </c>
      <c r="K5009" s="2162" t="n"/>
    </row>
    <row r="5010" outlineLevel="2" ht="15.75" customHeight="1">
      <c r="A5010" s="10" t="n">
        <v>1</v>
      </c>
      <c r="B5010" s="10" t="inlineStr">
        <is>
          <t>Insumo</t>
        </is>
      </c>
      <c r="C5010" s="10" t="inlineStr">
        <is>
          <t>Pavimentação em Intertravado 10x20x06cm, Para vias, Calçadas e entrada das casas</t>
        </is>
      </c>
      <c r="D5010" s="10" t="inlineStr">
        <is>
          <t>AREIA FINA</t>
        </is>
      </c>
      <c r="E5010" s="11">
        <f t="array" ref="E5010">_xlfn.XLOOKUP(D5010,Insumos!B:B,Insumos!C:$C)</f>
        <v/>
      </c>
      <c r="F5010" s="14" t="n">
        <v>0.01</v>
      </c>
      <c r="G5010" s="92">
        <f t="array" ref="G5010">IF(B5010="insumo",_xlfn.XLOOKUP($D5010,Insumos!$B$1:$B$996,Insumos!$D$1:$D$996),"")</f>
        <v/>
      </c>
      <c r="H5010" s="92" t="n">
        <v>1.34</v>
      </c>
      <c r="I5010" s="2162" t="n">
        <v>0</v>
      </c>
      <c r="J5010" s="2162" t="n">
        <v>0</v>
      </c>
      <c r="K5010" s="2162" t="n"/>
    </row>
    <row r="5011" outlineLevel="1" ht="15.75" customHeight="1">
      <c r="A5011" s="1067" t="n">
        <v>1</v>
      </c>
      <c r="B5011" s="1067" t="inlineStr">
        <is>
          <t>Serviço</t>
        </is>
      </c>
      <c r="C5011" s="1067" t="inlineStr">
        <is>
          <t>Mão de Obra Instalação Pavimentação em Intertravado</t>
        </is>
      </c>
      <c r="D5011" s="1067" t="inlineStr">
        <is>
          <t>Mão de Obra Instalação Pavimentação em Intertravado</t>
        </is>
      </c>
      <c r="E5011" s="1068" t="inlineStr">
        <is>
          <t>M2</t>
        </is>
      </c>
      <c r="F5011" s="1067" t="n"/>
      <c r="G5011" s="1069">
        <f t="array" ref="G5011">IF(B5011="insumo",_xlfn.XLOOKUP($D5011,Insumos!$B$1:$B$996,Insumos!$D$1:$D$996),"")</f>
        <v/>
      </c>
      <c r="H5011" s="1069" t="n">
        <v>50</v>
      </c>
      <c r="I5011" s="2161" t="n">
        <v>0</v>
      </c>
      <c r="J5011" s="2161" t="n">
        <v>0</v>
      </c>
      <c r="K5011" s="2161" t="n"/>
    </row>
    <row r="5012" outlineLevel="2" ht="15.75" customHeight="1">
      <c r="A5012" s="10" t="n">
        <v>1</v>
      </c>
      <c r="B5012" s="10" t="inlineStr">
        <is>
          <t>Insumo</t>
        </is>
      </c>
      <c r="C5012" s="10" t="inlineStr">
        <is>
          <t>Mão de Obra Instalação Pavimentação em Intertravado</t>
        </is>
      </c>
      <c r="D5012" s="10" t="inlineStr">
        <is>
          <t>SERVICO PAVIMENTACAO INTERNA C/INTERTRAVADO - EXECUCAO COMPLETA</t>
        </is>
      </c>
      <c r="E5012" s="11">
        <f t="array" ref="E5012">_xlfn.XLOOKUP(D5012,Insumos!B:B,Insumos!C:$C)</f>
        <v/>
      </c>
      <c r="F5012" s="14" t="n">
        <v>1</v>
      </c>
      <c r="G5012" s="92">
        <f t="array" ref="G5012">IF(B5012="insumo",_xlfn.XLOOKUP($D5012,Insumos!$B$1:$B$996,Insumos!$D$1:$D$996),"")</f>
        <v/>
      </c>
      <c r="H5012" s="92" t="n">
        <v>50</v>
      </c>
      <c r="I5012" s="2162" t="n">
        <v>0</v>
      </c>
      <c r="J5012" s="2162" t="n">
        <v>0</v>
      </c>
      <c r="K5012" s="2162" t="n"/>
    </row>
    <row r="5013" outlineLevel="1" ht="15.75" customHeight="1">
      <c r="A5013" s="1067" t="n">
        <v>1</v>
      </c>
      <c r="B5013" s="1067" t="inlineStr">
        <is>
          <t>Serviço</t>
        </is>
      </c>
      <c r="C5013" s="1067" t="inlineStr">
        <is>
          <t>Pinturas das faixas de Pedestres</t>
        </is>
      </c>
      <c r="D5013" s="1067" t="inlineStr">
        <is>
          <t>Pinturas das faixas de Pedestres</t>
        </is>
      </c>
      <c r="E5013" s="1068" t="inlineStr">
        <is>
          <t>M2</t>
        </is>
      </c>
      <c r="F5013" s="1067" t="n"/>
      <c r="G5013" s="1069">
        <f t="array" ref="G5013">IF(B5013="insumo",_xlfn.XLOOKUP($D5013,Insumos!$B$1:$B$996,Insumos!$D$1:$D$996),"")</f>
        <v/>
      </c>
      <c r="H5013" s="1069" t="n">
        <v>28.33575</v>
      </c>
      <c r="I5013" s="2161" t="n">
        <v>0</v>
      </c>
      <c r="J5013" s="2161" t="n">
        <v>0</v>
      </c>
      <c r="K5013" s="2161" t="n"/>
    </row>
    <row r="5014" outlineLevel="2" ht="15.75" customHeight="1">
      <c r="A5014" s="10" t="n">
        <v>6</v>
      </c>
      <c r="B5014" s="10" t="inlineStr">
        <is>
          <t>Insumo</t>
        </is>
      </c>
      <c r="C5014" s="10" t="inlineStr">
        <is>
          <t>Pinturas das faixas de Pedestres</t>
        </is>
      </c>
      <c r="D5014" s="10" t="inlineStr">
        <is>
          <t>DILUENTE AGUARRAS</t>
        </is>
      </c>
      <c r="E5014" s="11">
        <f t="array" ref="E5014">_xlfn.XLOOKUP(D5014,Insumos!B:B,Insumos!C:$C)</f>
        <v/>
      </c>
      <c r="F5014" s="14" t="n">
        <v>0.021</v>
      </c>
      <c r="G5014" s="92">
        <f t="array" ref="G5014">IF(B5014="insumo",_xlfn.XLOOKUP($D5014,Insumos!$B$1:$B$996,Insumos!$D$1:$D$996),"")</f>
        <v/>
      </c>
      <c r="H5014" s="92" t="n">
        <v>0.46179</v>
      </c>
      <c r="I5014" s="2162" t="n">
        <v>0</v>
      </c>
      <c r="J5014" s="2162" t="n">
        <v>0</v>
      </c>
      <c r="K5014" s="2162" t="n"/>
    </row>
    <row r="5015" outlineLevel="2" ht="15.75" customHeight="1">
      <c r="A5015" s="10" t="n">
        <v>2</v>
      </c>
      <c r="B5015" s="10" t="inlineStr">
        <is>
          <t>Insumo</t>
        </is>
      </c>
      <c r="C5015" s="10" t="inlineStr">
        <is>
          <t>Pinturas das faixas de Pedestres</t>
        </is>
      </c>
      <c r="D5015" s="10" t="inlineStr">
        <is>
          <t>TINTA ACRILICA A BASE DE SOLVENTE, PARA SINALIZACAO HORIZONTAL VIARIA (NBR 11862)</t>
        </is>
      </c>
      <c r="E5015" s="11">
        <f t="array" ref="E5015">_xlfn.XLOOKUP(D5015,Insumos!B:B,Insumos!C:$C)</f>
        <v/>
      </c>
      <c r="F5015" s="14" t="n">
        <v>0.427</v>
      </c>
      <c r="G5015" s="92">
        <f t="array" ref="G5015">IF(B5015="insumo",_xlfn.XLOOKUP($D5015,Insumos!$B$1:$B$996,Insumos!$D$1:$D$996),"")</f>
        <v/>
      </c>
      <c r="H5015" s="92" t="n">
        <v>15.12434</v>
      </c>
      <c r="I5015" s="2162" t="n">
        <v>0</v>
      </c>
      <c r="J5015" s="2162" t="n">
        <v>0</v>
      </c>
      <c r="K5015" s="2162" t="n"/>
    </row>
    <row r="5016" outlineLevel="2" ht="15.75" customHeight="1">
      <c r="A5016" s="10" t="n">
        <v>25</v>
      </c>
      <c r="B5016" s="10" t="inlineStr">
        <is>
          <t>Insumo</t>
        </is>
      </c>
      <c r="C5016" s="10" t="inlineStr">
        <is>
          <t>Pinturas das faixas de Pedestres</t>
        </is>
      </c>
      <c r="D5016" s="10" t="inlineStr">
        <is>
          <t>Fita Crepe Rolo De 25 Mm X 50 M</t>
        </is>
      </c>
      <c r="E5016" s="11">
        <f t="array" ref="E5016">_xlfn.XLOOKUP(D5016,Insumos!B:B,Insumos!C:$C)</f>
        <v/>
      </c>
      <c r="F5016" s="14" t="n">
        <v>0.012</v>
      </c>
      <c r="G5016" s="92">
        <f t="array" ref="G5016">IF(B5016="insumo",_xlfn.XLOOKUP($D5016,Insumos!$B$1:$B$996,Insumos!$D$1:$D$996),"")</f>
        <v/>
      </c>
      <c r="H5016" s="92" t="n">
        <v>0.13512</v>
      </c>
      <c r="I5016" s="2162" t="n">
        <v>0</v>
      </c>
      <c r="J5016" s="2162" t="n">
        <v>0</v>
      </c>
      <c r="K5016" s="2162" t="n"/>
    </row>
    <row r="5017" outlineLevel="2" ht="15.75" customHeight="1">
      <c r="A5017" s="10" t="n">
        <v>2</v>
      </c>
      <c r="B5017" s="10" t="inlineStr">
        <is>
          <t>Insumo</t>
        </is>
      </c>
      <c r="C5017" s="10" t="inlineStr">
        <is>
          <t>Pinturas das faixas de Pedestres</t>
        </is>
      </c>
      <c r="D5017" s="10" t="inlineStr">
        <is>
          <t>MICROESFERAS DE VIDRO PARA SINALIZACAO HORIZONTAL VIARIA, TIPO II-A (DROP-ON) - NBR  16184</t>
        </is>
      </c>
      <c r="E5017" s="11">
        <f t="array" ref="E5017">_xlfn.XLOOKUP(D5017,Insumos!B:B,Insumos!C:$C)</f>
        <v/>
      </c>
      <c r="F5017" s="14" t="n">
        <v>0.25</v>
      </c>
      <c r="G5017" s="92">
        <f t="array" ref="G5017">IF(B5017="insumo",_xlfn.XLOOKUP($D5017,Insumos!$B$1:$B$996,Insumos!$D$1:$D$996),"")</f>
        <v/>
      </c>
      <c r="H5017" s="92" t="n">
        <v>10.0625</v>
      </c>
      <c r="I5017" s="2162" t="n">
        <v>0</v>
      </c>
      <c r="J5017" s="2162" t="n">
        <v>0</v>
      </c>
      <c r="K5017" s="2162" t="n"/>
    </row>
    <row r="5018" outlineLevel="2" ht="15.75" customHeight="1">
      <c r="A5018" s="10" t="n">
        <v>2</v>
      </c>
      <c r="B5018" s="10" t="inlineStr">
        <is>
          <t>Insumo</t>
        </is>
      </c>
      <c r="C5018" s="10" t="inlineStr">
        <is>
          <t>Pinturas das faixas de Pedestres</t>
        </is>
      </c>
      <c r="D5018" s="10" t="inlineStr">
        <is>
          <t>MICROESFERAS DE VIDRO PARA SINALIZACAO HORIZONTAL VIARIA, TIPO I-B (PREMIX) - NBR  16184</t>
        </is>
      </c>
      <c r="E5018" s="11">
        <f t="array" ref="E5018">_xlfn.XLOOKUP(D5018,Insumos!B:B,Insumos!C:$C)</f>
        <v/>
      </c>
      <c r="F5018" s="14" t="n">
        <v>0.11</v>
      </c>
      <c r="G5018" s="92">
        <f t="array" ref="G5018">IF(B5018="insumo",_xlfn.XLOOKUP($D5018,Insumos!$B$1:$B$996,Insumos!$D$1:$D$996),"")</f>
        <v/>
      </c>
      <c r="H5018" s="92" t="n">
        <v>2.552</v>
      </c>
      <c r="I5018" s="2162" t="n">
        <v>0</v>
      </c>
      <c r="J5018" s="2162" t="n">
        <v>0</v>
      </c>
      <c r="K5018" s="2162" t="n"/>
    </row>
    <row r="5019" outlineLevel="1" ht="15.75" customHeight="1">
      <c r="A5019" s="1067" t="n">
        <v>1</v>
      </c>
      <c r="B5019" s="1067" t="inlineStr">
        <is>
          <t>Serviço</t>
        </is>
      </c>
      <c r="C5019" s="1067" t="inlineStr">
        <is>
          <t xml:space="preserve">Pinturas das vias com tinta acrilica </t>
        </is>
      </c>
      <c r="D5019" s="1067" t="inlineStr">
        <is>
          <t xml:space="preserve">Pinturas das vias com tinta acrilica </t>
        </is>
      </c>
      <c r="E5019" s="1068" t="inlineStr">
        <is>
          <t>M2</t>
        </is>
      </c>
      <c r="F5019" s="1067" t="n"/>
      <c r="G5019" s="1069">
        <f t="array" ref="G5019">IF(B5019="insumo",_xlfn.XLOOKUP($D5019,Insumos!$B$1:$B$996,Insumos!$D$1:$D$996),"")</f>
        <v/>
      </c>
      <c r="H5019" s="1069" t="n">
        <v>2.82849</v>
      </c>
      <c r="I5019" s="2161" t="n">
        <v>0</v>
      </c>
      <c r="J5019" s="2161" t="n">
        <v>0</v>
      </c>
      <c r="K5019" s="2161" t="n"/>
    </row>
    <row r="5020" outlineLevel="2" ht="15.75" customHeight="1">
      <c r="A5020" s="10" t="n">
        <v>6</v>
      </c>
      <c r="B5020" s="10" t="inlineStr">
        <is>
          <t>Insumo</t>
        </is>
      </c>
      <c r="C5020" s="10" t="inlineStr">
        <is>
          <t xml:space="preserve">Pinturas das vias com tinta acrilica </t>
        </is>
      </c>
      <c r="D5020" s="10" t="inlineStr">
        <is>
          <t>DILUENTE AGUARRAS</t>
        </is>
      </c>
      <c r="E5020" s="11">
        <f t="array" ref="E5020">_xlfn.XLOOKUP(D5020,Insumos!B:B,Insumos!C:$C)</f>
        <v/>
      </c>
      <c r="F5020" s="14" t="n">
        <v>0.002</v>
      </c>
      <c r="G5020" s="92">
        <f t="array" ref="G5020">IF(B5020="insumo",_xlfn.XLOOKUP($D5020,Insumos!$B$1:$B$996,Insumos!$D$1:$D$996),"")</f>
        <v/>
      </c>
      <c r="H5020" s="92" t="n">
        <v>0.04398</v>
      </c>
      <c r="I5020" s="2162" t="n">
        <v>0</v>
      </c>
      <c r="J5020" s="2162" t="n">
        <v>0</v>
      </c>
      <c r="K5020" s="2162" t="n"/>
    </row>
    <row r="5021" outlineLevel="2" ht="15.75" customHeight="1">
      <c r="A5021" s="10" t="n">
        <v>2</v>
      </c>
      <c r="B5021" s="10" t="inlineStr">
        <is>
          <t>Insumo</t>
        </is>
      </c>
      <c r="C5021" s="10" t="inlineStr">
        <is>
          <t xml:space="preserve">Pinturas das vias com tinta acrilica </t>
        </is>
      </c>
      <c r="D5021" s="10" t="inlineStr">
        <is>
          <t>TINTA ACRILICA A BASE DE SOLVENTE, PARA SINALIZACAO HORIZONTAL VIARIA (NBR 11862)</t>
        </is>
      </c>
      <c r="E5021" s="11">
        <f t="array" ref="E5021">_xlfn.XLOOKUP(D5021,Insumos!B:B,Insumos!C:$C)</f>
        <v/>
      </c>
      <c r="F5021" s="14" t="n">
        <v>0.043</v>
      </c>
      <c r="G5021" s="92">
        <f t="array" ref="G5021">IF(B5021="insumo",_xlfn.XLOOKUP($D5021,Insumos!$B$1:$B$996,Insumos!$D$1:$D$996),"")</f>
        <v/>
      </c>
      <c r="H5021" s="92" t="n">
        <v>1.52306</v>
      </c>
      <c r="I5021" s="2162" t="n">
        <v>0</v>
      </c>
      <c r="J5021" s="2162" t="n">
        <v>0</v>
      </c>
      <c r="K5021" s="2162" t="n"/>
    </row>
    <row r="5022" outlineLevel="2" ht="15.75" customHeight="1">
      <c r="A5022" s="10" t="n">
        <v>2</v>
      </c>
      <c r="B5022" s="10" t="inlineStr">
        <is>
          <t>Insumo</t>
        </is>
      </c>
      <c r="C5022" s="10" t="inlineStr">
        <is>
          <t xml:space="preserve">Pinturas das vias com tinta acrilica </t>
        </is>
      </c>
      <c r="D5022" s="10" t="inlineStr">
        <is>
          <t>MICROESFERAS DE VIDRO PARA SINALIZACAO HORIZONTAL VIARIA, TIPO II-A (DROP-ON) - NBR  16184</t>
        </is>
      </c>
      <c r="E5022" s="11">
        <f t="array" ref="E5022">_xlfn.XLOOKUP(D5022,Insumos!B:B,Insumos!C:$C)</f>
        <v/>
      </c>
      <c r="F5022" s="14" t="n">
        <v>0.025</v>
      </c>
      <c r="G5022" s="92">
        <f t="array" ref="G5022">IF(B5022="insumo",_xlfn.XLOOKUP($D5022,Insumos!$B$1:$B$996,Insumos!$D$1:$D$996),"")</f>
        <v/>
      </c>
      <c r="H5022" s="92" t="n">
        <v>1.00625</v>
      </c>
      <c r="I5022" s="2162" t="n">
        <v>0</v>
      </c>
      <c r="J5022" s="2162" t="n">
        <v>0</v>
      </c>
      <c r="K5022" s="2162" t="n"/>
    </row>
    <row r="5023" outlineLevel="2" ht="15.75" customHeight="1">
      <c r="A5023" s="10" t="n">
        <v>2</v>
      </c>
      <c r="B5023" s="10" t="inlineStr">
        <is>
          <t>Insumo</t>
        </is>
      </c>
      <c r="C5023" s="10" t="inlineStr">
        <is>
          <t xml:space="preserve">Pinturas das vias com tinta acrilica </t>
        </is>
      </c>
      <c r="D5023" s="10" t="inlineStr">
        <is>
          <t>MICROESFERAS DE VIDRO PARA SINALIZACAO HORIZONTAL VIARIA, TIPO I-B (PREMIX) - NBR  16184</t>
        </is>
      </c>
      <c r="E5023" s="11">
        <f t="array" ref="E5023">_xlfn.XLOOKUP(D5023,Insumos!B:B,Insumos!C:$C)</f>
        <v/>
      </c>
      <c r="F5023" s="14" t="n">
        <v>0.011</v>
      </c>
      <c r="G5023" s="92">
        <f t="array" ref="G5023">IF(B5023="insumo",_xlfn.XLOOKUP($D5023,Insumos!$B$1:$B$996,Insumos!$D$1:$D$996),"")</f>
        <v/>
      </c>
      <c r="H5023" s="92" t="n">
        <v>0.2552</v>
      </c>
      <c r="I5023" s="2162" t="n">
        <v>0</v>
      </c>
      <c r="J5023" s="2162" t="n">
        <v>0</v>
      </c>
      <c r="K5023" s="2162" t="n"/>
    </row>
    <row r="5024" outlineLevel="1" ht="15.75" customHeight="1">
      <c r="A5024" s="1067" t="n">
        <v>1</v>
      </c>
      <c r="B5024" s="1067" t="inlineStr">
        <is>
          <t>Serviço</t>
        </is>
      </c>
      <c r="C5024" s="1067" t="inlineStr">
        <is>
          <t>Mão de Obra Pinturas das faixas de Pedestres</t>
        </is>
      </c>
      <c r="D5024" s="1067" t="inlineStr">
        <is>
          <t>Mão de Obra Pinturas das faixas de Pedestres</t>
        </is>
      </c>
      <c r="E5024" s="1068" t="inlineStr">
        <is>
          <t>M2</t>
        </is>
      </c>
      <c r="F5024" s="1067" t="n"/>
      <c r="G5024" s="1069">
        <f t="array" ref="G5024">IF(B5024="insumo",_xlfn.XLOOKUP($D5024,Insumos!$B$1:$B$996,Insumos!$D$1:$D$996),"")</f>
        <v/>
      </c>
      <c r="H5024" s="1069" t="n">
        <v>20</v>
      </c>
      <c r="I5024" s="2161" t="n">
        <v>0</v>
      </c>
      <c r="J5024" s="2161" t="n">
        <v>0</v>
      </c>
      <c r="K5024" s="2161" t="n"/>
    </row>
    <row r="5025" outlineLevel="2" ht="15.75" customHeight="1">
      <c r="A5025" s="10" t="n">
        <v>1</v>
      </c>
      <c r="B5025" s="10" t="inlineStr">
        <is>
          <t>Insumo</t>
        </is>
      </c>
      <c r="C5025" s="10" t="inlineStr">
        <is>
          <t>Mão de Obra Pinturas das faixas de Pedestres</t>
        </is>
      </c>
      <c r="D5025" s="10" t="inlineStr">
        <is>
          <t>Mão de Obra Pinturas das faixas de Pedestres</t>
        </is>
      </c>
      <c r="E5025" s="11">
        <f t="array" ref="E5025">_xlfn.XLOOKUP(D5025,Insumos!B:B,Insumos!C:$C)</f>
        <v/>
      </c>
      <c r="F5025" s="14" t="n">
        <v>1</v>
      </c>
      <c r="G5025" s="92">
        <f t="array" ref="G5025">IF(B5025="insumo",_xlfn.XLOOKUP($D5025,Insumos!$B$1:$B$996,Insumos!$D$1:$D$996),"")</f>
        <v/>
      </c>
      <c r="H5025" s="92" t="n">
        <v>20</v>
      </c>
      <c r="I5025" s="2162" t="n">
        <v>0</v>
      </c>
      <c r="J5025" s="2162" t="n">
        <v>0</v>
      </c>
      <c r="K5025" s="2162" t="n"/>
    </row>
    <row r="5026" outlineLevel="1" ht="15.75" customHeight="1">
      <c r="A5026" s="1067" t="n">
        <v>1</v>
      </c>
      <c r="B5026" s="1067" t="inlineStr">
        <is>
          <t>Serviço</t>
        </is>
      </c>
      <c r="C5026" s="1067" t="inlineStr">
        <is>
          <t>Mão de Obra Pinturas das vias</t>
        </is>
      </c>
      <c r="D5026" s="1067" t="inlineStr">
        <is>
          <t>Mão de Obra Pinturas das vias</t>
        </is>
      </c>
      <c r="E5026" s="1068" t="inlineStr">
        <is>
          <t>M</t>
        </is>
      </c>
      <c r="F5026" s="1067" t="n"/>
      <c r="G5026" s="1069">
        <f t="array" ref="G5026">IF(B5026="insumo",_xlfn.XLOOKUP($D5026,Insumos!$B$1:$B$996,Insumos!$D$1:$D$996),"")</f>
        <v/>
      </c>
      <c r="H5026" s="1069" t="n">
        <v>5</v>
      </c>
      <c r="I5026" s="2161" t="n">
        <v>0</v>
      </c>
      <c r="J5026" s="2161" t="n">
        <v>0</v>
      </c>
      <c r="K5026" s="2161" t="n"/>
    </row>
    <row r="5027" outlineLevel="2" ht="15.75" customHeight="1">
      <c r="A5027" s="10" t="n">
        <v>1</v>
      </c>
      <c r="B5027" s="10" t="inlineStr">
        <is>
          <t>Insumo</t>
        </is>
      </c>
      <c r="C5027" s="10" t="inlineStr">
        <is>
          <t>Mão de Obra Pinturas das vias</t>
        </is>
      </c>
      <c r="D5027" s="10" t="inlineStr">
        <is>
          <t>Mão de Obra Pinturas das vias</t>
        </is>
      </c>
      <c r="E5027" s="11">
        <f t="array" ref="E5027">_xlfn.XLOOKUP(D5027,Insumos!B:B,Insumos!C:$C)</f>
        <v/>
      </c>
      <c r="F5027" s="14" t="n">
        <v>1</v>
      </c>
      <c r="G5027" s="92">
        <f t="array" ref="G5027">IF(B5027="insumo",_xlfn.XLOOKUP($D5027,Insumos!$B$1:$B$996,Insumos!$D$1:$D$996),"")</f>
        <v/>
      </c>
      <c r="H5027" s="92" t="n">
        <v>5</v>
      </c>
      <c r="I5027" s="2162" t="n">
        <v>0</v>
      </c>
      <c r="J5027" s="2162" t="n">
        <v>0</v>
      </c>
      <c r="K5027" s="2162" t="n"/>
    </row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</sheetData>
  <autoFilter ref="A1:Y5027"/>
  <conditionalFormatting sqref="A1419:B1473 A1524:B1534 A2526:B2606 A2817:A2831 A2835:A2842 A2843:B2874 A3143:B3176 A4428:B4451 A4455:B4455 A4610:B4634 A4635:F4637 A4643:F4645 A4651:F4653 A4654:C4658 A4659:B4685 B195:B212 B2841:B2842 C3148:F3148 C3150:F3150 C3152:F3152 C3154:F3154 C3156:F3156 C4659:C4663 D4655:F4655 D4660:F4660 E223 E225 E227 E229 E231:E235 E237 E573:E575 E1243:E1254 E1420:F1429 E1431:F1440 E1442:F1451 E1453:F1462 E1464:F1473 E1525:F1534 E2261:E2263 E2532:E2535 E2537:E2540 E2542:E2545 E2547:E2550 E2552:E2555 E2557:E2560 E2562:E2565 E2567:E2570 E2844:F2844 E2846:F2847 E2849:F2850 E4496:E4497 E4611:F4614 E4616:F4619 E4621:F4624 E4626:F4629 E4631:F4634 E4656:F4658 E4661:F4663 E4665:F4670 E4672:F4675 E4677:F4680 E4682:F4685 G159:H159 G165:H165 G170:H170 G176:H176 G182:H182 G187:H187 G191:H191 G195:H195 G199:H199 I4610:K4637 I4643:K4645 I4651:K4685 K1386:K2041 K2526:K2606 K2843:K2882 K3143:K3176 K4403:K4451 K4454:K4458">
    <cfRule type="expression" priority="13722" dxfId="6424">
      <formula>$B159="Subetapa"</formula>
    </cfRule>
  </conditionalFormatting>
  <conditionalFormatting sqref="B4976:B4983">
    <cfRule type="expression" priority="7843" dxfId="6434">
      <formula>$B4976="Subetapa"</formula>
    </cfRule>
    <cfRule type="expression" priority="7844" dxfId="6433">
      <formula>$B4976="Serviço"</formula>
    </cfRule>
  </conditionalFormatting>
  <conditionalFormatting sqref="B4:B151 B153:B194">
    <cfRule type="expression" priority="13599" dxfId="6424">
      <formula>$B4="Subetapa"</formula>
    </cfRule>
  </conditionalFormatting>
  <conditionalFormatting sqref="B271 B273 D2263 F2263">
    <cfRule type="expression" priority="9735" dxfId="6433">
      <formula>$B271="Serviço"</formula>
    </cfRule>
    <cfRule type="expression" priority="9736" dxfId="6434">
      <formula>$B271="Subetapa"</formula>
    </cfRule>
  </conditionalFormatting>
  <conditionalFormatting sqref="B287:B289 B291 B293 B295">
    <cfRule type="expression" priority="9752" dxfId="6433">
      <formula>$B287="Serviço"</formula>
    </cfRule>
    <cfRule type="expression" priority="9753" dxfId="6434">
      <formula>$B287="Subetapa"</formula>
    </cfRule>
  </conditionalFormatting>
  <conditionalFormatting sqref="B297">
    <cfRule type="expression" priority="9724" dxfId="6433">
      <formula>$B297="Serviço"</formula>
    </cfRule>
    <cfRule type="expression" priority="9725" dxfId="6434">
      <formula>$B297="Subetapa"</formula>
    </cfRule>
  </conditionalFormatting>
  <conditionalFormatting sqref="B345:B360 C349:C360 D349:F349 D350:D352 D353:F353 D354:D356 D357:F357 D358:D360 F350:F352 F354:F356 F358:F360">
    <cfRule type="expression" priority="13774" dxfId="6424">
      <formula>$B345="Subetapa"</formula>
    </cfRule>
  </conditionalFormatting>
  <conditionalFormatting sqref="B461:B463">
    <cfRule type="expression" priority="9715" dxfId="6433">
      <formula>$B461="Serviço"</formula>
    </cfRule>
    <cfRule type="expression" priority="9716" dxfId="6434">
      <formula>$B461="Subetapa"</formula>
    </cfRule>
  </conditionalFormatting>
  <conditionalFormatting sqref="B473:B476">
    <cfRule type="expression" priority="9706" dxfId="6433">
      <formula>$B473="Serviço"</formula>
    </cfRule>
    <cfRule type="expression" priority="9707" dxfId="6434">
      <formula>$B473="Subetapa"</formula>
    </cfRule>
  </conditionalFormatting>
  <conditionalFormatting sqref="B500:B501">
    <cfRule type="expression" priority="9697" dxfId="6433">
      <formula>$B500="Serviço"</formula>
    </cfRule>
    <cfRule type="expression" priority="9698" dxfId="6434">
      <formula>$B500="Subetapa"</formula>
    </cfRule>
  </conditionalFormatting>
  <conditionalFormatting sqref="B621:B639">
    <cfRule type="expression" priority="9688" dxfId="6433">
      <formula>$B621="Serviço"</formula>
    </cfRule>
    <cfRule type="expression" priority="9689" dxfId="6434">
      <formula>$B621="Subetapa"</formula>
    </cfRule>
  </conditionalFormatting>
  <conditionalFormatting sqref="A1198:B1385 A2263:B2265 A2269:B2270 A4495:B4572 B661:B663 B2826:B2831 C4504:C4506 D2828:F2831 D4496:D4497 F4496:F4497 H2237:H2276 I2263:K2265 I2269:K2270 K1198:K1385 K4504:K4572">
    <cfRule type="expression" priority="9675" dxfId="6433">
      <formula>$B661="Serviço"</formula>
    </cfRule>
  </conditionalFormatting>
  <conditionalFormatting sqref="A1198:B1299 A1346:B1355 A2263:B2265 A2269:B2270 A4495:B4572 B661:B664 B2826:B2831 C4504:C4506 D2828:F2831 D4496:D4497 F4496:F4497 H2237:H2276 I2263:K2265 I2269:K2270 K1198:K1385 K4504:K4572">
    <cfRule type="expression" priority="9676" dxfId="6434">
      <formula>$B661="Subetapa"</formula>
    </cfRule>
  </conditionalFormatting>
  <conditionalFormatting sqref="B787:B791 B793:B809">
    <cfRule type="expression" priority="13567" dxfId="6424">
      <formula>$B787="Subetapa"</formula>
    </cfRule>
  </conditionalFormatting>
  <conditionalFormatting sqref="B814:B834">
    <cfRule type="expression" priority="9649" dxfId="6433">
      <formula>$B814="Serviço"</formula>
    </cfRule>
    <cfRule type="expression" priority="9650" dxfId="6434">
      <formula>$B814="Subetapa"</formula>
    </cfRule>
  </conditionalFormatting>
  <conditionalFormatting sqref="B835:B838">
    <cfRule type="expression" priority="9630" dxfId="6433">
      <formula>$B835="Serviço"</formula>
    </cfRule>
    <cfRule type="expression" priority="9631" dxfId="6434">
      <formula>$B835="Subetapa"</formula>
    </cfRule>
  </conditionalFormatting>
  <conditionalFormatting sqref="B843:B847">
    <cfRule type="expression" priority="13731" dxfId="6424">
      <formula>$B843="Subetapa"</formula>
    </cfRule>
  </conditionalFormatting>
  <conditionalFormatting sqref="B848:B850">
    <cfRule type="expression" priority="13786" dxfId="6424">
      <formula>$B848="Subetapa"</formula>
    </cfRule>
  </conditionalFormatting>
  <conditionalFormatting sqref="B852:B860">
    <cfRule type="expression" priority="13698" dxfId="6424">
      <formula>$B852="Subetapa"</formula>
    </cfRule>
  </conditionalFormatting>
  <conditionalFormatting sqref="B860:B862 C864:C866 D864:F864 D865:D866 F865:F866">
    <cfRule type="expression" priority="13680" dxfId="6424">
      <formula>$B860="Subetapa"</formula>
    </cfRule>
  </conditionalFormatting>
  <conditionalFormatting sqref="B879:B882">
    <cfRule type="expression" priority="9608" dxfId="6433">
      <formula>$B879="Serviço"</formula>
    </cfRule>
    <cfRule type="expression" priority="9609" dxfId="6434">
      <formula>$B879="Subetapa"</formula>
    </cfRule>
  </conditionalFormatting>
  <conditionalFormatting sqref="B883:B884">
    <cfRule type="expression" priority="9604" dxfId="6433">
      <formula>$B883="Serviço"</formula>
    </cfRule>
    <cfRule type="expression" priority="9605" dxfId="6434">
      <formula>$B883="Subetapa"</formula>
    </cfRule>
  </conditionalFormatting>
  <conditionalFormatting sqref="B895:B896">
    <cfRule type="expression" priority="9624" dxfId="6433">
      <formula>$B895="Serviço"</formula>
    </cfRule>
    <cfRule type="expression" priority="9625" dxfId="6434">
      <formula>$B895="Subetapa"</formula>
    </cfRule>
  </conditionalFormatting>
  <conditionalFormatting sqref="B918:B929">
    <cfRule type="expression" priority="9912" dxfId="6433">
      <formula>$B918="Serviço"</formula>
    </cfRule>
    <cfRule type="expression" priority="9913" dxfId="6434">
      <formula>$B918="Subetapa"</formula>
    </cfRule>
  </conditionalFormatting>
  <conditionalFormatting sqref="B931:B942">
    <cfRule type="expression" priority="9954" dxfId="6433">
      <formula>$B931="Serviço"</formula>
    </cfRule>
    <cfRule type="expression" priority="9955" dxfId="6434">
      <formula>$B931="Subetapa"</formula>
    </cfRule>
  </conditionalFormatting>
  <conditionalFormatting sqref="B943:C956 D943:F944 D945:D946 D947:F947 D948:D949 D950:F950 D951:D952 D953:F953 D954:D955 D956:F956 F945:F946 F948:F949 F951:F952 F954:F955">
    <cfRule type="expression" priority="11766" dxfId="6424">
      <formula>$B943="Subetapa"</formula>
    </cfRule>
  </conditionalFormatting>
  <conditionalFormatting sqref="B957:B962 B1169:B1172">
    <cfRule type="expression" priority="13737" dxfId="6424">
      <formula>$B957="Subetapa"</formula>
    </cfRule>
  </conditionalFormatting>
  <conditionalFormatting sqref="B963:B989 C970:F970">
    <cfRule type="expression" priority="11762" dxfId="6424">
      <formula>$B963="Subetapa"</formula>
    </cfRule>
  </conditionalFormatting>
  <conditionalFormatting sqref="B979:B980">
    <cfRule type="expression" priority="13655" dxfId="6424">
      <formula>$B979="Subetapa"</formula>
    </cfRule>
  </conditionalFormatting>
  <conditionalFormatting sqref="B1175:B1185 D1177:D1185">
    <cfRule type="expression" priority="9583" dxfId="6434">
      <formula>$B1175="Subetapa"</formula>
    </cfRule>
  </conditionalFormatting>
  <conditionalFormatting sqref="B1175:B1185">
    <cfRule type="expression" priority="9582" dxfId="6433">
      <formula>$B1175="Serviço"</formula>
    </cfRule>
  </conditionalFormatting>
  <conditionalFormatting sqref="B1290:B1299">
    <cfRule type="expression" priority="9497" dxfId="6433">
      <formula>$B1290="Serviço"</formula>
    </cfRule>
  </conditionalFormatting>
  <conditionalFormatting sqref="B1301:B1310 B1312:B1321 B1323:B1332 B1334:B1343 B1345:B1346 D1312:D1321 F1345">
    <cfRule type="expression" priority="9562" dxfId="6434">
      <formula>$B1301="Subetapa"</formula>
    </cfRule>
  </conditionalFormatting>
  <conditionalFormatting sqref="B1302:B1310 B1313:B1321 B1324:B1332 B1335:B1343 B1356:B1373 C1200:D1208 C1218:D1219 C1356:C1357 C1362:C1363 C1368:C1373 D1356:F1356 D1357 D1362:F1362 D1363 D1368:F1368 D1369:D1373 F1357 F1363">
    <cfRule type="expression" priority="9560" dxfId="6434">
      <formula>$B1200="Subetapa"</formula>
    </cfRule>
  </conditionalFormatting>
  <conditionalFormatting sqref="B1257:B1265 B1268:B1276 B1279:B1287 B1302:B1310 B1313:B1321 B1324:B1332 B1335:B1343 B1357:B1361 B1363:B1367 B1369:B1373 C1357:D1357 C1362:C1363 C1368:C1373 D1362:F1362 D1363 D1368:F1368 D1369:D1373 F1357 F1363">
    <cfRule type="expression" priority="9559" dxfId="6433">
      <formula>$B1257="Serviço"</formula>
    </cfRule>
  </conditionalFormatting>
  <conditionalFormatting sqref="B1376:B1385">
    <cfRule type="expression" priority="9561" dxfId="6433">
      <formula>$B1376="Serviço"</formula>
    </cfRule>
  </conditionalFormatting>
  <conditionalFormatting sqref="B1549:B1624">
    <cfRule type="expression" priority="13384" dxfId="6424">
      <formula>$B1549="Subetapa"</formula>
    </cfRule>
  </conditionalFormatting>
  <conditionalFormatting sqref="B1627:B1636">
    <cfRule type="expression" priority="13372" dxfId="6424">
      <formula>$B1627="Subetapa"</formula>
    </cfRule>
  </conditionalFormatting>
  <conditionalFormatting sqref="B1639:B1648">
    <cfRule type="expression" priority="13330" dxfId="6424">
      <formula>$B1639="Subetapa"</formula>
    </cfRule>
  </conditionalFormatting>
  <conditionalFormatting sqref="B1814:B1822">
    <cfRule type="expression" priority="13659" dxfId="6424">
      <formula>$B1814="Subetapa"</formula>
    </cfRule>
  </conditionalFormatting>
  <conditionalFormatting sqref="B1868:B1891">
    <cfRule type="expression" priority="13261" dxfId="6424">
      <formula>$B1868="Subetapa"</formula>
    </cfRule>
  </conditionalFormatting>
  <conditionalFormatting sqref="B1882:B1892 D1881:D1891">
    <cfRule type="expression" priority="13270" dxfId="6424">
      <formula>$B1881="Subetapa"</formula>
    </cfRule>
  </conditionalFormatting>
  <conditionalFormatting sqref="B1893:B1904">
    <cfRule type="expression" priority="13249" dxfId="6424">
      <formula>$B1893="Subetapa"</formula>
    </cfRule>
  </conditionalFormatting>
  <conditionalFormatting sqref="B1907:B1916">
    <cfRule type="expression" priority="13223" dxfId="6424">
      <formula>$B1907="Subetapa"</formula>
    </cfRule>
  </conditionalFormatting>
  <conditionalFormatting sqref="B1908:B1916 D1908:D1916">
    <cfRule type="expression" priority="13228" dxfId="6424">
      <formula>$B1908="Subetapa"</formula>
    </cfRule>
  </conditionalFormatting>
  <conditionalFormatting sqref="B1918:B1928">
    <cfRule type="expression" priority="13207" dxfId="6424">
      <formula>$B1918="Subetapa"</formula>
    </cfRule>
  </conditionalFormatting>
  <conditionalFormatting sqref="B1920:B1928 D1920:D1928">
    <cfRule type="expression" priority="13212" dxfId="6424">
      <formula>$B1920="Subetapa"</formula>
    </cfRule>
  </conditionalFormatting>
  <conditionalFormatting sqref="B1930:B1941">
    <cfRule type="expression" priority="13191" dxfId="6424">
      <formula>$B1930="Subetapa"</formula>
    </cfRule>
  </conditionalFormatting>
  <conditionalFormatting sqref="B1943:B1954">
    <cfRule type="expression" priority="13175" dxfId="6424">
      <formula>$B1943="Subetapa"</formula>
    </cfRule>
  </conditionalFormatting>
  <conditionalFormatting sqref="B1956:B1967">
    <cfRule type="expression" priority="13159" dxfId="6424">
      <formula>$B1956="Subetapa"</formula>
    </cfRule>
  </conditionalFormatting>
  <conditionalFormatting sqref="B1969:B1980">
    <cfRule type="expression" priority="13143" dxfId="6424">
      <formula>$B1969="Subetapa"</formula>
    </cfRule>
  </conditionalFormatting>
  <conditionalFormatting sqref="B1982:B1992">
    <cfRule type="expression" priority="13127" dxfId="6424">
      <formula>$B1982="Subetapa"</formula>
    </cfRule>
  </conditionalFormatting>
  <conditionalFormatting sqref="B1994:B2004">
    <cfRule type="expression" priority="13109" dxfId="6424">
      <formula>$B1994="Subetapa"</formula>
    </cfRule>
  </conditionalFormatting>
  <conditionalFormatting sqref="B2006:B2016">
    <cfRule type="expression" priority="13237" dxfId="6424">
      <formula>$B2006="Subetapa"</formula>
    </cfRule>
  </conditionalFormatting>
  <conditionalFormatting sqref="B2008:B2017 D2008:D2016">
    <cfRule type="expression" priority="13242" dxfId="6424">
      <formula>$B2008="Subetapa"</formula>
    </cfRule>
  </conditionalFormatting>
  <conditionalFormatting sqref="B2018:B2019 B2021:B2028">
    <cfRule type="expression" priority="13096" dxfId="6424">
      <formula>$B2018="Subetapa"</formula>
    </cfRule>
  </conditionalFormatting>
  <conditionalFormatting sqref="B2031:B2040 D2030:D2032 D2035:D2040">
    <cfRule type="expression" priority="13074" dxfId="6424">
      <formula>$B2030="Subetapa"</formula>
    </cfRule>
  </conditionalFormatting>
  <conditionalFormatting sqref="B2043:B2052 D2042:D2044 D2047:D2052">
    <cfRule type="expression" priority="13064" dxfId="6424">
      <formula>$B2042="Subetapa"</formula>
    </cfRule>
  </conditionalFormatting>
  <conditionalFormatting sqref="B2054:B2055 D2054:D2055">
    <cfRule type="expression" priority="13044" dxfId="6424">
      <formula>$B2054="Subetapa"</formula>
    </cfRule>
  </conditionalFormatting>
  <conditionalFormatting sqref="B2055:B2065">
    <cfRule type="expression" priority="13042" dxfId="6424">
      <formula>$B2055="Subetapa"</formula>
    </cfRule>
  </conditionalFormatting>
  <conditionalFormatting sqref="B2056:B2066 D2056:D2057 D2060:D2065">
    <cfRule type="expression" priority="13054" dxfId="6424">
      <formula>$B2056="Subetapa"</formula>
    </cfRule>
  </conditionalFormatting>
  <conditionalFormatting sqref="B2105:B2112">
    <cfRule type="expression" priority="12955" dxfId="6424">
      <formula>$B2105="Subetapa"</formula>
    </cfRule>
  </conditionalFormatting>
  <conditionalFormatting sqref="B2113:B2118">
    <cfRule type="expression" priority="12935" dxfId="6424">
      <formula>$B2113="Subetapa"</formula>
    </cfRule>
  </conditionalFormatting>
  <conditionalFormatting sqref="B2120:B2125">
    <cfRule type="expression" priority="12915" dxfId="6424">
      <formula>$B2120="Subetapa"</formula>
    </cfRule>
  </conditionalFormatting>
  <conditionalFormatting sqref="B2127:B2132">
    <cfRule type="expression" priority="12895" dxfId="6424">
      <formula>$B2127="Subetapa"</formula>
    </cfRule>
  </conditionalFormatting>
  <conditionalFormatting sqref="B2134:B2139">
    <cfRule type="expression" priority="12875" dxfId="6424">
      <formula>$B2134="Subetapa"</formula>
    </cfRule>
  </conditionalFormatting>
  <conditionalFormatting sqref="B2179:B2180">
    <cfRule type="expression" priority="13739" dxfId="6424">
      <formula>$B2179="Subetapa"</formula>
    </cfRule>
  </conditionalFormatting>
  <conditionalFormatting sqref="B2181:B2207 B2317:B2330 C2192:C2207 C2317:C2331 D2192:D2193 D2194:F2194 D2195 D2196:F2196 D2197 D2198:F2198 D2199:D2200 D2201:F2201 D2202 D2203:F2203 D2204 D2205:F2205 D2206:D2207 D2317:F2317 D2318 D2319:F2319 D2320:D2321 D2322:F2322 D2323 D2324:F2324 D2325 D2326:F2326 D2327 D2328:F2328 D2329:D2330 D2331:F2331 F2192:F2193 F2195 F2197 F2199:F2200 F2202 F2204 F2206:F2207 F2318 F2320:F2321 F2323 F2325 F2327 F2329:F2330">
    <cfRule type="expression" priority="13626" dxfId="6424">
      <formula>$B2181="Subetapa"</formula>
    </cfRule>
  </conditionalFormatting>
  <conditionalFormatting sqref="B2212:B2223">
    <cfRule type="expression" priority="9975" dxfId="6434">
      <formula>$B2212="Subetapa"</formula>
    </cfRule>
  </conditionalFormatting>
  <conditionalFormatting sqref="B2224:B2243">
    <cfRule type="expression" priority="9999" dxfId="6434">
      <formula>$B2224="Subetapa"</formula>
    </cfRule>
  </conditionalFormatting>
  <conditionalFormatting sqref="B2338:B2341">
    <cfRule type="expression" priority="9458" dxfId="6433">
      <formula>$B2338="Serviço"</formula>
    </cfRule>
    <cfRule type="expression" priority="9462" dxfId="6434">
      <formula>$B2338="Subetapa"</formula>
    </cfRule>
  </conditionalFormatting>
  <conditionalFormatting sqref="B2347:B2348">
    <cfRule type="expression" priority="9444" dxfId="6433">
      <formula>$B2347="Serviço"</formula>
    </cfRule>
    <cfRule type="expression" priority="9448" dxfId="6434">
      <formula>$B2347="Subetapa"</formula>
    </cfRule>
  </conditionalFormatting>
  <conditionalFormatting sqref="B2349:B2350">
    <cfRule type="expression" priority="9435" dxfId="6433">
      <formula>$B2349="Serviço"</formula>
    </cfRule>
    <cfRule type="expression" priority="9439" dxfId="6434">
      <formula>$B2349="Subetapa"</formula>
    </cfRule>
  </conditionalFormatting>
  <conditionalFormatting sqref="B2356:B2357">
    <cfRule type="expression" priority="12825" dxfId="6424">
      <formula>$B2356="Subetapa"</formula>
    </cfRule>
  </conditionalFormatting>
  <conditionalFormatting sqref="B2344:B2345 B2359:B2367 B2369:B2373 B2390:B2434">
    <cfRule type="expression" priority="13671" dxfId="6424">
      <formula>$B2344="Subetapa"</formula>
    </cfRule>
  </conditionalFormatting>
  <conditionalFormatting sqref="B2374:B2378">
    <cfRule type="expression" priority="9426" dxfId="6433">
      <formula>$B2374="Serviço"</formula>
    </cfRule>
    <cfRule type="expression" priority="9430" dxfId="6434">
      <formula>$B2374="Subetapa"</formula>
    </cfRule>
  </conditionalFormatting>
  <conditionalFormatting sqref="B2379:B2388">
    <cfRule type="expression" priority="9409" dxfId="6434">
      <formula>$B2379="Subetapa"</formula>
    </cfRule>
  </conditionalFormatting>
  <conditionalFormatting sqref="B2380:B2383 B2385:B2388">
    <cfRule type="expression" priority="9410" dxfId="6433">
      <formula>$B2380="Serviço"</formula>
    </cfRule>
  </conditionalFormatting>
  <conditionalFormatting sqref="B2435:B2469">
    <cfRule type="expression" priority="12725" dxfId="6424">
      <formula>$B2435="Subetapa"</formula>
    </cfRule>
  </conditionalFormatting>
  <conditionalFormatting sqref="B2470:B2474">
    <cfRule type="expression" priority="9367" dxfId="6433">
      <formula>$B2470="Serviço"</formula>
    </cfRule>
  </conditionalFormatting>
  <conditionalFormatting sqref="B2637:C2661 D2637:F2638 D2639:D2641 D2642:F2642 D2643:D2645 D2646:F2646 D2647:D2649 D2650:F2650 D2651:D2653 D2654:F2654 D2655:D2657 D2658:F2658 D2659:D2661 F2639:F2641 F2643:F2645 F2647:F2649 F2651:F2653 F2655:F2657 F2659:F2661">
    <cfRule type="expression" priority="11598" dxfId="6424">
      <formula>$B2637="Subetapa"</formula>
    </cfRule>
  </conditionalFormatting>
  <conditionalFormatting sqref="B2662:C2669 D2662:F2662 D2663:D2665 D2666:F2666 D2667:D2669 F2663:F2665 F2667:F2669">
    <cfRule type="expression" priority="11563" dxfId="6424">
      <formula>$B2662="Subetapa"</formula>
    </cfRule>
  </conditionalFormatting>
  <conditionalFormatting sqref="B2670:C2672 D2670:F2671 D2672 F2672">
    <cfRule type="expression" priority="11566" dxfId="6424">
      <formula>$B2670="Subetapa"</formula>
    </cfRule>
  </conditionalFormatting>
  <conditionalFormatting sqref="B2673:B2674 B2682 B2684:B2685 B2687:B2688 B2690">
    <cfRule type="expression" priority="9306" dxfId="6433">
      <formula>$B2673="Serviço"</formula>
    </cfRule>
  </conditionalFormatting>
  <conditionalFormatting sqref="B2673:B2674 B2685 B2687:B2688 B2690">
    <cfRule type="expression" priority="9304" dxfId="6434">
      <formula>$B2673="Subetapa"</formula>
    </cfRule>
  </conditionalFormatting>
  <conditionalFormatting sqref="B2731:C2735 D2731:F2732 D2733 D2734:F2734 D2735 F2733 F2735">
    <cfRule type="expression" priority="11596" dxfId="6424">
      <formula>$B2731="Subetapa"</formula>
    </cfRule>
  </conditionalFormatting>
  <conditionalFormatting sqref="B2737:C2753 D2737:F2737 D2738 D2739:F2739 D2740 D2741:F2742 D2743 D2744:F2744 D2745 D2746:F2746 D2747 D2748:F2748 D2749 D2750:F2750 D2751 D2752:F2752 D2753 F2738 F2740 F2743 F2745 F2747 F2749 F2751 F2753">
    <cfRule type="expression" priority="11594" dxfId="6424">
      <formula>$B2737="Subetapa"</formula>
    </cfRule>
  </conditionalFormatting>
  <conditionalFormatting sqref="B2765:C2767 D2765:F2765 D2766:D2767 F2766:F2767">
    <cfRule type="expression" priority="9294" dxfId="6433">
      <formula>$B2765="Serviço"</formula>
    </cfRule>
  </conditionalFormatting>
  <conditionalFormatting sqref="B2765:B2767">
    <cfRule type="expression" priority="9297" dxfId="6434">
      <formula>$B2765="Subetapa"</formula>
    </cfRule>
  </conditionalFormatting>
  <conditionalFormatting sqref="B2772:B2787">
    <cfRule type="expression" priority="12670" dxfId="6424">
      <formula>$B2772="Subetapa"</formula>
    </cfRule>
  </conditionalFormatting>
  <conditionalFormatting sqref="B2806:B2816 D2815:D2816">
    <cfRule type="expression" priority="9289" dxfId="6434">
      <formula>$B2806="Subetapa"</formula>
    </cfRule>
  </conditionalFormatting>
  <conditionalFormatting sqref="B2806:B2816">
    <cfRule type="expression" priority="9288" dxfId="6433">
      <formula>$B2806="Serviço"</formula>
    </cfRule>
  </conditionalFormatting>
  <conditionalFormatting sqref="B2817:B2821">
    <cfRule type="expression" priority="10665" dxfId="6424">
      <formula>$B2817="Subetapa"</formula>
    </cfRule>
  </conditionalFormatting>
  <conditionalFormatting sqref="B2883:B2884 B3177:B3188 B3247:B3249">
    <cfRule type="expression" priority="9279" dxfId="6434">
      <formula>$B2883="Subetapa"</formula>
    </cfRule>
    <cfRule type="expression" priority="9280" dxfId="6433">
      <formula>$B2883="Serviço"</formula>
    </cfRule>
  </conditionalFormatting>
  <conditionalFormatting sqref="B2911:B2918">
    <cfRule type="expression" priority="12574" dxfId="6424">
      <formula>$B2911="Subetapa"</formula>
    </cfRule>
  </conditionalFormatting>
  <conditionalFormatting sqref="B2937:B2960 C2957:C2960 D2957:F2957 D2959:D2960 F2958:F2960">
    <cfRule type="expression" priority="13586" dxfId="6424">
      <formula>$B2937="Subetapa"</formula>
    </cfRule>
  </conditionalFormatting>
  <conditionalFormatting sqref="B3023:C3046 B3048:C3055 D3023:F3023 D3024:D3026 D3027:F3027 D3028:D3030 D3031:F3031 D3032:D3034 D3035:F3035 D3036:D3038 D3039:F3039 D3040:D3042 D3043:F3043 D3044:D3046 D3048:F3048 D3049:D3050 D3051:F3051 D3052:D3053 D3054:F3054 D3055 F3024:F3026 F3028:F3030 F3032:F3034 F3036:F3038 F3040:F3042 F3044:F3046 F3049:F3050 F3052:F3053 F3055">
    <cfRule type="expression" priority="13803" dxfId="6424">
      <formula>$B3023="Subetapa"</formula>
    </cfRule>
  </conditionalFormatting>
  <conditionalFormatting sqref="B3056:B3063">
    <cfRule type="expression" priority="9268" dxfId="6434">
      <formula>$B3056="Subetapa"</formula>
    </cfRule>
    <cfRule type="expression" priority="9270" dxfId="6433">
      <formula>$B3056="Serviço"</formula>
    </cfRule>
  </conditionalFormatting>
  <conditionalFormatting sqref="B3097:B3098">
    <cfRule type="expression" priority="9261" dxfId="6433">
      <formula>$B3097="Serviço"</formula>
    </cfRule>
    <cfRule type="expression" priority="9256" dxfId="6434">
      <formula>$B3097="Subetapa"</formula>
    </cfRule>
  </conditionalFormatting>
  <conditionalFormatting sqref="B3099:B3106 B3108:B3128 B3137:B3138">
    <cfRule type="expression" priority="13673" dxfId="6424">
      <formula>$B3099="Subetapa"</formula>
    </cfRule>
  </conditionalFormatting>
  <conditionalFormatting sqref="B3129:B3136">
    <cfRule type="expression" priority="9246" dxfId="6434">
      <formula>$B3129="Subetapa"</formula>
    </cfRule>
    <cfRule type="expression" priority="9252" dxfId="6433">
      <formula>$B3129="Serviço"</formula>
    </cfRule>
  </conditionalFormatting>
  <conditionalFormatting sqref="B3350:B3379">
    <cfRule type="expression" priority="12442" dxfId="6424">
      <formula>$B3350="Subetapa"</formula>
    </cfRule>
  </conditionalFormatting>
  <conditionalFormatting sqref="B3380:B3463">
    <cfRule type="expression" priority="12474" dxfId="6424">
      <formula>$B3380="Subetapa"</formula>
    </cfRule>
  </conditionalFormatting>
  <conditionalFormatting sqref="B3464:B3475">
    <cfRule type="expression" priority="12464" dxfId="6424">
      <formula>$B3464="Subetapa"</formula>
    </cfRule>
  </conditionalFormatting>
  <conditionalFormatting sqref="B3623:C3625 D3623:F3623 D3624:D3625 F3624:F3625">
    <cfRule type="expression" priority="12372" dxfId="6424">
      <formula>$B3623="Subetapa"</formula>
    </cfRule>
  </conditionalFormatting>
  <conditionalFormatting sqref="B3626:C3628 D3626:F3626 D3627:D3628 F3627:F3628">
    <cfRule type="expression" priority="12389" dxfId="6424">
      <formula>$B3626="Subetapa"</formula>
    </cfRule>
  </conditionalFormatting>
  <conditionalFormatting sqref="B3640:C3643 D3640:F3640 D3641:D3643 F3641:F3643">
    <cfRule type="expression" priority="12380" dxfId="6424">
      <formula>$B3640="Subetapa"</formula>
    </cfRule>
  </conditionalFormatting>
  <conditionalFormatting sqref="B3662:C3673 D3662:F3662 D3663:D3664 D3665:F3665 D3666:D3667 D3668:F3668 D3669:D3670 D3671:F3671 D3672:D3673 F3663:F3664 F3666:F3667 F3669:F3670 F3672:F3673">
    <cfRule type="expression" priority="12384" dxfId="6424">
      <formula>$B3662="Subetapa"</formula>
    </cfRule>
  </conditionalFormatting>
  <conditionalFormatting sqref="B3674:B3678">
    <cfRule type="expression" priority="9011" dxfId="6433">
      <formula>$B3674="Serviço"</formula>
    </cfRule>
    <cfRule type="expression" priority="9012" dxfId="6434">
      <formula>$B3674="Subetapa"</formula>
    </cfRule>
  </conditionalFormatting>
  <conditionalFormatting sqref="B3679:B3683">
    <cfRule type="expression" priority="12376" dxfId="6424">
      <formula>$B3679="Subetapa"</formula>
    </cfRule>
  </conditionalFormatting>
  <conditionalFormatting sqref="B3684:B3688">
    <cfRule type="expression" priority="8999" dxfId="6433">
      <formula>$B3684="Serviço"</formula>
    </cfRule>
    <cfRule type="expression" priority="9000" dxfId="6434">
      <formula>$B3684="Subetapa"</formula>
    </cfRule>
  </conditionalFormatting>
  <conditionalFormatting sqref="B3699:B3708">
    <cfRule type="expression" priority="8987" dxfId="6433">
      <formula>$B3699="Serviço"</formula>
    </cfRule>
    <cfRule type="expression" priority="8988" dxfId="6434">
      <formula>$B3699="Subetapa"</formula>
    </cfRule>
  </conditionalFormatting>
  <conditionalFormatting sqref="B3722:B3724">
    <cfRule type="expression" priority="8963" dxfId="6433">
      <formula>$B3722="Serviço"</formula>
    </cfRule>
    <cfRule type="expression" priority="8964" dxfId="6434">
      <formula>$B3722="Subetapa"</formula>
    </cfRule>
  </conditionalFormatting>
  <conditionalFormatting sqref="B3731:C3758 D3731:F3732 D3733:D3735 D3736:F3736 D3737:D3739 D3740:F3740 D3741:D3743 D3744:F3744 D3745:D3747 D3748:F3748 D3749:D3751 D3752:F3752 D3753:D3755 D3756:F3757 D3758 F3733:F3735 F3737:F3739 F3741:F3743 F3745:F3747 F3749:F3751 F3753:F3755 F3758">
    <cfRule type="expression" priority="11516" dxfId="6424">
      <formula>$B3731="Subetapa"</formula>
    </cfRule>
  </conditionalFormatting>
  <conditionalFormatting sqref="B3767:C3787 D3767:F3768 D3769 D3770:F3770 D3771 D3772:F3772 D3773 D3774:F3775 D3776 D3777:F3777 D3778 D3779:F3779 D3780 D3781:F3781 D3782 D3783:F3784 D3785 D3786:F3786 D3787 F3769 F3771 F3773 F3776 F3778 F3780 F3782 F3785 F3787">
    <cfRule type="expression" priority="12524" dxfId="6424">
      <formula>$B3767="Subetapa"</formula>
    </cfRule>
  </conditionalFormatting>
  <conditionalFormatting sqref="B3788:C3793 D3788:F3788 D3789 D3790:F3790 D3791 D3792:F3792 D3793 F3789 F3791 F3793">
    <cfRule type="expression" priority="11461" dxfId="6424">
      <formula>$B3788="Subetapa"</formula>
    </cfRule>
  </conditionalFormatting>
  <conditionalFormatting sqref="B3794:C3807 D3794:F3795 D3796 D3797:F3797 D3798 D3799:F3799 D3800 D3801:F3803 D3804:D3807 F3796 F3798 F3800 F3804:F3807">
    <cfRule type="expression" priority="12298" dxfId="6424">
      <formula>$B3794="Subetapa"</formula>
    </cfRule>
  </conditionalFormatting>
  <conditionalFormatting sqref="B3808:C3815 D3808:F3808 D3809:D3810 D3811:F3811 D3812:D3815 F3809:F3810 F3812:F3815">
    <cfRule type="expression" priority="8649" dxfId="6433">
      <formula>$B3808="Serviço"</formula>
    </cfRule>
  </conditionalFormatting>
  <conditionalFormatting sqref="B3808:B3815">
    <cfRule type="expression" priority="8646" dxfId="6434">
      <formula>$B3808="Subetapa"</formula>
    </cfRule>
  </conditionalFormatting>
  <conditionalFormatting sqref="B3846:B3847">
    <cfRule type="expression" priority="12110" dxfId="6424">
      <formula>$B3846="Subetapa"</formula>
    </cfRule>
  </conditionalFormatting>
  <conditionalFormatting sqref="B3858:B3859 D3858:F3859">
    <cfRule type="expression" priority="12279" dxfId="6424">
      <formula>$B3858="Subetapa"</formula>
    </cfRule>
  </conditionalFormatting>
  <conditionalFormatting sqref="B3861:B3862">
    <cfRule type="expression" priority="12269" dxfId="6424">
      <formula>$B3861="Subetapa"</formula>
    </cfRule>
  </conditionalFormatting>
  <conditionalFormatting sqref="B3864:B3865">
    <cfRule type="expression" priority="12231" dxfId="6424">
      <formula>$B3864="Subetapa"</formula>
    </cfRule>
  </conditionalFormatting>
  <conditionalFormatting sqref="B3883:B3884">
    <cfRule type="expression" priority="12218" dxfId="6424">
      <formula>$B3883="Subetapa"</formula>
    </cfRule>
  </conditionalFormatting>
  <conditionalFormatting sqref="B3894:B3895">
    <cfRule type="expression" priority="12205" dxfId="6424">
      <formula>$B3894="Subetapa"</formula>
    </cfRule>
  </conditionalFormatting>
  <conditionalFormatting sqref="B3905:B3906">
    <cfRule type="expression" priority="12192" dxfId="6424">
      <formula>$B3905="Subetapa"</formula>
    </cfRule>
  </conditionalFormatting>
  <conditionalFormatting sqref="B3916:B3917">
    <cfRule type="expression" priority="12179" dxfId="6424">
      <formula>$B3916="Subetapa"</formula>
    </cfRule>
  </conditionalFormatting>
  <conditionalFormatting sqref="B3927:B3928">
    <cfRule type="expression" priority="12166" dxfId="6424">
      <formula>$B3927="Subetapa"</formula>
    </cfRule>
  </conditionalFormatting>
  <conditionalFormatting sqref="B3929:B3932 D3929:D3932">
    <cfRule type="expression" priority="10566" dxfId="6424">
      <formula>$B3929="Subetapa"</formula>
    </cfRule>
  </conditionalFormatting>
  <conditionalFormatting sqref="B3938:B3943 D3939:D3940">
    <cfRule type="expression" priority="13742" dxfId="6424">
      <formula>$B3938="Subetapa"</formula>
    </cfRule>
  </conditionalFormatting>
  <conditionalFormatting sqref="B3944:B3952">
    <cfRule type="expression" priority="10551" dxfId="6424">
      <formula>$B3944="Subetapa"</formula>
    </cfRule>
  </conditionalFormatting>
  <conditionalFormatting sqref="B3956:B3959">
    <cfRule type="expression" priority="10139" dxfId="6424">
      <formula>$B3956="Subetapa"</formula>
    </cfRule>
  </conditionalFormatting>
  <conditionalFormatting sqref="B3983:B3986">
    <cfRule type="expression" priority="8264" dxfId="6433">
      <formula>$B3983="Serviço"</formula>
    </cfRule>
  </conditionalFormatting>
  <conditionalFormatting sqref="B4041:B4043 B4051:B4056 C4051:C4054 D4051:F4051 D4052:D4053 D4054:F4054 F4052:F4053">
    <cfRule type="expression" priority="7873" dxfId="6433">
      <formula>$B4041="Serviço"</formula>
    </cfRule>
  </conditionalFormatting>
  <conditionalFormatting sqref="B4041:B4043 B4051:B4056">
    <cfRule type="expression" priority="7872" dxfId="6434">
      <formula>$B4041="Subetapa"</formula>
    </cfRule>
  </conditionalFormatting>
  <conditionalFormatting sqref="B4058:B4067">
    <cfRule type="expression" priority="13628" dxfId="6424">
      <formula>$B4058="Subetapa"</formula>
    </cfRule>
  </conditionalFormatting>
  <conditionalFormatting sqref="B4069:B4076">
    <cfRule type="expression" priority="12127" dxfId="6424">
      <formula>$B4069="Subetapa"</formula>
    </cfRule>
  </conditionalFormatting>
  <conditionalFormatting sqref="B4078:C4086 B4152:C4155 D4078:F4078 D4079 D4080:F4080 D4081 D4082:F4082 D4083 D4084:F4084 D4085 D4086:F4086 D4152:F4152 D4153 D4154:F4154 D4155 F4079 F4081 F4083 F4085 F4153 F4155">
    <cfRule type="expression" priority="13589" dxfId="6424">
      <formula>$B4078="Subetapa"</formula>
    </cfRule>
  </conditionalFormatting>
  <conditionalFormatting sqref="B4088:B4097 B4110:B4113">
    <cfRule type="expression" priority="13762" dxfId="6424">
      <formula>$B4088="Subetapa"</formula>
    </cfRule>
  </conditionalFormatting>
  <conditionalFormatting sqref="B4114:C4115 D4114:F4114 D4115 F4115">
    <cfRule type="expression" priority="7797" dxfId="6434">
      <formula>$B4114="Subetapa"</formula>
    </cfRule>
  </conditionalFormatting>
  <conditionalFormatting sqref="B4122:B4124">
    <cfRule type="expression" priority="7818" dxfId="6433">
      <formula>$B4122="Serviço"</formula>
    </cfRule>
    <cfRule type="expression" priority="7820" dxfId="6434">
      <formula>$B4122="Subetapa"</formula>
    </cfRule>
  </conditionalFormatting>
  <conditionalFormatting sqref="B4125:B4134">
    <cfRule type="expression" priority="12334" dxfId="6424">
      <formula>$B4125="Subetapa"</formula>
    </cfRule>
  </conditionalFormatting>
  <conditionalFormatting sqref="B4156:B4161">
    <cfRule type="expression" priority="7786" dxfId="6433">
      <formula>$B4156="Serviço"</formula>
    </cfRule>
    <cfRule type="expression" priority="7787" dxfId="6434">
      <formula>$B4156="Subetapa"</formula>
    </cfRule>
  </conditionalFormatting>
  <conditionalFormatting sqref="B4187:C4201 D4187:F4187 D4188:D4189 D4190:F4190 D4191:D4192 D4193:F4193 D4194:D4195 D4196:F4196 D4197:D4198 D4199:F4199 D4200:D4201 F4188:F4189 F4191:F4192 F4194:F4195 F4197:F4198 F4200:F4201">
    <cfRule type="expression" priority="13705" dxfId="6424">
      <formula>$B4187="Subetapa"</formula>
    </cfRule>
  </conditionalFormatting>
  <conditionalFormatting sqref="B4245:B4248">
    <cfRule type="expression" priority="7757" dxfId="6433">
      <formula>$B4245="Serviço"</formula>
    </cfRule>
    <cfRule type="expression" priority="7758" dxfId="6434">
      <formula>$B4245="Subetapa"</formula>
    </cfRule>
  </conditionalFormatting>
  <conditionalFormatting sqref="B4296:B4301">
    <cfRule type="expression" priority="12077" dxfId="6424">
      <formula>$B4296="Subetapa"</formula>
    </cfRule>
  </conditionalFormatting>
  <conditionalFormatting sqref="B4323:B4372">
    <cfRule type="expression" priority="12071" dxfId="6424">
      <formula>$B4323="Subetapa"</formula>
    </cfRule>
  </conditionalFormatting>
  <conditionalFormatting sqref="B4373:C4402 D4373:F4373 D4374:D4377 D4378:F4378 D4380:D4382 D4383:F4383 D4385:D4387 D4388:F4388 D4389:D4392 D4393:F4393 D4394:D4397 D4398:F4398 D4399:D4402 F4374:F4377 F4379:F4382 F4384:F4387 F4389:F4392 F4394:F4397 F4399:F4402">
    <cfRule type="expression" priority="7749" dxfId="6434">
      <formula>$B4373="Subetapa"</formula>
    </cfRule>
    <cfRule type="expression" priority="7751" dxfId="6433">
      <formula>$B4373="Serviço"</formula>
    </cfRule>
  </conditionalFormatting>
  <conditionalFormatting sqref="B4403:B4427 C4403:C4438 D4403:F4404 D4405:D4407 D4408:F4408 D4409:D4411 D4412:F4412 D4413:D4416 D4417:F4417 D4418:D4421 D4422:F4422 D4423:D4426 D4427:F4428 D4429:D4432 D4433:F4433 D4434:D4437 D4438:F4438 F4405:F4407 F4409:F4411 F4413:F4416 F4418:F4421 F4423:F4426 F4429:F4432 F4434:F4437">
    <cfRule type="expression" priority="12096" dxfId="6424">
      <formula>$B4403="Subetapa"</formula>
    </cfRule>
  </conditionalFormatting>
  <conditionalFormatting sqref="B4456:B4457">
    <cfRule type="expression" priority="14557" dxfId="6424">
      <formula>$B4456="Subetapa"</formula>
    </cfRule>
  </conditionalFormatting>
  <conditionalFormatting sqref="B4462:B4463">
    <cfRule type="expression" priority="13745" dxfId="6424">
      <formula>$B4462="Subetapa"</formula>
    </cfRule>
  </conditionalFormatting>
  <conditionalFormatting sqref="B4573:B4585 B4598:B4609">
    <cfRule type="expression" priority="12032" dxfId="6424">
      <formula>$B4573="Subetapa"</formula>
    </cfRule>
  </conditionalFormatting>
  <conditionalFormatting sqref="B4686:C4699 D4686:F4686 D4687:D4688 D4689:F4689 D4690 D4691:F4691 D4692 D4693:F4693 D4694 D4695:F4695 D4696:D4697 D4698:F4698 D4699 F4687:F4688 F4690 F4692 F4694 F4696:F4697 F4699">
    <cfRule type="expression" priority="7743" dxfId="6434">
      <formula>$B4686="Subetapa"</formula>
    </cfRule>
    <cfRule type="expression" priority="7745" dxfId="6433">
      <formula>$B4686="Serviço"</formula>
    </cfRule>
  </conditionalFormatting>
  <conditionalFormatting sqref="B3759:C3766 B3962:B3969 B4723:B4726 B4984:B5027 C3240:D3242 C3252:D3254 C3256:D3258 C3816:C3820 C3958:D3959 C3963:D3963 C3965:D3965 C3969:D3969 C4928:C4941 D3759:F3759 D3760 D3761:F3761 D3762 D3763:F3763 D3764 D3765:F3765 D3766 D3816:F3816 D3817:D3820 D4928:D4938 D4939:F4939 D4940 D4941:F4941 F3760 F3762 F3764 F3766 F3817:F3820 F4940">
    <cfRule type="expression" priority="13814" dxfId="6424">
      <formula>$B3240="Subetapa"</formula>
    </cfRule>
  </conditionalFormatting>
  <conditionalFormatting sqref="B4727:B4790 D4726:D4749">
    <cfRule type="expression" priority="13645" dxfId="6424">
      <formula>$B4726="Subetapa"</formula>
    </cfRule>
  </conditionalFormatting>
  <conditionalFormatting sqref="B4801:B4810">
    <cfRule type="expression" priority="7613" dxfId="6433">
      <formula>$B4801="Serviço"</formula>
    </cfRule>
    <cfRule type="expression" priority="7622" dxfId="6434">
      <formula>$B4801="Subetapa"</formula>
    </cfRule>
  </conditionalFormatting>
  <conditionalFormatting sqref="B4872:B4917 B4923:B4931">
    <cfRule type="expression" priority="13748" dxfId="6424">
      <formula>$B4872="Subetapa"</formula>
    </cfRule>
  </conditionalFormatting>
  <conditionalFormatting sqref="B4918:B4922">
    <cfRule type="expression" priority="7600" dxfId="6433">
      <formula>$B4918="Serviço"</formula>
    </cfRule>
    <cfRule type="expression" priority="7603" dxfId="6434">
      <formula>$B4918="Subetapa"</formula>
    </cfRule>
  </conditionalFormatting>
  <conditionalFormatting sqref="B4933:B4975">
    <cfRule type="expression" priority="13749" dxfId="6424">
      <formula>$B4933="Subetapa"</formula>
    </cfRule>
  </conditionalFormatting>
  <conditionalFormatting sqref="B303 D303:F304">
    <cfRule type="expression" priority="9791" dxfId="6424">
      <formula>$B303="Subetapa"</formula>
    </cfRule>
  </conditionalFormatting>
  <conditionalFormatting sqref="B810:B813 B839:B842">
    <cfRule type="expression" priority="7472" dxfId="6424">
      <formula>$B810="Subetapa"</formula>
    </cfRule>
  </conditionalFormatting>
  <conditionalFormatting sqref="B881">
    <cfRule type="expression" priority="9606" dxfId="6433">
      <formula>$B881="Serviço"</formula>
    </cfRule>
    <cfRule type="expression" priority="9607" dxfId="6434">
      <formula>$B881="Subetapa"</formula>
    </cfRule>
  </conditionalFormatting>
  <conditionalFormatting sqref="B894">
    <cfRule type="expression" priority="9617" dxfId="6433">
      <formula>$B894="Serviço"</formula>
    </cfRule>
    <cfRule type="expression" priority="9618" dxfId="6434">
      <formula>$B894="Subetapa"</formula>
    </cfRule>
  </conditionalFormatting>
  <conditionalFormatting sqref="B896">
    <cfRule type="expression" priority="9620" dxfId="6433">
      <formula>$B896="Serviço"</formula>
    </cfRule>
    <cfRule type="expression" priority="9621" dxfId="6434">
      <formula>$B896="Subetapa"</formula>
    </cfRule>
  </conditionalFormatting>
  <conditionalFormatting sqref="B923">
    <cfRule type="expression" priority="9899" dxfId="6433">
      <formula>$B923="Serviço"</formula>
    </cfRule>
    <cfRule type="expression" priority="9900" dxfId="6434">
      <formula>$B923="Subetapa"</formula>
    </cfRule>
  </conditionalFormatting>
  <conditionalFormatting sqref="B926">
    <cfRule type="expression" priority="9903" dxfId="6433">
      <formula>$B926="Serviço"</formula>
    </cfRule>
    <cfRule type="expression" priority="9904" dxfId="6434">
      <formula>$B926="Subetapa"</formula>
    </cfRule>
  </conditionalFormatting>
  <conditionalFormatting sqref="B929">
    <cfRule type="expression" priority="9905" dxfId="6433">
      <formula>$B929="Serviço"</formula>
    </cfRule>
    <cfRule type="expression" priority="9906" dxfId="6434">
      <formula>$B929="Subetapa"</formula>
    </cfRule>
  </conditionalFormatting>
  <conditionalFormatting sqref="B933">
    <cfRule type="expression" priority="9941" dxfId="6433">
      <formula>$B933="Serviço"</formula>
    </cfRule>
    <cfRule type="expression" priority="9942" dxfId="6434">
      <formula>$B933="Subetapa"</formula>
    </cfRule>
  </conditionalFormatting>
  <conditionalFormatting sqref="B936">
    <cfRule type="expression" priority="9939" dxfId="6433">
      <formula>$B936="Serviço"</formula>
    </cfRule>
    <cfRule type="expression" priority="9940" dxfId="6434">
      <formula>$B936="Subetapa"</formula>
    </cfRule>
  </conditionalFormatting>
  <conditionalFormatting sqref="B939">
    <cfRule type="expression" priority="9943" dxfId="6433">
      <formula>$B939="Serviço"</formula>
    </cfRule>
    <cfRule type="expression" priority="9944" dxfId="6434">
      <formula>$B939="Subetapa"</formula>
    </cfRule>
  </conditionalFormatting>
  <conditionalFormatting sqref="B942">
    <cfRule type="expression" priority="9947" dxfId="6433">
      <formula>$B942="Serviço"</formula>
    </cfRule>
    <cfRule type="expression" priority="9948" dxfId="6434">
      <formula>$B942="Subetapa"</formula>
    </cfRule>
  </conditionalFormatting>
  <conditionalFormatting sqref="B959 B962">
    <cfRule type="expression" priority="14330" dxfId="6424">
      <formula>$B959="Subetapa"</formula>
    </cfRule>
  </conditionalFormatting>
  <conditionalFormatting sqref="B1186:B1197 B2612:B2636 B2962:C2963 B3215:B3226 B3229:C3230 B3235:B3242 B3251:B3264 B3285:B3289 B3311:B3324 B3340:B3349 B3550:C3555 B3689:C3698 B4206:D4207 B4211:C4216 B4249:C4263 B4268:C4271 B4457:B4461 C2527:D2530 C3216:C3226 C3235:C3237 C3287:D3289 C3312:C3319 C3321:D3324 C4110:C4113 D2962:F2962 D2963 D3216 D3217:F3217 D3218 D3219:F3219 D3220 D3221:F3221 D3222 D3223:F3223 D3224 D3225:F3225 D3226 D3229:F3229 D3230 D3235:F3235 D3236:D3237 D3312:D3315 D3316:F3316 D3317:D3319 D3550:F3551 D3552:D3555 D3689:F3689 D3690:D3693 D3694:F3694 D3695:D3698 D4110:F4110 D4111 D4112:F4112 D4113 D4211:F4211 D4212:D4213 D4214:F4214 D4215:D4216 D4249:F4249 D4250 D4251:F4251 D4252 D4253:F4253 D4254 D4255:F4255 D4256 D4257:F4257 D4258 D4259:F4259 D4260 D4261:F4262 D4263 D4268:F4268 D4269 D4270:F4270 D4271 F2963 F3216 F3218 F3220 F3222 F3224 F3226 F3230 F3236:F3237 F3552:F3555 F3690:F3693 F3695:F3698 F4111 F4113 F4206:F4207 F4212:F4213 F4215:F4216 F4250 F4252 F4254 F4256 F4258 F4260 F4263 F4269 F4271">
    <cfRule type="expression" priority="13557" dxfId="6424">
      <formula>$B1186="Subetapa"</formula>
    </cfRule>
  </conditionalFormatting>
  <conditionalFormatting sqref="B1290">
    <cfRule type="expression" priority="9498" dxfId="6434">
      <formula>$B1290="Subetapa"</formula>
    </cfRule>
  </conditionalFormatting>
  <conditionalFormatting sqref="B1300">
    <cfRule type="expression" priority="9490" dxfId="6434">
      <formula>$B1300="Subetapa"</formula>
    </cfRule>
  </conditionalFormatting>
  <conditionalFormatting sqref="B1311">
    <cfRule type="expression" priority="9492" dxfId="6434">
      <formula>$B1311="Subetapa"</formula>
    </cfRule>
  </conditionalFormatting>
  <conditionalFormatting sqref="B1322">
    <cfRule type="expression" priority="9494" dxfId="6434">
      <formula>$B1322="Subetapa"</formula>
    </cfRule>
  </conditionalFormatting>
  <conditionalFormatting sqref="B1333">
    <cfRule type="expression" priority="9496" dxfId="6434">
      <formula>$B1333="Subetapa"</formula>
    </cfRule>
  </conditionalFormatting>
  <conditionalFormatting sqref="B1344">
    <cfRule type="expression" priority="9480" dxfId="6434">
      <formula>$B1344="Subetapa"</formula>
    </cfRule>
  </conditionalFormatting>
  <conditionalFormatting sqref="B1386:B1396 B1535 B1541 B1548 B1626 B1638">
    <cfRule type="expression" priority="13426" dxfId="6424">
      <formula>$B1386="Subetapa"</formula>
    </cfRule>
  </conditionalFormatting>
  <conditionalFormatting sqref="B1542:B1546">
    <cfRule type="expression" priority="7262" dxfId="6424">
      <formula>$B1542="Subetapa"</formula>
    </cfRule>
  </conditionalFormatting>
  <conditionalFormatting sqref="B1650:B1842">
    <cfRule type="expression" priority="7444" dxfId="6424">
      <formula>$B1650="Subetapa"</formula>
    </cfRule>
  </conditionalFormatting>
  <conditionalFormatting sqref="B1844:B1854">
    <cfRule type="expression" priority="7440" dxfId="6424">
      <formula>$B1844="Subetapa"</formula>
    </cfRule>
  </conditionalFormatting>
  <conditionalFormatting sqref="B1856:B1866">
    <cfRule type="expression" priority="7436" dxfId="6424">
      <formula>$B1856="Subetapa"</formula>
    </cfRule>
  </conditionalFormatting>
  <conditionalFormatting sqref="B1869 B1871:B1879 D1868:D1869 D1871:D1879">
    <cfRule type="expression" priority="13266" dxfId="6424">
      <formula>$B1868="Subetapa"</formula>
    </cfRule>
  </conditionalFormatting>
  <conditionalFormatting sqref="B1870">
    <cfRule type="expression" priority="13256" dxfId="6424">
      <formula>$B1870="Subetapa"</formula>
    </cfRule>
  </conditionalFormatting>
  <conditionalFormatting sqref="B1894 B1896:B1906 D1893:D1894 D1896:D1904">
    <cfRule type="expression" priority="13254" dxfId="6424">
      <formula>$B1893="Subetapa"</formula>
    </cfRule>
  </conditionalFormatting>
  <conditionalFormatting sqref="B1931 B1933:B1941 D1930:D1931 D1933:D1941">
    <cfRule type="expression" priority="13196" dxfId="6424">
      <formula>$B1930="Subetapa"</formula>
    </cfRule>
  </conditionalFormatting>
  <conditionalFormatting sqref="B1944 B1946:B1954 D1943:D1944 D1946:D1954">
    <cfRule type="expression" priority="13180" dxfId="6424">
      <formula>$B1943="Subetapa"</formula>
    </cfRule>
  </conditionalFormatting>
  <conditionalFormatting sqref="B1957 B1959:B1967 D1956:D1957 D1959:D1967">
    <cfRule type="expression" priority="13164" dxfId="6424">
      <formula>$B1956="Subetapa"</formula>
    </cfRule>
  </conditionalFormatting>
  <conditionalFormatting sqref="B1970 B1972:B1980 D1969:D1970 D1972:D1980">
    <cfRule type="expression" priority="13148" dxfId="6424">
      <formula>$B1969="Subetapa"</formula>
    </cfRule>
  </conditionalFormatting>
  <conditionalFormatting sqref="B2020">
    <cfRule type="expression" priority="12006" dxfId="6424">
      <formula>$B2020="Subetapa"</formula>
    </cfRule>
  </conditionalFormatting>
  <conditionalFormatting sqref="B2042:B2052">
    <cfRule type="expression" priority="7391" dxfId="6424">
      <formula>$B2042="Subetapa"</formula>
    </cfRule>
  </conditionalFormatting>
  <conditionalFormatting sqref="B2068">
    <cfRule type="expression" priority="13024" dxfId="6424">
      <formula>$B2068="Subetapa"</formula>
    </cfRule>
  </conditionalFormatting>
  <conditionalFormatting sqref="B2081">
    <cfRule type="expression" priority="13006" dxfId="6424">
      <formula>$B2081="Subetapa"</formula>
    </cfRule>
  </conditionalFormatting>
  <conditionalFormatting sqref="B2094">
    <cfRule type="expression" priority="12988" dxfId="6424">
      <formula>$B2094="Subetapa"</formula>
    </cfRule>
  </conditionalFormatting>
  <conditionalFormatting sqref="B2331:B2336">
    <cfRule type="expression" priority="7351" dxfId="6424">
      <formula>$B2331="Subetapa"</formula>
    </cfRule>
  </conditionalFormatting>
  <conditionalFormatting sqref="B2346">
    <cfRule type="expression" priority="12807" dxfId="6424">
      <formula>$B2346="Subetapa"</formula>
    </cfRule>
  </conditionalFormatting>
  <conditionalFormatting sqref="B2379 B2384">
    <cfRule type="expression" priority="9405" dxfId="6433">
      <formula>$B2379="Serviço"</formula>
    </cfRule>
  </conditionalFormatting>
  <conditionalFormatting sqref="B2692:B2718">
    <cfRule type="expression" priority="7254" dxfId="6424">
      <formula>$B2692="Subetapa"</formula>
    </cfRule>
  </conditionalFormatting>
  <conditionalFormatting sqref="B2756:B2764">
    <cfRule type="expression" priority="7211" dxfId="6424">
      <formula>$B2756="Subetapa"</formula>
    </cfRule>
  </conditionalFormatting>
  <conditionalFormatting sqref="B2768">
    <cfRule type="expression" priority="12651" dxfId="6424">
      <formula>$B2768="Subetapa"</formula>
    </cfRule>
  </conditionalFormatting>
  <conditionalFormatting sqref="B2876">
    <cfRule type="expression" priority="12614" dxfId="6424">
      <formula>$B2876="Subetapa"</formula>
    </cfRule>
  </conditionalFormatting>
  <conditionalFormatting sqref="B2885:B2889 B2905:B2910">
    <cfRule type="expression" priority="7252" dxfId="6424">
      <formula>$B2885="Subetapa"</formula>
    </cfRule>
  </conditionalFormatting>
  <conditionalFormatting sqref="B3107">
    <cfRule type="expression" priority="12544" dxfId="6424">
      <formula>$B3107="Subetapa"</formula>
    </cfRule>
  </conditionalFormatting>
  <conditionalFormatting sqref="B3561:B3575">
    <cfRule type="expression" priority="7334" dxfId="6424">
      <formula>$B3561="Subetapa"</formula>
    </cfRule>
  </conditionalFormatting>
  <conditionalFormatting sqref="B3577:B3588 B3618:B3621">
    <cfRule type="expression" priority="7326" dxfId="6424">
      <formula>$B3577="Subetapa"</formula>
    </cfRule>
  </conditionalFormatting>
  <conditionalFormatting sqref="B3816:B3845">
    <cfRule type="expression" priority="7245" dxfId="6424">
      <formula>$B3816="Subetapa"</formula>
    </cfRule>
  </conditionalFormatting>
  <conditionalFormatting sqref="B3848:B3850">
    <cfRule type="expression" priority="7288" dxfId="6424">
      <formula>$B3848="Subetapa"</formula>
    </cfRule>
  </conditionalFormatting>
  <conditionalFormatting sqref="B3937">
    <cfRule type="expression" priority="10567" dxfId="6424">
      <formula>$B3937="Subetapa"</formula>
    </cfRule>
  </conditionalFormatting>
  <conditionalFormatting sqref="B3991">
    <cfRule type="expression" priority="8277" dxfId="6433">
      <formula>$B3991="Serviço"</formula>
    </cfRule>
  </conditionalFormatting>
  <conditionalFormatting sqref="B4124">
    <cfRule type="expression" priority="7816" dxfId="6433">
      <formula>$B4124="Serviço"</formula>
    </cfRule>
    <cfRule type="expression" priority="7817" dxfId="6434">
      <formula>$B4124="Subetapa"</formula>
    </cfRule>
  </conditionalFormatting>
  <conditionalFormatting sqref="B4460">
    <cfRule type="expression" priority="13642" dxfId="6424">
      <formula>$B4460="Subetapa"</formula>
    </cfRule>
  </conditionalFormatting>
  <conditionalFormatting sqref="B4482">
    <cfRule type="expression" priority="13644" dxfId="6424">
      <formula>$B4482="Subetapa"</formula>
    </cfRule>
  </conditionalFormatting>
  <conditionalFormatting sqref="B4701:B4702">
    <cfRule type="expression" priority="7243" dxfId="6424">
      <formula>$B4701="Subetapa"</formula>
    </cfRule>
  </conditionalFormatting>
  <conditionalFormatting sqref="B323:D323">
    <cfRule type="expression" priority="14327" dxfId="6424">
      <formula>$B323="Subetapa"</formula>
    </cfRule>
  </conditionalFormatting>
  <conditionalFormatting sqref="B1842:D1842">
    <cfRule type="expression" priority="13282" dxfId="6424">
      <formula>$B1842="Subetapa"</formula>
    </cfRule>
  </conditionalFormatting>
  <conditionalFormatting sqref="B2769:D2769">
    <cfRule type="expression" priority="10044" dxfId="6424">
      <formula>$B2769="Subetapa"</formula>
    </cfRule>
  </conditionalFormatting>
  <conditionalFormatting sqref="B2770:D2770">
    <cfRule type="expression" priority="10072" dxfId="6424">
      <formula>$B2770="Subetapa"</formula>
    </cfRule>
  </conditionalFormatting>
  <conditionalFormatting sqref="B2771:D2771">
    <cfRule type="expression" priority="10055" dxfId="6424">
      <formula>$B2771="Subetapa"</formula>
    </cfRule>
  </conditionalFormatting>
  <conditionalFormatting sqref="B4932:D4932">
    <cfRule type="expression" priority="13830" dxfId="6424">
      <formula>$B4932="Subetapa"</formula>
    </cfRule>
  </conditionalFormatting>
  <conditionalFormatting sqref="B2007:D2007">
    <cfRule type="expression" priority="13232" dxfId="6424">
      <formula>$B2007="Subetapa"</formula>
    </cfRule>
  </conditionalFormatting>
  <conditionalFormatting sqref="B3865 D3865">
    <cfRule type="expression" priority="12227" dxfId="6424">
      <formula>$B3865="Subetapa"</formula>
    </cfRule>
  </conditionalFormatting>
  <conditionalFormatting sqref="B3871 D3871">
    <cfRule type="expression" priority="10188" dxfId="6424">
      <formula>$B3871="Subetapa"</formula>
    </cfRule>
  </conditionalFormatting>
  <conditionalFormatting sqref="B3872 D3872">
    <cfRule type="expression" priority="10172" dxfId="6424">
      <formula>$B3872="Subetapa"</formula>
    </cfRule>
  </conditionalFormatting>
  <conditionalFormatting sqref="B3873 D3873">
    <cfRule type="expression" priority="10156" dxfId="6424">
      <formula>$B3873="Subetapa"</formula>
    </cfRule>
  </conditionalFormatting>
  <conditionalFormatting sqref="B3884 D3884">
    <cfRule type="expression" priority="12214" dxfId="6424">
      <formula>$B3884="Subetapa"</formula>
    </cfRule>
  </conditionalFormatting>
  <conditionalFormatting sqref="B3890:D3890">
    <cfRule type="expression" priority="10254" dxfId="6424">
      <formula>$B3890="Subetapa"</formula>
    </cfRule>
  </conditionalFormatting>
  <conditionalFormatting sqref="B3891:D3891">
    <cfRule type="expression" priority="10238" dxfId="6424">
      <formula>$B3891="Subetapa"</formula>
    </cfRule>
  </conditionalFormatting>
  <conditionalFormatting sqref="B3892:D3892">
    <cfRule type="expression" priority="10222" dxfId="6424">
      <formula>$B3892="Subetapa"</formula>
    </cfRule>
  </conditionalFormatting>
  <conditionalFormatting sqref="B3895:D3895">
    <cfRule type="expression" priority="12201" dxfId="6424">
      <formula>$B3895="Subetapa"</formula>
    </cfRule>
  </conditionalFormatting>
  <conditionalFormatting sqref="B3901:D3901">
    <cfRule type="expression" priority="10320" dxfId="6424">
      <formula>$B3901="Subetapa"</formula>
    </cfRule>
  </conditionalFormatting>
  <conditionalFormatting sqref="B3902:D3902">
    <cfRule type="expression" priority="10304" dxfId="6424">
      <formula>$B3902="Subetapa"</formula>
    </cfRule>
  </conditionalFormatting>
  <conditionalFormatting sqref="B3903:D3903">
    <cfRule type="expression" priority="10288" dxfId="6424">
      <formula>$B3903="Subetapa"</formula>
    </cfRule>
  </conditionalFormatting>
  <conditionalFormatting sqref="B3906:D3906">
    <cfRule type="expression" priority="12188" dxfId="6424">
      <formula>$B3906="Subetapa"</formula>
    </cfRule>
  </conditionalFormatting>
  <conditionalFormatting sqref="B3912:D3912">
    <cfRule type="expression" priority="10386" dxfId="6424">
      <formula>$B3912="Subetapa"</formula>
    </cfRule>
  </conditionalFormatting>
  <conditionalFormatting sqref="B3913:D3913">
    <cfRule type="expression" priority="10370" dxfId="6424">
      <formula>$B3913="Subetapa"</formula>
    </cfRule>
  </conditionalFormatting>
  <conditionalFormatting sqref="B3914:D3914">
    <cfRule type="expression" priority="10354" dxfId="6424">
      <formula>$B3914="Subetapa"</formula>
    </cfRule>
  </conditionalFormatting>
  <conditionalFormatting sqref="B3917:D3917">
    <cfRule type="expression" priority="12175" dxfId="6424">
      <formula>$B3917="Subetapa"</formula>
    </cfRule>
  </conditionalFormatting>
  <conditionalFormatting sqref="B3923:D3923">
    <cfRule type="expression" priority="10452" dxfId="6424">
      <formula>$B3923="Subetapa"</formula>
    </cfRule>
  </conditionalFormatting>
  <conditionalFormatting sqref="B3924:D3924">
    <cfRule type="expression" priority="10436" dxfId="6424">
      <formula>$B3924="Subetapa"</formula>
    </cfRule>
  </conditionalFormatting>
  <conditionalFormatting sqref="B3925:D3925">
    <cfRule type="expression" priority="10420" dxfId="6424">
      <formula>$B3925="Subetapa"</formula>
    </cfRule>
  </conditionalFormatting>
  <conditionalFormatting sqref="B3933:D3933">
    <cfRule type="expression" priority="10534" dxfId="6424">
      <formula>$B3933="Subetapa"</formula>
    </cfRule>
  </conditionalFormatting>
  <conditionalFormatting sqref="B3934:D3934">
    <cfRule type="expression" priority="10518" dxfId="6424">
      <formula>$B3934="Subetapa"</formula>
    </cfRule>
  </conditionalFormatting>
  <conditionalFormatting sqref="B3935:D3935">
    <cfRule type="expression" priority="10502" dxfId="6424">
      <formula>$B3935="Subetapa"</formula>
    </cfRule>
  </conditionalFormatting>
  <conditionalFormatting sqref="B3936:D3936">
    <cfRule type="expression" priority="10486" dxfId="6424">
      <formula>$B3936="Subetapa"</formula>
    </cfRule>
  </conditionalFormatting>
  <conditionalFormatting sqref="B3953:D3953">
    <cfRule type="expression" priority="10122" dxfId="6424">
      <formula>$B3953="Subetapa"</formula>
    </cfRule>
  </conditionalFormatting>
  <conditionalFormatting sqref="B3954:D3954">
    <cfRule type="expression" priority="10106" dxfId="6424">
      <formula>$B3954="Subetapa"</formula>
    </cfRule>
  </conditionalFormatting>
  <conditionalFormatting sqref="B3955:D3955">
    <cfRule type="expression" priority="10090" dxfId="6424">
      <formula>$B3955="Subetapa"</formula>
    </cfRule>
  </conditionalFormatting>
  <conditionalFormatting sqref="B1547:D1547 F1547">
    <cfRule type="expression" priority="13414" dxfId="6424">
      <formula>$B1547="Subetapa"</formula>
    </cfRule>
  </conditionalFormatting>
  <conditionalFormatting sqref="B1625:D1625 F1625">
    <cfRule type="expression" priority="13378" dxfId="6424">
      <formula>$B1625="Subetapa"</formula>
    </cfRule>
  </conditionalFormatting>
  <conditionalFormatting sqref="B1637:D1637 F1637">
    <cfRule type="expression" priority="13366" dxfId="6424">
      <formula>$B1637="Subetapa"</formula>
    </cfRule>
  </conditionalFormatting>
  <conditionalFormatting sqref="B1649:D1649 F1649">
    <cfRule type="expression" priority="13324" dxfId="6424">
      <formula>$B1649="Subetapa"</formula>
    </cfRule>
  </conditionalFormatting>
  <conditionalFormatting sqref="B1895:D1895 F1895">
    <cfRule type="expression" priority="13244" dxfId="6424">
      <formula>$B1895="Subetapa"</formula>
    </cfRule>
  </conditionalFormatting>
  <conditionalFormatting sqref="B3243:F3243">
    <cfRule type="expression" priority="9222" dxfId="6433">
      <formula>$B3243="Serviço"</formula>
    </cfRule>
  </conditionalFormatting>
  <conditionalFormatting sqref="B3622:F3622">
    <cfRule type="expression" priority="12520" dxfId="6424">
      <formula>$B3622="Subetapa"</formula>
    </cfRule>
  </conditionalFormatting>
  <conditionalFormatting sqref="B3860:D3860 F3860">
    <cfRule type="expression" priority="12259" dxfId="6424">
      <formula>$B3860="Subetapa"</formula>
    </cfRule>
  </conditionalFormatting>
  <conditionalFormatting sqref="B3970:C3979 D3970:F3970 D3971:D3974 D3975:F3975 D3976:D3979 F3971:F3974 F3976:F3979">
    <cfRule type="expression" priority="11388" dxfId="6424">
      <formula>$B3970="Subetapa"</formula>
    </cfRule>
  </conditionalFormatting>
  <conditionalFormatting sqref="B4068:F4068">
    <cfRule type="expression" priority="12288" dxfId="6424">
      <formula>$B4068="Subetapa"</formula>
    </cfRule>
  </conditionalFormatting>
  <conditionalFormatting sqref="B4077:F4077">
    <cfRule type="expression" priority="12290" dxfId="6424">
      <formula>$B4077="Subetapa"</formula>
    </cfRule>
  </conditionalFormatting>
  <conditionalFormatting sqref="B4087:F4087">
    <cfRule type="expression" priority="12354" dxfId="6424">
      <formula>$B4087="Subetapa"</formula>
    </cfRule>
  </conditionalFormatting>
  <conditionalFormatting sqref="B4205:F4205 B4235:C4244 D4235:F4236 D4237 D4238:F4238 D4239 D4240:F4240 D4241 D4242:F4243 D4244 F4237 F4239 F4241 F4244">
    <cfRule type="expression" priority="12013" dxfId="6424">
      <formula>$B4205="Subetapa"</formula>
    </cfRule>
  </conditionalFormatting>
  <conditionalFormatting sqref="B1016:D1016 B1536:D1540 B2877:D2882 B4135:C4138 B4283:C4290 C2017:F2017 D4135:H4135 D4136 D4137:H4137 D4138 D4283:H4283 D4284:D4285 D4286:H4286 D4287 D4288:H4288 D4289 D4290:H4290 F1016 F1536:F1540 F1906 F2006 F2108:F2111 F2877:F2882 F4136 F4138 F4284:F4285 F4287 F4289">
    <cfRule type="expression" priority="11789" dxfId="6424">
      <formula>$B1016="Subetapa"</formula>
    </cfRule>
  </conditionalFormatting>
  <conditionalFormatting sqref="B1843:H1843 B1855:H1855 B1867:H1867 B1917:H1917 B1929:H1929 B1942:H1942 B1955:H1955 B1968:H1968 B1981:H1981 B1993:H1993 B2005:H2005 C1880:F1880 C1892:F1892 C1905:F1905">
    <cfRule type="expression" priority="11725" dxfId="6424">
      <formula>$B1843="Subetapa"</formula>
    </cfRule>
  </conditionalFormatting>
  <conditionalFormatting sqref="B2041:H2041 B2053:H2053 C2066:F2066 C2079:F2079 C2092:F2092">
    <cfRule type="expression" priority="11661" dxfId="6424">
      <formula>$B2041="Subetapa"</formula>
    </cfRule>
  </conditionalFormatting>
  <conditionalFormatting sqref="B2168:H2168">
    <cfRule type="expression" priority="11822" dxfId="6424">
      <formula>$B2168="Subetapa"</formula>
    </cfRule>
  </conditionalFormatting>
  <conditionalFormatting sqref="B2208:C2211 B2277:C2278 D2208:H2208 D2209 D2210:H2210 D2211 D2277:H2277 D2278 F2209 F2211 F2278">
    <cfRule type="expression" priority="5941" dxfId="6424">
      <formula>$B2208="Subetapa"</formula>
    </cfRule>
  </conditionalFormatting>
  <conditionalFormatting sqref="B2525:F2525">
    <cfRule type="expression" priority="12855" dxfId="6424">
      <formula>$B2525="Subetapa"</formula>
    </cfRule>
  </conditionalFormatting>
  <conditionalFormatting sqref="B2755:F2755">
    <cfRule type="expression" priority="12672" dxfId="6424">
      <formula>$B2755="Subetapa"</formula>
    </cfRule>
  </conditionalFormatting>
  <conditionalFormatting sqref="B2875:D2875 F2875">
    <cfRule type="expression" priority="10661" dxfId="6424">
      <formula>$B2875="Subetapa"</formula>
    </cfRule>
  </conditionalFormatting>
  <conditionalFormatting sqref="B2936:F2936">
    <cfRule type="expression" priority="12562" dxfId="6424">
      <formula>$B2936="Subetapa"</formula>
    </cfRule>
  </conditionalFormatting>
  <conditionalFormatting sqref="B2961:F2961">
    <cfRule type="expression" priority="12558" dxfId="6424">
      <formula>$B2961="Subetapa"</formula>
    </cfRule>
  </conditionalFormatting>
  <conditionalFormatting sqref="B2964:C3021 D2964:D2965 D2966:H2966 D2967:D2969 D2970:H2970 D2971:D2973 D2974:H2974 D2975:D2977 D2978:H2978 D2979:D2981 D2982:H2982 D2983:D2985 D2986:H2986 D2987:D2989 D2990:H2990 D2991:D2993 D2994:H2994 D2995:D2997 D2998:H2998 D2999:D3001 D3002:H3002 D3003:D3005 D3006:H3006 D3007:D3009 D3010:H3010 D3011:D3013 D3014:H3014 D3015:D3017 D3018:H3018 D3019:D3021 F2964:F2965 F2967:F2969 F2971:F2973 F2975:F2977 F2979:F2981 F2983:F2985 F2987:F2989 F2991:F2993 F2995:F2997 F2999:F3001 F3003:F3005 F3007:F3009 F3011:F3013 F3015:F3017 F3019:F3021">
    <cfRule type="expression" priority="5828" dxfId="6424">
      <formula>$B2964="Subetapa"</formula>
    </cfRule>
  </conditionalFormatting>
  <conditionalFormatting sqref="B3022:F3022">
    <cfRule type="expression" priority="12554" dxfId="6424">
      <formula>$B3022="Subetapa"</formula>
    </cfRule>
  </conditionalFormatting>
  <conditionalFormatting sqref="B3709:C3713 D3709:H3709 D3710:D3713 F3710:F3713">
    <cfRule type="expression" priority="6011" dxfId="6424">
      <formula>$B3709="Subetapa"</formula>
    </cfRule>
  </conditionalFormatting>
  <conditionalFormatting sqref="B3715:C3721 B3725:C3730 D3715:H3715 D3716 D3717:H3717 D3718 D3719:H3719 D3720:D3721 D3725:H3725 D3726:D3727 D3728:H3728 D3729:D3730 F3716 F3718 F3720:F3721 F3726:F3727 F3729:F3730">
    <cfRule type="expression" priority="5948" dxfId="6424">
      <formula>$B3715="Subetapa"</formula>
    </cfRule>
  </conditionalFormatting>
  <conditionalFormatting sqref="B4023:C4028 D4023:H4023 D4024 D4025:H4025 D4026:D4028 F4024 F4026:F4028">
    <cfRule type="expression" priority="5947" dxfId="6424">
      <formula>$B4023="Subetapa"</formula>
    </cfRule>
  </conditionalFormatting>
  <conditionalFormatting sqref="B4272:C4277 D4272:F4272 D4273:H4273 D4274 D4275:H4275 D4276 D4277:H4277 F4274 F4276">
    <cfRule type="expression" priority="11450" dxfId="6424">
      <formula>$B4272="Subetapa"</formula>
    </cfRule>
  </conditionalFormatting>
  <conditionalFormatting sqref="B4700:F4700">
    <cfRule type="expression" priority="12094" dxfId="6424">
      <formula>$B4700="Subetapa"</formula>
    </cfRule>
  </conditionalFormatting>
  <conditionalFormatting sqref="B4722:D4722 F4722">
    <cfRule type="expression" priority="12020" dxfId="6424">
      <formula>$B4722="Subetapa"</formula>
    </cfRule>
  </conditionalFormatting>
  <conditionalFormatting sqref="B3089:B3092">
    <cfRule type="expression" priority="7493" dxfId="6424">
      <formula>$B3089="Subetapa"</formula>
    </cfRule>
  </conditionalFormatting>
  <conditionalFormatting sqref="B3191:B3194 B3209:B3214">
    <cfRule type="expression" priority="7324" dxfId="6424">
      <formula>$B3191="Subetapa"</formula>
    </cfRule>
  </conditionalFormatting>
  <conditionalFormatting sqref="D957:D962">
    <cfRule type="expression" priority="7532" dxfId="6424">
      <formula>$B957="Subetapa"</formula>
    </cfRule>
  </conditionalFormatting>
  <conditionalFormatting sqref="D2351:F2351 D2352 D2353:F2353 D2354:D2355 F2352 F2354:F2355">
    <cfRule type="expression" priority="7353" dxfId="6424">
      <formula>$B2351="Subetapa"</formula>
    </cfRule>
  </conditionalFormatting>
  <conditionalFormatting sqref="C2359:C2367 C2369:C2373 D2359:F2359 D2360:D2363 D2364:F2364 D2365:D2367 D2369:F2369 D2370:D2373 F2360:F2363 F2365:F2367 F2370:F2373">
    <cfRule type="expression" priority="7492" dxfId="6424">
      <formula>$B2359="Subetapa"</formula>
    </cfRule>
  </conditionalFormatting>
  <conditionalFormatting sqref="C3679:C3683 D3679:F3679 D3680:D3683 F3680:F3683">
    <cfRule type="expression" priority="7315" dxfId="6424">
      <formula>$B3679="Subetapa"</formula>
    </cfRule>
  </conditionalFormatting>
  <conditionalFormatting sqref="C4279:C4282 D4279:F4279 D4280:D4282 F4280:F4282">
    <cfRule type="expression" priority="7274" dxfId="6424">
      <formula>$B4279="Subetapa"</formula>
    </cfRule>
  </conditionalFormatting>
  <conditionalFormatting sqref="D284:D286">
    <cfRule type="expression" priority="13766" dxfId="6424">
      <formula>$B284="Subetapa"</formula>
    </cfRule>
  </conditionalFormatting>
  <conditionalFormatting sqref="C287:D289 C291:D291 C293:D293 C295:D295">
    <cfRule type="expression" priority="9759" dxfId="6434">
      <formula>$B287="Subetapa"</formula>
    </cfRule>
  </conditionalFormatting>
  <conditionalFormatting sqref="D321:D322 F321:F323">
    <cfRule type="expression" priority="14130" dxfId="6424">
      <formula>$B321="Subetapa"</formula>
    </cfRule>
  </conditionalFormatting>
  <conditionalFormatting sqref="D662:D664">
    <cfRule type="expression" priority="9677" dxfId="6433">
      <formula>$B662="Serviço"</formula>
    </cfRule>
  </conditionalFormatting>
  <conditionalFormatting sqref="D867:D868">
    <cfRule type="expression" priority="13856" dxfId="6424">
      <formula>$B867="Subetapa"</formula>
    </cfRule>
  </conditionalFormatting>
  <conditionalFormatting sqref="D964:D966">
    <cfRule type="expression" priority="13684" dxfId="6424">
      <formula>$B964="Subetapa"</formula>
    </cfRule>
  </conditionalFormatting>
  <conditionalFormatting sqref="D967:D969">
    <cfRule type="expression" priority="13686" dxfId="6424">
      <formula>$B967="Subetapa"</formula>
    </cfRule>
  </conditionalFormatting>
  <conditionalFormatting sqref="D971:D972">
    <cfRule type="expression" priority="13863" dxfId="6424">
      <formula>$B971="Subetapa"</formula>
    </cfRule>
  </conditionalFormatting>
  <conditionalFormatting sqref="D974:D975">
    <cfRule type="expression" priority="13865" dxfId="6424">
      <formula>$B974="Subetapa"</formula>
    </cfRule>
  </conditionalFormatting>
  <conditionalFormatting sqref="D1345:D1347">
    <cfRule type="expression" priority="9475" dxfId="6434">
      <formula>$B1345="Subetapa"</formula>
    </cfRule>
  </conditionalFormatting>
  <conditionalFormatting sqref="D1844:D1854">
    <cfRule type="expression" priority="13276" dxfId="6424">
      <formula>$B1844="Subetapa"</formula>
    </cfRule>
  </conditionalFormatting>
  <conditionalFormatting sqref="D1856:D1866">
    <cfRule type="expression" priority="13272" dxfId="6424">
      <formula>$B1856="Subetapa"</formula>
    </cfRule>
  </conditionalFormatting>
  <conditionalFormatting sqref="C1918:D1918">
    <cfRule type="expression" priority="13216" dxfId="6424">
      <formula>$B1918="Subetapa"</formula>
    </cfRule>
  </conditionalFormatting>
  <conditionalFormatting sqref="D1982:D1992">
    <cfRule type="expression" priority="13121" dxfId="6424">
      <formula>$B1982="Subetapa"</formula>
    </cfRule>
  </conditionalFormatting>
  <conditionalFormatting sqref="D1994:D2004">
    <cfRule type="expression" priority="13103" dxfId="6424">
      <formula>$B1994="Subetapa"</formula>
    </cfRule>
  </conditionalFormatting>
  <conditionalFormatting sqref="B2019:B2040 D2018:D2028">
    <cfRule type="expression" priority="12008" dxfId="6424">
      <formula>$B2018="Subetapa"</formula>
    </cfRule>
  </conditionalFormatting>
  <conditionalFormatting sqref="D2033:D2034">
    <cfRule type="expression" priority="13070" dxfId="6424">
      <formula>$B2033="Subetapa"</formula>
    </cfRule>
  </conditionalFormatting>
  <conditionalFormatting sqref="D2045:D2046">
    <cfRule type="expression" priority="13060" dxfId="6424">
      <formula>$B2045="Subetapa"</formula>
    </cfRule>
  </conditionalFormatting>
  <conditionalFormatting sqref="D2058:D2059">
    <cfRule type="expression" priority="13050" dxfId="6424">
      <formula>$B2058="Subetapa"</formula>
    </cfRule>
  </conditionalFormatting>
  <conditionalFormatting sqref="B2067:B2078 D2067:D2068">
    <cfRule type="expression" priority="13026" dxfId="6424">
      <formula>$B2067="Subetapa"</formula>
    </cfRule>
  </conditionalFormatting>
  <conditionalFormatting sqref="B2069:B2079 D2069:D2070 D2073:D2078">
    <cfRule type="expression" priority="13036" dxfId="6424">
      <formula>$B2069="Subetapa"</formula>
    </cfRule>
  </conditionalFormatting>
  <conditionalFormatting sqref="D2071:D2072">
    <cfRule type="expression" priority="13032" dxfId="6424">
      <formula>$B2071="Subetapa"</formula>
    </cfRule>
  </conditionalFormatting>
  <conditionalFormatting sqref="B2080:B2091 D2080:D2081">
    <cfRule type="expression" priority="13008" dxfId="6424">
      <formula>$B2080="Subetapa"</formula>
    </cfRule>
  </conditionalFormatting>
  <conditionalFormatting sqref="B2082:B2092 D2082:D2083 D2086:D2091">
    <cfRule type="expression" priority="13018" dxfId="6424">
      <formula>$B2082="Subetapa"</formula>
    </cfRule>
  </conditionalFormatting>
  <conditionalFormatting sqref="D2084:D2085">
    <cfRule type="expression" priority="13014" dxfId="6424">
      <formula>$B2084="Subetapa"</formula>
    </cfRule>
  </conditionalFormatting>
  <conditionalFormatting sqref="B2093:B2104 D2093:D2094">
    <cfRule type="expression" priority="12990" dxfId="6424">
      <formula>$B2093="Subetapa"</formula>
    </cfRule>
  </conditionalFormatting>
  <conditionalFormatting sqref="B2095:B2104 D2095:D2096 D2099:D2104">
    <cfRule type="expression" priority="13000" dxfId="6424">
      <formula>$B2095="Subetapa"</formula>
    </cfRule>
  </conditionalFormatting>
  <conditionalFormatting sqref="D2097:D2098">
    <cfRule type="expression" priority="12996" dxfId="6424">
      <formula>$B2097="Subetapa"</formula>
    </cfRule>
  </conditionalFormatting>
  <conditionalFormatting sqref="D2106:D2111">
    <cfRule type="expression" priority="12949" dxfId="6424">
      <formula>$B2106="Subetapa"</formula>
    </cfRule>
  </conditionalFormatting>
  <conditionalFormatting sqref="D2113:D2118">
    <cfRule type="expression" priority="12929" dxfId="6424">
      <formula>$B2113="Subetapa"</formula>
    </cfRule>
  </conditionalFormatting>
  <conditionalFormatting sqref="D2120:D2125">
    <cfRule type="expression" priority="12909" dxfId="6424">
      <formula>$B2120="Subetapa"</formula>
    </cfRule>
  </conditionalFormatting>
  <conditionalFormatting sqref="D2127:D2132">
    <cfRule type="expression" priority="12889" dxfId="6424">
      <formula>$B2127="Subetapa"</formula>
    </cfRule>
  </conditionalFormatting>
  <conditionalFormatting sqref="D2134:D2139">
    <cfRule type="expression" priority="12869" dxfId="6424">
      <formula>$B2134="Subetapa"</formula>
    </cfRule>
  </conditionalFormatting>
  <conditionalFormatting sqref="D2332:D2336">
    <cfRule type="expression" priority="12835" dxfId="6424">
      <formula>$B2332="Subetapa"</formula>
    </cfRule>
  </conditionalFormatting>
  <conditionalFormatting sqref="C2613:D2613 C2693:D2693 C2716:D2716">
    <cfRule type="expression" priority="13877" dxfId="6931">
      <formula>$A2613=2</formula>
    </cfRule>
  </conditionalFormatting>
  <conditionalFormatting sqref="C2723:D2723">
    <cfRule type="expression" priority="9310" dxfId="6434">
      <formula>$B2723="Subetapa"</formula>
    </cfRule>
  </conditionalFormatting>
  <conditionalFormatting sqref="D2757:D2759">
    <cfRule type="expression" priority="10022" dxfId="6424">
      <formula>$B2757="Subetapa"</formula>
    </cfRule>
  </conditionalFormatting>
  <conditionalFormatting sqref="D2761:D2764">
    <cfRule type="expression" priority="10033" dxfId="6424">
      <formula>$B2761="Subetapa"</formula>
    </cfRule>
  </conditionalFormatting>
  <conditionalFormatting sqref="D2772:D2785">
    <cfRule type="expression" priority="12668" dxfId="6424">
      <formula>$B2772="Subetapa"</formula>
    </cfRule>
  </conditionalFormatting>
  <conditionalFormatting sqref="D2786:D2787">
    <cfRule type="expression" priority="13881" dxfId="6931">
      <formula>$A2786=2</formula>
    </cfRule>
  </conditionalFormatting>
  <conditionalFormatting sqref="C2912:D2913 C4713:D4720 C4723:D4724 C4879:D4879">
    <cfRule type="expression" priority="13883" dxfId="5">
      <formula>$I2912="CÉLULA CONSTRUTIVA"</formula>
    </cfRule>
    <cfRule type="expression" priority="13884" dxfId="3">
      <formula>$I2912="ETAPA"</formula>
    </cfRule>
    <cfRule type="expression" priority="13882" dxfId="4">
      <formula>$I2912="SUBETAPA"</formula>
    </cfRule>
  </conditionalFormatting>
  <conditionalFormatting sqref="D2914:D2915">
    <cfRule type="expression" priority="12645" dxfId="4">
      <formula>$I2914="SUBETAPA"</formula>
    </cfRule>
    <cfRule type="expression" priority="12646" dxfId="5">
      <formula>$I2914="CÉLULA CONSTRUTIVA"</formula>
    </cfRule>
    <cfRule type="expression" priority="12647" dxfId="3">
      <formula>$I2914="ETAPA"</formula>
    </cfRule>
  </conditionalFormatting>
  <conditionalFormatting sqref="D2916:D2917">
    <cfRule type="expression" priority="12575" dxfId="4">
      <formula>$I2916="SUBETAPA"</formula>
    </cfRule>
    <cfRule type="expression" priority="12576" dxfId="5">
      <formula>$I2916="CÉLULA CONSTRUTIVA"</formula>
    </cfRule>
    <cfRule type="expression" priority="12577" dxfId="3">
      <formula>$I2916="ETAPA"</formula>
    </cfRule>
  </conditionalFormatting>
  <conditionalFormatting sqref="C3194:D3194">
    <cfRule type="expression" priority="13885" dxfId="6931">
      <formula>$A3194=2</formula>
    </cfRule>
  </conditionalFormatting>
  <conditionalFormatting sqref="C3286:D3286">
    <cfRule type="expression" priority="9072" dxfId="6433">
      <formula>$B3286="Serviço"</formula>
    </cfRule>
    <cfRule type="expression" priority="9073" dxfId="6434">
      <formula>$B3286="Subetapa"</formula>
    </cfRule>
  </conditionalFormatting>
  <conditionalFormatting sqref="C3301:D3301">
    <cfRule type="expression" priority="9070" dxfId="6433">
      <formula>$B3301="Serviço"</formula>
    </cfRule>
    <cfRule type="expression" priority="9071" dxfId="6434">
      <formula>$B3301="Subetapa"</formula>
    </cfRule>
  </conditionalFormatting>
  <conditionalFormatting sqref="D3427:D3429 F3286:F3289 F3312:F3315 F3321:F3324 F3341:F3344 F3351:F3354 F3356:F3359 F3361:F3364 F3366:F3369 F3371:F3374 F3381:F3384 F3386:F3389 F3391:F3394 F3396:F3399 F3401:F3404 F3406:F3409 F3411:F3414 F3416:F3419 F3421:F3424 F3562:F3565 F4324:F4327 F4339:F4342 F4344:F4347 F4349:F4352 F4354:F4357 F4372 F4439 F4441:F4442 F4581 F4583 F4585">
    <cfRule type="expression" priority="13887" dxfId="6424">
      <formula>$A3286="Subetapa"</formula>
    </cfRule>
  </conditionalFormatting>
  <conditionalFormatting sqref="C3578:D3578">
    <cfRule type="expression" priority="12423" dxfId="6931">
      <formula>$A3578=2</formula>
    </cfRule>
  </conditionalFormatting>
  <conditionalFormatting sqref="C3582:D3582">
    <cfRule type="expression" priority="13891" dxfId="6931">
      <formula>$A3582=2</formula>
    </cfRule>
  </conditionalFormatting>
  <conditionalFormatting sqref="D3619:D3621 F2527:F2530 F3317:F3319">
    <cfRule type="expression" priority="13893" dxfId="6424">
      <formula>$A2527="Subetapa"</formula>
    </cfRule>
  </conditionalFormatting>
  <conditionalFormatting sqref="C3659:D3659">
    <cfRule type="expression" priority="13894" dxfId="6931">
      <formula>$A3659=2</formula>
    </cfRule>
  </conditionalFormatting>
  <conditionalFormatting sqref="C3846:D3846">
    <cfRule type="expression" priority="12111" dxfId="6424">
      <formula>$B3846="Subetapa"</formula>
    </cfRule>
  </conditionalFormatting>
  <conditionalFormatting sqref="C3853:D3853">
    <cfRule type="expression" priority="8636" dxfId="6434">
      <formula>$B3853="Subetapa"</formula>
    </cfRule>
  </conditionalFormatting>
  <conditionalFormatting sqref="D3862:D3863">
    <cfRule type="expression" priority="12245" dxfId="6424">
      <formula>$B3862="Subetapa"</formula>
    </cfRule>
  </conditionalFormatting>
  <conditionalFormatting sqref="D3863">
    <cfRule type="expression" priority="12240" dxfId="6424">
      <formula>$B3863="Subetapa"</formula>
    </cfRule>
  </conditionalFormatting>
  <conditionalFormatting sqref="D3883">
    <cfRule type="expression" priority="12160" dxfId="6424">
      <formula>$B3883="Subetapa"</formula>
    </cfRule>
  </conditionalFormatting>
  <conditionalFormatting sqref="C3894:D3894">
    <cfRule type="expression" priority="12158" dxfId="6424">
      <formula>$B3894="Subetapa"</formula>
    </cfRule>
  </conditionalFormatting>
  <conditionalFormatting sqref="C3905:D3905">
    <cfRule type="expression" priority="12156" dxfId="6424">
      <formula>$B3905="Subetapa"</formula>
    </cfRule>
  </conditionalFormatting>
  <conditionalFormatting sqref="C3916:D3916">
    <cfRule type="expression" priority="12154" dxfId="6424">
      <formula>$B3916="Subetapa"</formula>
    </cfRule>
  </conditionalFormatting>
  <conditionalFormatting sqref="D3927:D3928">
    <cfRule type="expression" priority="12152" dxfId="6424">
      <formula>$B3927="Subetapa"</formula>
    </cfRule>
  </conditionalFormatting>
  <conditionalFormatting sqref="D3939:D3943">
    <cfRule type="expression" priority="13897" dxfId="6424">
      <formula>$B3939="Subetapa"</formula>
    </cfRule>
  </conditionalFormatting>
  <conditionalFormatting sqref="C3981:D3981">
    <cfRule type="expression" priority="8302" dxfId="6433">
      <formula>$B3981="Serviço"</formula>
    </cfRule>
  </conditionalFormatting>
  <conditionalFormatting sqref="C3997:D3997">
    <cfRule type="expression" priority="8238" dxfId="6433">
      <formula>$A3997="Serviço"</formula>
    </cfRule>
    <cfRule type="expression" priority="8239" dxfId="6434">
      <formula>$A3997="Subetapa"</formula>
    </cfRule>
  </conditionalFormatting>
  <conditionalFormatting sqref="D3997:D3998">
    <cfRule type="expression" priority="8240" dxfId="6433">
      <formula>$A3997="Serviço"</formula>
    </cfRule>
    <cfRule type="expression" priority="8241" dxfId="6434">
      <formula>$A3997="Subetapa"</formula>
    </cfRule>
  </conditionalFormatting>
  <conditionalFormatting sqref="C3998:D3998">
    <cfRule type="expression" priority="8246" dxfId="6433">
      <formula>$A3998="Serviço"</formula>
    </cfRule>
    <cfRule type="expression" priority="8247" dxfId="6434">
      <formula>$A3998="Subetapa"</formula>
    </cfRule>
  </conditionalFormatting>
  <conditionalFormatting sqref="C4000:D4000">
    <cfRule type="expression" priority="8252" dxfId="6433">
      <formula>$A4000="Serviço"</formula>
    </cfRule>
    <cfRule type="expression" priority="8253" dxfId="6434">
      <formula>$A4000="Subetapa"</formula>
    </cfRule>
  </conditionalFormatting>
  <conditionalFormatting sqref="D4000:D4001">
    <cfRule type="expression" priority="8254" dxfId="6433">
      <formula>$A4000="Serviço"</formula>
    </cfRule>
    <cfRule type="expression" priority="8255" dxfId="6434">
      <formula>$A4000="Subetapa"</formula>
    </cfRule>
  </conditionalFormatting>
  <conditionalFormatting sqref="C4001:D4001">
    <cfRule type="expression" priority="8295" dxfId="6433">
      <formula>$A4001="Serviço"</formula>
    </cfRule>
    <cfRule type="expression" priority="8296" dxfId="6434">
      <formula>$A4001="Subetapa"</formula>
    </cfRule>
  </conditionalFormatting>
  <conditionalFormatting sqref="C4055:D4055">
    <cfRule type="expression" priority="7859" dxfId="6433">
      <formula>$A4055="Serviço"</formula>
    </cfRule>
    <cfRule type="expression" priority="7860" dxfId="6434">
      <formula>$A4055="Subetapa"</formula>
    </cfRule>
  </conditionalFormatting>
  <conditionalFormatting sqref="D4055:D4056">
    <cfRule type="expression" priority="7861" dxfId="6433">
      <formula>$A4055="Serviço"</formula>
    </cfRule>
    <cfRule type="expression" priority="7862" dxfId="6434">
      <formula>$A4055="Subetapa"</formula>
    </cfRule>
  </conditionalFormatting>
  <conditionalFormatting sqref="C4056:D4056">
    <cfRule type="expression" priority="7867" dxfId="6433">
      <formula>$A4056="Serviço"</formula>
    </cfRule>
    <cfRule type="expression" priority="7868" dxfId="6434">
      <formula>$A4056="Subetapa"</formula>
    </cfRule>
  </conditionalFormatting>
  <conditionalFormatting sqref="D4090:D4091">
    <cfRule type="expression" priority="13899" dxfId="6424">
      <formula>$B4090="Subetapa"</formula>
    </cfRule>
  </conditionalFormatting>
  <conditionalFormatting sqref="D4092:D4097">
    <cfRule type="expression" priority="13901" dxfId="6424">
      <formula>$B4092="Subetapa"</formula>
    </cfRule>
  </conditionalFormatting>
  <conditionalFormatting sqref="B4107:B4109 C4107:D4107">
    <cfRule type="expression" priority="7833" dxfId="6434">
      <formula>$B4107="Subetapa"</formula>
    </cfRule>
  </conditionalFormatting>
  <conditionalFormatting sqref="D4292:D4295">
    <cfRule type="expression" priority="12083" dxfId="6424">
      <formula>$B4292="Subetapa"</formula>
    </cfRule>
  </conditionalFormatting>
  <conditionalFormatting sqref="C4522:D4522">
    <cfRule type="expression" priority="7714" dxfId="6433">
      <formula>$B4522="Serviço"</formula>
    </cfRule>
  </conditionalFormatting>
  <conditionalFormatting sqref="C4546:D4546">
    <cfRule type="expression" priority="7711" dxfId="6433">
      <formula>$B4546="Serviço"</formula>
    </cfRule>
  </conditionalFormatting>
  <conditionalFormatting sqref="C4548:D4548">
    <cfRule type="expression" priority="7712" dxfId="6433">
      <formula>$B4548="Serviço"</formula>
    </cfRule>
  </conditionalFormatting>
  <conditionalFormatting sqref="C4550:D4550">
    <cfRule type="expression" priority="7713" dxfId="6433">
      <formula>$B4550="Serviço"</formula>
    </cfRule>
  </conditionalFormatting>
  <conditionalFormatting sqref="C4552:D4552">
    <cfRule type="expression" priority="7715" dxfId="6433">
      <formula>$B4552="Serviço"</formula>
    </cfRule>
  </conditionalFormatting>
  <conditionalFormatting sqref="D4751:D4758 F4751:F4758">
    <cfRule type="expression" priority="13908" dxfId="6424">
      <formula>$B4751="Subetapa"</formula>
    </cfRule>
  </conditionalFormatting>
  <conditionalFormatting sqref="B2 B2170:B2172 D4833:D4838 D4880:D4888">
    <cfRule type="expression" priority="13750" dxfId="6424">
      <formula>$B2="Subetapa"</formula>
    </cfRule>
  </conditionalFormatting>
  <conditionalFormatting sqref="C4918:D4918">
    <cfRule type="expression" priority="7606" dxfId="6433">
      <formula>$B4918="Serviço"</formula>
    </cfRule>
    <cfRule type="expression" priority="7607" dxfId="6434">
      <formula>$B4918="Subetapa"</formula>
    </cfRule>
  </conditionalFormatting>
  <conditionalFormatting sqref="C4936:D4936">
    <cfRule type="expression" priority="13832" dxfId="6424">
      <formula>$B4936="Subetapa"</formula>
    </cfRule>
  </conditionalFormatting>
  <conditionalFormatting sqref="D4942:D4974">
    <cfRule type="expression" priority="13930" dxfId="6424">
      <formula>$B4942="Subetapa"</formula>
    </cfRule>
  </conditionalFormatting>
  <conditionalFormatting sqref="C4974:D4975 C4990:D4990">
    <cfRule type="expression" priority="14249" dxfId="6424">
      <formula>$B4974="Subetapa"</formula>
    </cfRule>
  </conditionalFormatting>
  <conditionalFormatting sqref="D815:D823">
    <cfRule type="expression" priority="9641" dxfId="6433">
      <formula>$B815="Serviço"</formula>
    </cfRule>
    <cfRule type="expression" priority="9642" dxfId="6434">
      <formula>$B815="Subetapa"</formula>
    </cfRule>
  </conditionalFormatting>
  <conditionalFormatting sqref="D1256:D1265">
    <cfRule type="expression" priority="9505" dxfId="6434">
      <formula>$B1256="Subetapa"</formula>
    </cfRule>
  </conditionalFormatting>
  <conditionalFormatting sqref="D1302:D1310">
    <cfRule type="expression" priority="9477" dxfId="6433">
      <formula>$B1302="Serviço"</formula>
    </cfRule>
    <cfRule type="expression" priority="9478" dxfId="6434">
      <formula>$B1302="Subetapa"</formula>
    </cfRule>
  </conditionalFormatting>
  <conditionalFormatting sqref="D1358:D1361">
    <cfRule type="expression" priority="9542" dxfId="6433">
      <formula>$B1358="Serviço"</formula>
    </cfRule>
    <cfRule type="expression" priority="9543" dxfId="6434">
      <formula>$B1358="Subetapa"</formula>
    </cfRule>
  </conditionalFormatting>
  <conditionalFormatting sqref="D1364:D1367">
    <cfRule type="expression" priority="9545" dxfId="6433">
      <formula>$B1364="Serviço"</formula>
    </cfRule>
    <cfRule type="expression" priority="9546" dxfId="6434">
      <formula>$B1364="Subetapa"</formula>
    </cfRule>
  </conditionalFormatting>
  <conditionalFormatting sqref="D1376:D1384">
    <cfRule type="expression" priority="9551" dxfId="6434">
      <formula>$B1376="Subetapa"</formula>
    </cfRule>
  </conditionalFormatting>
  <conditionalFormatting sqref="D2476:D2479">
    <cfRule type="expression" priority="9336" dxfId="6433">
      <formula>$B2476="Serviço"</formula>
    </cfRule>
  </conditionalFormatting>
  <conditionalFormatting sqref="D2481:D2484">
    <cfRule type="expression" priority="9339" dxfId="6433">
      <formula>$B2481="Serviço"</formula>
    </cfRule>
  </conditionalFormatting>
  <conditionalFormatting sqref="D2486:D2489">
    <cfRule type="expression" priority="9363" dxfId="6433">
      <formula>$B2486="Serviço"</formula>
    </cfRule>
  </conditionalFormatting>
  <conditionalFormatting sqref="D2521:D2524">
    <cfRule type="expression" priority="9348" dxfId="6433">
      <formula>$B2521="Serviço"</formula>
    </cfRule>
  </conditionalFormatting>
  <conditionalFormatting sqref="D3866:D3870">
    <cfRule type="expression" priority="10646" dxfId="6424">
      <formula>$B3866="Subetapa"</formula>
    </cfRule>
  </conditionalFormatting>
  <conditionalFormatting sqref="D3885:D3889">
    <cfRule type="expression" priority="10630" dxfId="6424">
      <formula>$B3885="Subetapa"</formula>
    </cfRule>
  </conditionalFormatting>
  <conditionalFormatting sqref="D3896:D3900">
    <cfRule type="expression" priority="10614" dxfId="6424">
      <formula>$B3896="Subetapa"</formula>
    </cfRule>
  </conditionalFormatting>
  <conditionalFormatting sqref="D3907:D3911">
    <cfRule type="expression" priority="10598" dxfId="6424">
      <formula>$B3907="Subetapa"</formula>
    </cfRule>
  </conditionalFormatting>
  <conditionalFormatting sqref="D3918:D3922">
    <cfRule type="expression" priority="10582" dxfId="6424">
      <formula>$B3918="Subetapa"</formula>
    </cfRule>
  </conditionalFormatting>
  <conditionalFormatting sqref="D3948:D3952">
    <cfRule type="expression" priority="10550" dxfId="6424">
      <formula>$B3948="Subetapa"</formula>
    </cfRule>
  </conditionalFormatting>
  <conditionalFormatting sqref="C3999:F3999 C4003:D4003">
    <cfRule type="expression" priority="8305" dxfId="6433">
      <formula>$B3999="Serviço"</formula>
    </cfRule>
  </conditionalFormatting>
  <conditionalFormatting sqref="C4003:D4003">
    <cfRule type="expression" priority="8301" dxfId="6434">
      <formula>$B4003="Subetapa"</formula>
    </cfRule>
  </conditionalFormatting>
  <conditionalFormatting sqref="D4005:D4006">
    <cfRule type="expression" priority="8195" dxfId="6434">
      <formula>$B4005="Subetapa"</formula>
    </cfRule>
  </conditionalFormatting>
  <conditionalFormatting sqref="D4008:D4009">
    <cfRule type="expression" priority="8202" dxfId="6434">
      <formula>$B4008="Subetapa"</formula>
    </cfRule>
  </conditionalFormatting>
  <conditionalFormatting sqref="D4011:D4012">
    <cfRule type="expression" priority="8209" dxfId="6434">
      <formula>$B4011="Subetapa"</formula>
    </cfRule>
  </conditionalFormatting>
  <conditionalFormatting sqref="D4014:D4015">
    <cfRule type="expression" priority="8216" dxfId="6434">
      <formula>$B4014="Subetapa"</formula>
    </cfRule>
  </conditionalFormatting>
  <conditionalFormatting sqref="D4017:D4018">
    <cfRule type="expression" priority="8223" dxfId="6434">
      <formula>$B4017="Subetapa"</formula>
    </cfRule>
  </conditionalFormatting>
  <conditionalFormatting sqref="D4020:D4021">
    <cfRule type="expression" priority="8230" dxfId="6434">
      <formula>$B4020="Subetapa"</formula>
    </cfRule>
  </conditionalFormatting>
  <conditionalFormatting sqref="D4042:D4043">
    <cfRule type="expression" priority="7853" dxfId="6434">
      <formula>$B4042="Subetapa"</formula>
    </cfRule>
  </conditionalFormatting>
  <conditionalFormatting sqref="C2:F2 C4:C150 D4:F146 D147:D150 E147:E151 E154:E158 E160:E164 E166:E169 E171:E175 E177:E181 E183:E186 E188:E190 E192:E194 E196:E198 E200 E202:E206 E208:E210 E212 E216 E218:E219 E221 E240 E242 E244 E246:E248 E250:E252 E254 E256 E258 E260 E264 E276 E278 E280 E282 E284 E286 E288 E305 E307 E309 E311 E313:E315 E317:E319 E321:E323 E325:E327 E329:E331 E333:E335 E337:E339 E341:E343 E346:E348 E350:E352 E354:E356 E358:E360 E367 E371:E376 E378:E383 E386:E388 E390:E392 E394:E396 E398:E400 E402:E404 E406:E408 E410:E412 E414:E416 E418:E420 E422:E424 E426:E428 E430:E432 E434:E436 E438:E440 E442:E444 E446:E448 E450:E452 E454:E456 E458:E460 E462:E463 E466:E468 E470:E472 E474:E476 E478:E480 E482:E484 E486:E488 E495 E499 E501 E504:E509 E516:E518 E520:E522 E524:E526 E528:E530 E532:E534 E536:E538 E540:E542 E544:E546 E577:E579 E581:E583 E586 E590:E594 E596:E599 E601:E604 E606:E607 E609:E612 E614:E617 E619:E620 E622:E626 E628:E631 E633:E636 E638:E639 E641:E644 E646:E649 E651:E652 E654:E657 E659:E660 E662:E664 E667:E669 E671:E673 E675:E677 E679:E681 E683:E685 E687:E689 E691:E693 E695:E697 E699:E701 E703:E705 E707:E709 E711:E713 E715:E717 E719:E721 E723:E725 E727:E729 E731:E733 E735:E737 E739:E741 E743:E745 E747:E749 E752:E754 E756:E758 E760:E762 E764:E766 E772:E774 E776:E778 E780:E786 E788:E791 E794 E796:E800 E802:E809 E811 E813 E815:E823 E825 E827:E834 E836 E838 E840 E842 E844 E846 E848:E850 E853 E855 E859:E860 E862:E863 E865:E866 E868:E869 E871:E872 E874:E875 E877:E878 E880:E881 E883:E884 E886:E887 E889:E890 E892:E893 E895:E896 E898:E899 E901:E902 E904:E906 E909:E910 E912:E913 E915:E916 E919:E920 E922:E923 E925:E926 E928:E929 E932:E933 E935:E936 E938:E939 E941:E942 E945:E946 E948:E949 E951:E952 E954:E955 E958:E959 E961:E962 E965:E966 E968:E969 E972:E973 E975:E976 E978:E980 E982:E989 E992:E993 E996:E1001 E1003:E1009 E1011:E1013 E1016 E1018 E1170 E1172 E1174 E1176:E1185 E1187:E1197 E1199:E1208 E1210:E1219 E1221:E1230 E1232:E1241 E1256:E1265 E1267:E1276 E1278:E1287 E1289:E1299 E1301:E1310 E1312:E1321 E1323:E1332 E1334:E1343 E1345:E1355 E1357:E1361 E1363:E1367 E1369:E1373 E1375:E1385 E1387:E1396 E1398:E1407 E1409:E1418 E1536:E1540 E1542:E1547 E1549:E1558 E1560:E1569 E1571:E1580 E1582:E1591 E1593:E1602 E1604:E1613 E1615:E1625 E1627:E1637 E1639:E1649 E1651:E1661 E1663:E1673 E1675:E1685 E1687:E1697 E1699:E1708 E1710:E1719 E1721:E1730 E1732:E1741 E1743:E1753 E1755:E1765 E1767:E1777 E1779:E1788 E1790:E1800 E1802:E1811 E1813:E1823 E1825:E1835 E1837:E1842 E1844:E1854 E1856:E1866 E1868:E1879 E1881:E1891 E1893:E1904 E1906:E1916 E1918:E1928 E1930:E1941 E1943:E1954 E1956:E1967 E1969:E1980 E1982:E1992 E1994:E2004 E2006:E2016 E2018:E2028 E2030:E2040 E2042:E2052 E2054:E2065 E2067:E2078 E2080:E2091 E2093:E2104 E2106:E2111 E2113:E2118 E2120:E2125 E2127:E2132 E2134:E2139 E2141 E2143 E2146 E2148 E2150 E2152 E2154 E2156 E2163:E2164 E2166:E2167 E2171:E2172 E2174:E2175 E2177 E2179:E2180 E2182:E2183 E2185:E2186 E2188:E2190 E2192:E2193 E2195 E2197 E2199:E2200 E2202 E2204 E2206:E2207 E2209 E2211 E2213 E2215 E2217:E2218 E2220 E2222:E2223 E2225 E2227 E2229 E2231:E2233 E2235 E2237:E2239 E2241:E2243 E2245:E2246 E2248:E2249 E2251:E2252 E2254:E2255 E2257:E2259 E2265:E2268 E2270:E2275 E2278 E2280 E2282 E2284 E2286 E2288 E2290 E2292 E2294 E2296 E2298 E2300 E2302 E2304 E2306 E2308 E2310 E2312 E2314 E2318 E2320:E2321 E2323 E2325 E2327 E2329:E2330 E2332 E2334 E2336 E2339 E2341 E2343 E2345 E2348 E2350 E2352 E2354:E2355 E2357 E2360:E2363 E2365:E2367 E2370:E2373 E2375:E2378 E2380:E2383 E2385:E2388 E2391:E2394 E2396:E2399 E2401:E2404 E2406:E2409 E2411:E2414 E2416:E2419 E2421:E2424 E2426:E2429 E2431:E2434 E2436:E2439 E2441:E2444 E2446:E2449 E2451:E2454 E2456:E2459 E2461:E2464 E2466:E2469 E2471:E2474 E2476:E2479 E2481:E2484 E2486:E2489 E2491:E2494 E2496:E2499 E2501:E2504 E2506:E2509 E2511:E2514 E2516:E2519 E2521:E2524 E2527:E2530 E2572:E2576 E2578:E2582 E2584:E2588 E2590:E2594 E2596:E2600 E2602:E2606 E2608:E2611 E2613:E2616 E2618:E2621 E2623:E2626 E2628:E2631 E2633:E2636 E2659:E2661 E2663:E2665 E2667:E2669 E2672 E2674 E2677:E2678 E2680:E2681 E2683:E2684 E2686:E2687 E2689:E2690 E2693:E2694 E2696:E2697 E2699:E2700 E2702:E2703 E2705:E2706 E2708:E2709 E2711:E2714 E2716:E2718 E2720:E2721 E2723:E2724 E2726:E2727 E2729:E2730 E2733 E2735 E2738 E2740 E2743 E2745 E2747 E2749 E2751 E2753 E2757:E2759 E2761:E2764 E2766:E2767 E2769 E2771 E2784 E2786:E2787 E2789 E2791 E2793 E2795 E2797 E2799 E2801 E2803 E2805 E2807:E2816 E2819 E2821 E2842 E2852:E2853 E2855:E2856 E2858:E2859 E2861:E2862 E2864:E2873 E2875 E2877:E2882 E2884 E2886:E2889 E2891:E2894 E2896:E2899 E2901:E2904 E2906 E2908 E2910 E2913 E2915 E2917 E2921 E2923:E2925 E2927:E2928 E2930:E2931 E2933:E2935 E2938:E2940 E2942:E2944 E2946:E2948 E2950:E2952 E2954:E2956 E2958:E2960 E2963:E2965 E2967:E2969 E2971:E2973 E2975:E2977 E2979:E2981 E2983:E2985 E2987:E2989 E2991:E2993 E2995:E2997 E2999:E3001 E3003:E3005 E3007:E3009 E3011:E3013 E3015:E3017 E3019:E3021 E3024:E3026 E3028:E3030 E3032:E3034 E3036:E3038 E3040:E3042 E3044:E3046 E3049:E3050 E3052:E3053 E3055 E3057 E3059 E3061 E3063 E3066:E3068 E3070:E3072 E3074:E3076 E3078:E3080 E3082:E3084 E3086:E3088 E3090:E3092 E3094:E3096 E3098 E3100:E3102 E3104:E3106 E3109:E3111 E3113:E3114 E3116:E3117 E3119:E3121 E3123 E3125:E3128 E3130:E3136 E3138 E3140:E3142 E3145:E3146 E3176 E3178 E3180 E3182 E3184 E3186 E3188 E3190 E3192 E3194 E3196:E3197 E3199:E3206 E3208 E3210 E3212 E3214 E3216 E3218 E3220 E3222 E3224 E3226 E3228 E3230 E3232:E3234 E3236:E3237 E3240:E3242 E3244:E3246 E3248:E3250 E3252:E3254 E3256:E3258 E3261:E3264 E3266:E3269 E3271:E3274 E3276:E3279 E3281:E3284 E3286:E3289 E3291:E3294 E3296:E3299 E3301:E3304 E3306:E3309 E3312:E3315 E3317:E3319 E3321:E3324 E3326:E3329 E3331:E3334 E3336:E3339 E3341:E3344 E3346:E3349 E3351:E3354 E3356:E3359 E3361:E3364 E3366:E3369 E3371:E3374 E3376:E3379 E3381:E3384 E3386:E3389 E3391:E3394 E3396:E3399 E3401:E3404 E3406:E3409 E3411:E3414 E3416:E3419 E3421:E3424 E3426:E3429 E3431:E3434 E3436:E3439 E3441:E3444 E3446:E3449 E3451:E3454 E3456:E3459 E3461:E3464 E3466:E3469 E3471:E3474 E3476:E3479 E3481:E3484 E3486:E3489 E3491:E3494 E3496:E3499 E3501:E3504 E3506:E3509 E3511:E3514 E3516:E3519 E3521:E3524 E3526:E3529 E3531:E3534 E3536:E3539 E3541:E3544 E3546:E3549 E3552:E3555 E3557:E3560 E3562:E3565 E3567:E3570 E3572:E3575 E3578:E3580 E3582:E3584 E3586:E3588 E3611:E3613 E3615:E3617 E3619:E3621 E3624:E3625 E3627:E3628 E3630:E3631 E3633:E3635 E3637:E3639 E3641:E3643 E3645:E3647 E3649:E3650 E3652:E3653 E3655:E3657 E3659:E3661 E3663:E3664 E3666:E3667 E3669:E3670 E3672:E3673 E3675:E3678 E3680:E3683 E3685:E3688 E3690:E3693 E3695:E3698 E3700:E3703 E3705:E3708 E3710:E3713 E3716 E3718 E3720:E3721 E3723:E3724 E3726:E3727 E3729:E3730 E3733:E3735 E3737:E3739 E3741:E3743 E3745:E3747 E3749:E3751 E3753:E3755 E3758 E3760 E3762 E3764 E3766 E3769 E3771 E3773 E3776 E3778 E3780 E3782 E3785 E3787 E3789 E3791 E3793 E3796 E3798 E3800 E3804:E3807 E3809:E3810 E3812:E3815 E3817:E3820 E3822:E3825 E3827:E3829 E3831:E3834 E3836:E3837 E3839:E3841 E3843:E3845 E3847:E3848 E3850 E3852:E3853 E3855:E3857 E3860 E3862:E3863 E3865:E3874 E3884:E3893 E3895:E3904 E3906:E3915 E3917:E3926 E3928:E3937 E3939:E3942 E3944 E3946:E3956 E3958:E3959 E3961 E3963 E3965 E3967 E3969 E3971:E3974 E3976:E3979 E3981 E3983:E3986 E3988:E3990 E3992:E3995 E3997:E3998 E4000:E4001 E4003 E4005:E4006 E4008:E4009 E4011:E4012 E4014:E4015 E4017:E4018 E4020:E4021 E4024 E4026:E4028 E4030 E4032 E4034 E4036 E4038 E4040 E4042:E4043 E4045:E4048 E4050 E4052:E4053 E4055:E4056 E4059 E4061 E4063 E4065 E4067 E4070 E4072 E4074 E4076 E4083 E4085 E4089 E4091:E4093 E4095:E4097 E4099 E4101 E4103 E4105:E4106 E4108:E4109 E4111 E4113 E4115 E4117 E4119 E4121 E4123:E4124 E4126 E4128 E4130 E4132 E4134 E4136 E4138 E4140 E4142 E4144 E4146 E4148 E4150 E4153 E4155 E4157 E4159 E4161 E4164:E4165 E4167:E4168 E4170:E4171 E4173:E4174 E4176:E4177 E4179:E4180 E4182:E4183 E4185:E4186 E4188:E4189 E4191:E4192 E4194:E4195 E4197:E4198 E4200:E4201 E4203:E4204 E4206:E4207 E4209:E4210 E4212:E4213 E4215:E4216 E4218:E4219 E4221:E4222 E4224:E4225 E4227:E4228 E4230:E4231 E4233:E4234 E4237 E4239 E4241 E4244 E4246 E4248 E4250 E4252 E4254 E4256 E4258 E4260 E4263 E4265 E4267 E4269 E4271 E4274 E4276 E4280:E4282 E4284:E4285 E4287 E4289 E4291 E4293 E4295 E4297 E4299 E4301 E4303 E4305:E4307 E4309:E4310 E4312:E4314 E4316:E4321 E4324:E4327 E4329:E4332 E4334:E4337 E4339:E4342 E4344:E4347 E4349:E4352 E4354:E4357 E4359:E4360 E4362:E4365 E4367:E4370 E4372 E4374:E4377 E4379:E4382 E4384:E4387 E4389:E4392 E4394:E4397 E4399:E4402 E4405:E4407 E4409:E4411 E4413:E4416 E4418:E4421 E4423:E4426 E4429:E4432 E4434:E4437 E4439 E4441:E4442 E4444:E4446 E4448:E4451 E4453:E4454 E4456:E4457 E4459:E4460 E4462:E4463 E4465:E4466 E4468:E4470 E4472:E4474 E4476:E4478 E4480 E4482 E4484:E4485 E4487:E4488 E4490:E4491 E4493:E4494 E4499:E4502 E4504:E4507 E4509:E4512 E4514:E4517 E4519:E4522 E4524:E4527 E4529:E4532 E4534:E4537 E4539:E4542 E4544 E4546 E4548 E4550 E4552 E4554 E4556:E4559 E4561:E4564 E4566:E4569 E4571:E4572 E4575 E4577 E4579 E4581 E4583 E4585 E4587:E4591 E4593:E4597 E4599:E4602 E4604 E4606:E4609 E4687:E4688 E4690 E4692 E4694 E4696:E4697 E4699 E4702 E4704 E4706 E4708 E4710 E4712 E4714 E4716 E4718 E4720 E4722 E4724 E4727:E4733 E4735:E4741 E4743:E4749 E4751:E4758 E4760:E4767 E4769:E4780 E4782:E4790 E4792:E4800 E4802:E4810 E4812:E4820 E4822:E4830 E4832 E4834 E4836 E4838 E4840 E4842 E4844 E4846 E4848 E4850 E4852 E4854 E4856:E4858 E4860 E4862 E4864 E4867:E4869 E4871:E4872 E4874 E4876:E4877 E4879 E4881:E4883 E4885:E4887 E4889:E4893 E4895:E4899 E4901:E4905 E4907:E4911 E4913:E4917 E4919:E4922 E4924:E4927 E4929:E4931 E4933:E4935 E4937:E4938 E4940 E4943:E4949 E4951:E4957 E4959:E4965 E4967:E4973 E4975 E4977:E4979 E4981:E4983 E4985:E4987 E4989 E4991:E4996 E4998 E5000:E5006 E5008:E5010 E5012 E5014:E5018 E5020:E5023 E5025 E5027 F147:F150">
    <cfRule type="expression" priority="13980" dxfId="6424">
      <formula>$B2="Subetapa"</formula>
    </cfRule>
  </conditionalFormatting>
  <conditionalFormatting sqref="B213 B215:C217 C153:C213 D153:F153 D154:D158 D159:F159 D160:D164 D165:F165 D166:D169 D170:F170 D171:D175 D176:F176 D177:D181 D182:F182 D183:D186 D187:F187 D188:D190 D191:F191 D192:D194 D195:F195 D196:D198 D199:F199 D200 D201:F201 D202:D206 D207:F207 D208:D210 D211:F211 D212 D213:F213 D215:F215 D216 D217:F217 F154:F158 F160:F164 F166:F169 F171:F175 F177:F181 F183:F186 F188:F190 F192:F194 F196:F198 F200 F202:F206 F208:F210 F212 F216">
    <cfRule type="expression" priority="10656" dxfId="6424">
      <formula>$B153="Subetapa"</formula>
    </cfRule>
  </conditionalFormatting>
  <conditionalFormatting sqref="C271:F271 C273:F273">
    <cfRule type="expression" priority="9741" dxfId="6434">
      <formula>$B271="Subetapa"</formula>
    </cfRule>
    <cfRule type="expression" priority="9740" dxfId="6433">
      <formula>$B271="Serviço"</formula>
    </cfRule>
  </conditionalFormatting>
  <conditionalFormatting sqref="C275:C283 D275:F275 D276 D277:F277 D278 D279:F279 D280 D281:F283 E285:F286 F276 F278 F280 F284">
    <cfRule type="expression" priority="13950" dxfId="6424">
      <formula>$B275="Subetapa"</formula>
    </cfRule>
  </conditionalFormatting>
  <conditionalFormatting sqref="C287:C289 C291:F291 C293:F293 C295:F295 D287:F287 D288 D289:F289 F288">
    <cfRule type="expression" priority="9757" dxfId="6433">
      <formula>$B287="Serviço"</formula>
    </cfRule>
  </conditionalFormatting>
  <conditionalFormatting sqref="C297:F297">
    <cfRule type="expression" priority="9730" dxfId="6433">
      <formula>$B297="Serviço"</formula>
    </cfRule>
    <cfRule type="expression" priority="9732" dxfId="6434">
      <formula>$B297="Subetapa"</formula>
    </cfRule>
  </conditionalFormatting>
  <conditionalFormatting sqref="B324:C343 C299:F299 C301:F301 D324:F324 D325:D327 D328:F328 D329:D331 D332:F332 D333:D335 D336:F336 D337:D339 D340:F340 D341:D343 F325:F327 F329:F331 F333:F335 F337:F339 F341:F343">
    <cfRule type="expression" priority="14293" dxfId="6424">
      <formula>$B299="Subetapa"</formula>
    </cfRule>
  </conditionalFormatting>
  <conditionalFormatting sqref="C305:C311 C312:F312 C320:F320 D305 D306:F306 D307 D308:F308 D309 D310:F310 D311 F305 F307 F309 F311">
    <cfRule type="expression" priority="13840" dxfId="6424">
      <formula>$B305="Subetapa"</formula>
    </cfRule>
  </conditionalFormatting>
  <conditionalFormatting sqref="C461:C463 D461:F461 D462:D463 F462:F463">
    <cfRule type="expression" priority="9717" dxfId="6433">
      <formula>$B461="Serviço"</formula>
    </cfRule>
    <cfRule type="expression" priority="9718" dxfId="6434">
      <formula>$B461="Subetapa"</formula>
    </cfRule>
  </conditionalFormatting>
  <conditionalFormatting sqref="C473:C476 D473:F473 D474:D476 F474:F476">
    <cfRule type="expression" priority="9708" dxfId="6433">
      <formula>$B473="Serviço"</formula>
    </cfRule>
    <cfRule type="expression" priority="9709" dxfId="6434">
      <formula>$B473="Subetapa"</formula>
    </cfRule>
  </conditionalFormatting>
  <conditionalFormatting sqref="C500:C501 D500:F500 D501 F501">
    <cfRule type="expression" priority="9699" dxfId="6433">
      <formula>$B500="Serviço"</formula>
    </cfRule>
    <cfRule type="expression" priority="9700" dxfId="6434">
      <formula>$B500="Subetapa"</formula>
    </cfRule>
  </conditionalFormatting>
  <conditionalFormatting sqref="C621:C639 D621:F621 D622:D626 D627:F627 D628:D631 D632:F632 D633:D636 D637:F637 D638:D639 F622:F626 F628:F631 F633:F636 F638:F639">
    <cfRule type="expression" priority="9686" dxfId="6433">
      <formula>$B621="Serviço"</formula>
    </cfRule>
    <cfRule type="expression" priority="9687" dxfId="6434">
      <formula>$B621="Subetapa"</formula>
    </cfRule>
  </conditionalFormatting>
  <conditionalFormatting sqref="C661:F661">
    <cfRule type="expression" priority="9674" dxfId="6433">
      <formula>$B661="Serviço"</formula>
    </cfRule>
  </conditionalFormatting>
  <conditionalFormatting sqref="C661:C664 D661:F661 D662:D664 F662:F664">
    <cfRule type="expression" priority="9678" dxfId="6434">
      <formula>$B661="Subetapa"</formula>
    </cfRule>
  </conditionalFormatting>
  <conditionalFormatting sqref="B738:C741 D738:F738 D739:D741 F739:F741">
    <cfRule type="expression" priority="9667" dxfId="6433">
      <formula>$B738="Serviço"</formula>
    </cfRule>
    <cfRule type="expression" priority="9668" dxfId="6434">
      <formula>$B738="Subetapa"</formula>
    </cfRule>
  </conditionalFormatting>
  <conditionalFormatting sqref="B759:C762 D759:F759 D760:D762 F760:F762">
    <cfRule type="expression" priority="9660" dxfId="6433">
      <formula>$B759="Serviço"</formula>
    </cfRule>
    <cfRule type="expression" priority="9661" dxfId="6434">
      <formula>$B759="Subetapa"</formula>
    </cfRule>
  </conditionalFormatting>
  <conditionalFormatting sqref="B779:C786 D779:F779 D780:D786 F780:F786">
    <cfRule type="expression" priority="9888" dxfId="6433">
      <formula>$B779="Serviço"</formula>
    </cfRule>
    <cfRule type="expression" priority="9889" dxfId="6434">
      <formula>$B779="Subetapa"</formula>
    </cfRule>
  </conditionalFormatting>
  <conditionalFormatting sqref="C814:F814">
    <cfRule type="expression" priority="9647" dxfId="6433">
      <formula>$B814="Serviço"</formula>
    </cfRule>
    <cfRule type="expression" priority="9648" dxfId="6434">
      <formula>$B814="Subetapa"</formula>
    </cfRule>
  </conditionalFormatting>
  <conditionalFormatting sqref="C824:C826 D824:F824 D825 D826:F826 F825">
    <cfRule type="expression" priority="9637" dxfId="6433">
      <formula>$B824="Serviço"</formula>
    </cfRule>
    <cfRule type="expression" priority="9638" dxfId="6434">
      <formula>$B824="Subetapa"</formula>
    </cfRule>
  </conditionalFormatting>
  <conditionalFormatting sqref="D827:D834 F827:F834">
    <cfRule type="expression" priority="9651" dxfId="6433">
      <formula>$B827="Serviço"</formula>
    </cfRule>
    <cfRule type="expression" priority="9652" dxfId="6434">
      <formula>$B827="Subetapa"</formula>
    </cfRule>
  </conditionalFormatting>
  <conditionalFormatting sqref="C835:C838 D835:F835 D836 D837:F837 D838 F836 F838">
    <cfRule type="expression" priority="9628" dxfId="6433">
      <formula>$B835="Serviço"</formula>
    </cfRule>
    <cfRule type="expression" priority="9629" dxfId="6434">
      <formula>$B835="Subetapa"</formula>
    </cfRule>
  </conditionalFormatting>
  <conditionalFormatting sqref="B884 B920 C879:C884 D879:F879 D880:D881 D882:F882 D883:D884 F880:F881 F883:F884">
    <cfRule type="expression" priority="9901" dxfId="6433">
      <formula>$B879="Serviço"</formula>
    </cfRule>
    <cfRule type="expression" priority="9902" dxfId="6434">
      <formula>$B879="Subetapa"</formula>
    </cfRule>
  </conditionalFormatting>
  <conditionalFormatting sqref="C894:C896 D894:F894 D895:D896 F895:F896">
    <cfRule type="expression" priority="9615" dxfId="6433">
      <formula>$B894="Serviço"</formula>
    </cfRule>
    <cfRule type="expression" priority="9616" dxfId="6434">
      <formula>$B894="Subetapa"</formula>
    </cfRule>
  </conditionalFormatting>
  <conditionalFormatting sqref="B906:B907 C903:C907 D903:F903 D904:D906 D907:F907 F904:F906">
    <cfRule type="expression" priority="9957" dxfId="6424">
      <formula>$B903="Subetapa"</formula>
    </cfRule>
  </conditionalFormatting>
  <conditionalFormatting sqref="C918:C929 D918:F918 D919:D920 D921:F921 D922:D923 D924:F924 D925:D926 D927:F927 D928:D929 F919:F920 F922:F923 F925:F926 F928:F929">
    <cfRule type="expression" priority="9907" dxfId="6433">
      <formula>$B918="Serviço"</formula>
    </cfRule>
    <cfRule type="expression" priority="9908" dxfId="6434">
      <formula>$B918="Subetapa"</formula>
    </cfRule>
  </conditionalFormatting>
  <conditionalFormatting sqref="C931:C942 D931:F931 D932:D933 D934:F934 D935:D936 D937:F937 D938:D939 D940:F940 D941:D942 F932:F933 F935:F936 F938:F939 F941:F942">
    <cfRule type="expression" priority="9949" dxfId="6433">
      <formula>$B931="Serviço"</formula>
    </cfRule>
    <cfRule type="expression" priority="9950" dxfId="6434">
      <formula>$B931="Subetapa"</formula>
    </cfRule>
  </conditionalFormatting>
  <conditionalFormatting sqref="C1169:C1171 D1169:F1169 D1170 D1171:F1171 F1170">
    <cfRule type="expression" priority="14061" dxfId="6424">
      <formula>$B1169="Subetapa"</formula>
    </cfRule>
  </conditionalFormatting>
  <conditionalFormatting sqref="C1175:C1176 D1175:F1175 D1176 F1176">
    <cfRule type="expression" priority="9580" dxfId="6434">
      <formula>$B1175="Subetapa"</formula>
    </cfRule>
  </conditionalFormatting>
  <conditionalFormatting sqref="C1175:C1185 D1175:F1175 D1176:D1185 F1176:F1185">
    <cfRule type="expression" priority="9578" dxfId="6433">
      <formula>$B1175="Serviço"</formula>
    </cfRule>
  </conditionalFormatting>
  <conditionalFormatting sqref="C1198:C1199 D1198:F1198 D1199 F1199">
    <cfRule type="expression" priority="9552" dxfId="6434">
      <formula>$B1198="Subetapa"</formula>
    </cfRule>
  </conditionalFormatting>
  <conditionalFormatting sqref="C1198:C1208 D1198:F1198 D1199:D1208 F1199:F1208">
    <cfRule type="expression" priority="9537" dxfId="6433">
      <formula>$B1198="Serviço"</formula>
    </cfRule>
  </conditionalFormatting>
  <conditionalFormatting sqref="C1209:C1217 D1209:F1209 D1210:D1217 F1210:F1217">
    <cfRule type="expression" priority="9541" dxfId="6434">
      <formula>$B1209="Subetapa"</formula>
    </cfRule>
  </conditionalFormatting>
  <conditionalFormatting sqref="C1255:F1255">
    <cfRule type="expression" priority="9506" dxfId="6434">
      <formula>$B1255="Subetapa"</formula>
    </cfRule>
  </conditionalFormatting>
  <conditionalFormatting sqref="C1255:C1289 D1255:F1255 D1256:D1265 D1266:F1266 D1267:D1276 D1277:F1277 D1278:D1287 D1288:F1288 D1289 F1256:F1265 F1267:F1276 F1278:F1287 F1289">
    <cfRule type="expression" priority="9500" dxfId="6433">
      <formula>$B1255="Serviço"</formula>
    </cfRule>
  </conditionalFormatting>
  <conditionalFormatting sqref="C1266:C1289 D1266:F1266 D1267:D1276 D1277:F1277 D1278:D1287 D1288:F1288 D1289 F1267:F1276 F1278:F1287 F1289">
    <cfRule type="expression" priority="9508" dxfId="6434">
      <formula>$B1266="Subetapa"</formula>
    </cfRule>
  </conditionalFormatting>
  <conditionalFormatting sqref="C1290:C1300 D1290:D1299 D1300:F1300 F1290:F1299">
    <cfRule type="expression" priority="9489" dxfId="6433">
      <formula>$B1290="Serviço"</formula>
    </cfRule>
    <cfRule type="expression" priority="9491" dxfId="6434">
      <formula>$B1290="Subetapa"</formula>
    </cfRule>
  </conditionalFormatting>
  <conditionalFormatting sqref="C1301:D1301 F1301">
    <cfRule type="expression" priority="9487" dxfId="6433">
      <formula>$B1301="Serviço"</formula>
    </cfRule>
    <cfRule type="expression" priority="9488" dxfId="6434">
      <formula>$B1301="Subetapa"</formula>
    </cfRule>
  </conditionalFormatting>
  <conditionalFormatting sqref="C1311:F1311">
    <cfRule type="expression" priority="9493" dxfId="6434">
      <formula>$B1311="Subetapa"</formula>
    </cfRule>
  </conditionalFormatting>
  <conditionalFormatting sqref="C1311:C1323 D1311:F1311 D1312:D1321 D1322:F1322 D1323 F1312:F1321 F1323">
    <cfRule type="expression" priority="9482" dxfId="6433">
      <formula>$B1311="Serviço"</formula>
    </cfRule>
  </conditionalFormatting>
  <conditionalFormatting sqref="C1322:C1323 D1322:F1322 D1323 F1323">
    <cfRule type="expression" priority="9495" dxfId="6434">
      <formula>$B1322="Subetapa"</formula>
    </cfRule>
  </conditionalFormatting>
  <conditionalFormatting sqref="C1324:C1344 D1324:D1332 D1333:F1333 D1334:D1343 D1344:F1344 F1324:F1332 F1334:F1343">
    <cfRule type="expression" priority="9474" dxfId="6434">
      <formula>$B1324="Subetapa"</formula>
    </cfRule>
  </conditionalFormatting>
  <conditionalFormatting sqref="C1324:C1356 D1324:D1332 D1333:F1333 D1334:D1343 D1344:F1344 D1345:D1355 D1356:F1356 F1324:F1332 F1334:F1343 F1345:F1355">
    <cfRule type="expression" priority="9473" dxfId="6433">
      <formula>$B1324="Serviço"</formula>
    </cfRule>
  </conditionalFormatting>
  <conditionalFormatting sqref="D1348:D1355 F1348:F1355">
    <cfRule type="expression" priority="9479" dxfId="6434">
      <formula>$B1348="Subetapa"</formula>
    </cfRule>
  </conditionalFormatting>
  <conditionalFormatting sqref="C1541:C1546 D1541:F1541 D1542:D1546 F1542:F1546">
    <cfRule type="expression" priority="11753" dxfId="6424">
      <formula>$B1541="Subetapa"</formula>
    </cfRule>
  </conditionalFormatting>
  <conditionalFormatting sqref="C1548:C1624 D1548:F1548 D1549:D1558 D1559:F1559 D1560:D1569 D1570:F1570 D1571:D1580 D1581:F1581 D1582:D1591 D1592:F1592 D1593:D1602 D1603:F1603 D1604:D1613 D1614:F1614 D1615:D1624 F1549:F1558 F1560:F1569 F1571:F1580 F1582:F1591 F1593:F1602 F1604:F1613 F1615:F1624">
    <cfRule type="expression" priority="13382" dxfId="6424">
      <formula>$B1548="Subetapa"</formula>
    </cfRule>
  </conditionalFormatting>
  <conditionalFormatting sqref="C1626:C1636 D1626:F1626 D1627:D1636 F1627:F1636">
    <cfRule type="expression" priority="13360" dxfId="6424">
      <formula>$B1626="Subetapa"</formula>
    </cfRule>
  </conditionalFormatting>
  <conditionalFormatting sqref="C1638:C1648 D1638:F1638 D1639:D1648 F1639:F1648">
    <cfRule type="expression" priority="13328" dxfId="6424">
      <formula>$B1638="Subetapa"</formula>
    </cfRule>
  </conditionalFormatting>
  <conditionalFormatting sqref="D1813:D1814 F1813:F1814">
    <cfRule type="expression" priority="13955" dxfId="6424">
      <formula>$B1813="Subetapa"</formula>
    </cfRule>
  </conditionalFormatting>
  <conditionalFormatting sqref="C1836:F1836">
    <cfRule type="expression" priority="13288" dxfId="6424">
      <formula>$B1836="Subetapa"</formula>
    </cfRule>
  </conditionalFormatting>
  <conditionalFormatting sqref="C1870:D1870 F1870">
    <cfRule type="expression" priority="13258" dxfId="6424">
      <formula>$B1870="Subetapa"</formula>
    </cfRule>
  </conditionalFormatting>
  <conditionalFormatting sqref="C1907:D1907 F1907">
    <cfRule type="expression" priority="13220" dxfId="6424">
      <formula>$B1907="Subetapa"</formula>
    </cfRule>
  </conditionalFormatting>
  <conditionalFormatting sqref="C1919:D1919 F1919">
    <cfRule type="expression" priority="13204" dxfId="6424">
      <formula>$B1919="Subetapa"</formula>
    </cfRule>
  </conditionalFormatting>
  <conditionalFormatting sqref="C1932:D1932 F1932">
    <cfRule type="expression" priority="13188" dxfId="6424">
      <formula>$B1932="Subetapa"</formula>
    </cfRule>
  </conditionalFormatting>
  <conditionalFormatting sqref="C1945:D1945 F1945">
    <cfRule type="expression" priority="13172" dxfId="6424">
      <formula>$B1945="Subetapa"</formula>
    </cfRule>
  </conditionalFormatting>
  <conditionalFormatting sqref="C1958:D1958 F1958">
    <cfRule type="expression" priority="13156" dxfId="6424">
      <formula>$B1958="Subetapa"</formula>
    </cfRule>
  </conditionalFormatting>
  <conditionalFormatting sqref="C1971:D1971 F1971">
    <cfRule type="expression" priority="13140" dxfId="6424">
      <formula>$B1971="Subetapa"</formula>
    </cfRule>
  </conditionalFormatting>
  <conditionalFormatting sqref="C2029:F2029">
    <cfRule type="expression" priority="13080" dxfId="6424">
      <formula>$B2029="Subetapa"</formula>
    </cfRule>
  </conditionalFormatting>
  <conditionalFormatting sqref="B2119:H2119 B2126:H2126 B2133:H2133 C2105:F2105 C2112:F2112">
    <cfRule type="expression" priority="11639" dxfId="6424">
      <formula>$B2105="Subetapa"</formula>
    </cfRule>
  </conditionalFormatting>
  <conditionalFormatting sqref="C2176:C2184 D2176:F2176 D2177 D2178:F2178 D2179:D2180 D2181:F2181 D2182:D2183 D2184:F2184 F2177 F2179:F2180 F2182:F2183">
    <cfRule type="expression" priority="13990" dxfId="6424">
      <formula>$B2176="Subetapa"</formula>
    </cfRule>
  </conditionalFormatting>
  <conditionalFormatting sqref="D2185:D2186 F2185:F2186">
    <cfRule type="expression" priority="14333" dxfId="6424">
      <formula>$B2185="Subetapa"</formula>
    </cfRule>
  </conditionalFormatting>
  <conditionalFormatting sqref="C2187:F2187">
    <cfRule type="expression" priority="14065" dxfId="6424">
      <formula>$B2187="Subetapa"</formula>
    </cfRule>
  </conditionalFormatting>
  <conditionalFormatting sqref="B2212:B2261 B2267:B2268 B2274:B2275 C2212:C2215 D2212:F2212 D2213 D2214:F2214 D2215 F2213 F2215">
    <cfRule type="expression" priority="10000" dxfId="6433">
      <formula>$B2212="Serviço"</formula>
    </cfRule>
  </conditionalFormatting>
  <conditionalFormatting sqref="C2212:C2215 D2212:F2212 D2213 D2214:F2214 D2215 F2213 F2215">
    <cfRule type="expression" priority="9998" dxfId="6434">
      <formula>$B2212="Subetapa"</formula>
    </cfRule>
  </conditionalFormatting>
  <conditionalFormatting sqref="C2216:C2223 D2216:F2216 D2217:D2218 D2219:F2219 D2220 D2221:F2221 D2222:D2223 F2217:F2218 F2220 F2222:F2223">
    <cfRule type="expression" priority="9976" dxfId="6433">
      <formula>$B2216="Serviço"</formula>
    </cfRule>
    <cfRule type="expression" priority="9977" dxfId="6434">
      <formula>$B2216="Subetapa"</formula>
    </cfRule>
  </conditionalFormatting>
  <conditionalFormatting sqref="C2224:C2227 D2224:F2224 D2225 D2226:F2226 D2227 F2225 F2227">
    <cfRule type="expression" priority="9992" dxfId="6433">
      <formula>$B2224="Serviço"</formula>
    </cfRule>
    <cfRule type="expression" priority="9993" dxfId="6434">
      <formula>$B2224="Subetapa"</formula>
    </cfRule>
  </conditionalFormatting>
  <conditionalFormatting sqref="C2228:C2229 D2228:F2228 D2229 F2229">
    <cfRule type="expression" priority="9980" dxfId="6433">
      <formula>$B2228="Serviço"</formula>
    </cfRule>
    <cfRule type="expression" priority="9981" dxfId="6434">
      <formula>$B2228="Subetapa"</formula>
    </cfRule>
  </conditionalFormatting>
  <conditionalFormatting sqref="C2230:C2275 D2230:F2230 D2231:D2233 D2234:F2234 D2235 D2236:F2236 D2237:D2239 D2240:F2240 D2241:D2243 F2231:F2233 F2235 F2237:F2239 F2241:F2243">
    <cfRule type="expression" priority="9988" dxfId="6433">
      <formula>$B2230="Serviço"</formula>
    </cfRule>
    <cfRule type="expression" priority="9989" dxfId="6434">
      <formula>$B2230="Subetapa"</formula>
    </cfRule>
  </conditionalFormatting>
  <conditionalFormatting sqref="C2338:C2341 D2338:F2338 D2339 D2340:F2340 D2341 F2339 F2341">
    <cfRule type="expression" priority="9460" dxfId="6433">
      <formula>$B2338="Serviço"</formula>
    </cfRule>
    <cfRule type="expression" priority="9461" dxfId="6434">
      <formula>$B2338="Subetapa"</formula>
    </cfRule>
  </conditionalFormatting>
  <conditionalFormatting sqref="D2347:F2347 D2348 F2348">
    <cfRule type="expression" priority="9446" dxfId="6433">
      <formula>$B2347="Serviço"</formula>
    </cfRule>
    <cfRule type="expression" priority="9447" dxfId="6434">
      <formula>$B2347="Subetapa"</formula>
    </cfRule>
  </conditionalFormatting>
  <conditionalFormatting sqref="D2349:F2349 D2350 F2350">
    <cfRule type="expression" priority="9437" dxfId="6433">
      <formula>$B2349="Serviço"</formula>
    </cfRule>
    <cfRule type="expression" priority="9438" dxfId="6434">
      <formula>$B2349="Subetapa"</formula>
    </cfRule>
  </conditionalFormatting>
  <conditionalFormatting sqref="D2357 F2357">
    <cfRule type="expression" priority="12823" dxfId="6424">
      <formula>$B2357="Subetapa"</formula>
    </cfRule>
  </conditionalFormatting>
  <conditionalFormatting sqref="C2374:C2377 D2374:F2374 D2375:D2377">
    <cfRule type="expression" priority="9427" dxfId="6433">
      <formula>$B2374="Serviço"</formula>
    </cfRule>
    <cfRule type="expression" priority="9428" dxfId="6434">
      <formula>$B2374="Subetapa"</formula>
    </cfRule>
  </conditionalFormatting>
  <conditionalFormatting sqref="C2379:C2387 D2379:F2379 D2380:D2383 D2384:F2384 D2385:D2387 F2380:F2383 F2385:F2388">
    <cfRule type="expression" priority="9407" dxfId="6433">
      <formula>$B2379="Serviço"</formula>
    </cfRule>
    <cfRule type="expression" priority="9408" dxfId="6434">
      <formula>$B2379="Subetapa"</formula>
    </cfRule>
  </conditionalFormatting>
  <conditionalFormatting sqref="C2400:C2410 D2400:F2400 D2401:D2404 D2405:F2405 D2406:D2409 D2410:F2410 F2401:F2404 F2406:F2409">
    <cfRule type="expression" priority="13998" dxfId="6424">
      <formula>$B2400="Subetapa"</formula>
    </cfRule>
  </conditionalFormatting>
  <conditionalFormatting sqref="C2470:C2474 D2470:F2470 D2471:D2474">
    <cfRule type="expression" priority="9371" dxfId="6433">
      <formula>$B2470="Serviço"</formula>
    </cfRule>
    <cfRule type="expression" priority="9372" dxfId="6434">
      <formula>$B2470="Subetapa"</formula>
    </cfRule>
  </conditionalFormatting>
  <conditionalFormatting sqref="C2475:C2476 C2480:F2480 C2485:F2485 C2520:F2520 D2475:F2475 D2476">
    <cfRule type="expression" priority="9401" dxfId="6433">
      <formula>$B2475="Serviço"</formula>
    </cfRule>
  </conditionalFormatting>
  <conditionalFormatting sqref="C2475:C2489 C2520:C2524 D2475:F2475 D2476:D2479 D2480:F2480 D2481:D2484 D2485:F2485 D2486:D2489 D2520:F2520 D2521:D2524">
    <cfRule type="expression" priority="9402" dxfId="6434">
      <formula>$B2475="Subetapa"</formula>
    </cfRule>
  </conditionalFormatting>
  <conditionalFormatting sqref="C2490:C2494 D2490:F2490 D2491:D2494">
    <cfRule type="expression" priority="9353" dxfId="6434">
      <formula>$B2490="Subetapa"</formula>
    </cfRule>
  </conditionalFormatting>
  <conditionalFormatting sqref="C2495:C2499 D2495:F2495 D2496:D2499">
    <cfRule type="expression" priority="9356" dxfId="6434">
      <formula>$B2495="Subetapa"</formula>
    </cfRule>
  </conditionalFormatting>
  <conditionalFormatting sqref="C2500:C2504 D2500:F2500 D2501:D2504">
    <cfRule type="expression" priority="9344" dxfId="6434">
      <formula>$B2500="Subetapa"</formula>
    </cfRule>
  </conditionalFormatting>
  <conditionalFormatting sqref="C2505:C2509 D2505:F2505 D2506:D2509">
    <cfRule type="expression" priority="9347" dxfId="6434">
      <formula>$B2505="Subetapa"</formula>
    </cfRule>
  </conditionalFormatting>
  <conditionalFormatting sqref="C2510:C2514 D2510:F2510 D2511:D2514">
    <cfRule type="expression" priority="9359" dxfId="6434">
      <formula>$B2510="Subetapa"</formula>
    </cfRule>
  </conditionalFormatting>
  <conditionalFormatting sqref="C2491:C2519 D2491:D2494 D2495:F2495 D2496:D2499 D2500:F2500 D2501:D2504 D2505:F2505 D2506:D2509 D2510:F2510 D2511:D2514 D2515:F2515 D2516:D2519">
    <cfRule type="expression" priority="9383" dxfId="6433">
      <formula>$B2491="Serviço"</formula>
    </cfRule>
  </conditionalFormatting>
  <conditionalFormatting sqref="C2515:C2519 D2515:F2515 D2516:D2519">
    <cfRule type="expression" priority="9362" dxfId="6434">
      <formula>$B2515="Subetapa"</formula>
    </cfRule>
  </conditionalFormatting>
  <conditionalFormatting sqref="C2673:C2674 D2673:F2673 D2674 E2688:F2688 F2674 F2690">
    <cfRule type="expression" priority="9302" dxfId="6434">
      <formula>$B2673="Subetapa"</formula>
    </cfRule>
    <cfRule type="expression" priority="9305" dxfId="6433">
      <formula>$B2673="Serviço"</formula>
    </cfRule>
  </conditionalFormatting>
  <conditionalFormatting sqref="C2695:C2709 D2695:F2695 D2696:D2697 D2698:F2698 D2699:D2700 D2701:F2701 D2702:D2703 D2704:F2704 D2705:D2706 D2707:F2707 D2708:D2709 F2696:F2697 F2699:F2700 F2702:F2703 F2705:F2706 F2708:F2709">
    <cfRule type="expression" priority="11561" dxfId="6424">
      <formula>$B2695="Subetapa"</formula>
    </cfRule>
  </conditionalFormatting>
  <conditionalFormatting sqref="C2719:C2721 D2719:F2719 D2720:D2721 F2720:F2721">
    <cfRule type="expression" priority="9315" dxfId="6434">
      <formula>$B2719="Subetapa"</formula>
    </cfRule>
    <cfRule type="expression" priority="9316" dxfId="6433">
      <formula>$B2719="Serviço"</formula>
    </cfRule>
  </conditionalFormatting>
  <conditionalFormatting sqref="C2722:F2722 C2724:D2724 F2723:F2724">
    <cfRule type="expression" priority="9313" dxfId="6434">
      <formula>$B2722="Subetapa"</formula>
    </cfRule>
  </conditionalFormatting>
  <conditionalFormatting sqref="C2722:F2722">
    <cfRule type="expression" priority="9312" dxfId="6433">
      <formula>$B2722="Serviço"</formula>
    </cfRule>
  </conditionalFormatting>
  <conditionalFormatting sqref="D2723:D2724 F2723:F2724">
    <cfRule type="expression" priority="9311" dxfId="6433">
      <formula>$B2723="Serviço"</formula>
    </cfRule>
  </conditionalFormatting>
  <conditionalFormatting sqref="C2725:C2727 D2725:F2725 D2726:D2727 F2726:F2727">
    <cfRule type="expression" priority="9318" dxfId="6434">
      <formula>$B2725="Subetapa"</formula>
    </cfRule>
  </conditionalFormatting>
  <conditionalFormatting sqref="C2728:C2730 D2728:F2728 D2729:D2730 F2729:F2730">
    <cfRule type="expression" priority="9320" dxfId="6434">
      <formula>$B2728="Subetapa"</formula>
    </cfRule>
  </conditionalFormatting>
  <conditionalFormatting sqref="C2765:C2767 D2765:F2765 D2766:D2767 F2766:F2767">
    <cfRule type="expression" priority="9295" dxfId="6434">
      <formula>$B2765="Subetapa"</formula>
    </cfRule>
  </conditionalFormatting>
  <conditionalFormatting sqref="B2788:C2805 D2788:F2788 D2789 D2790:F2790 D2791 D2792:F2792 D2793 D2794:F2794 D2795 D2796:F2796 D2797 D2798:F2798 D2799 D2800:F2800 D2801 D2802:F2802 D2803 D2804:F2804 D2805 F2789 F2791">
    <cfRule type="expression" priority="13741" dxfId="6424">
      <formula>$B2788="Subetapa"</formula>
    </cfRule>
  </conditionalFormatting>
  <conditionalFormatting sqref="C2806:C2814 D2806:F2806 D2807:D2814 F2807:F2814">
    <cfRule type="expression" priority="9286" dxfId="6434">
      <formula>$B2806="Subetapa"</formula>
    </cfRule>
  </conditionalFormatting>
  <conditionalFormatting sqref="C2806:C2816 D2806:F2806 D2807:D2816 F2807:F2816">
    <cfRule type="expression" priority="9285" dxfId="6433">
      <formula>$B2806="Serviço"</formula>
    </cfRule>
  </conditionalFormatting>
  <conditionalFormatting sqref="C2817:C2821 C2841:C2842 D2817:F2818 D2819 D2820:F2820 D2821 D2841:F2841 D2842 F2819 F2821 F2842">
    <cfRule type="expression" priority="11556" dxfId="6424">
      <formula>$B2817="Subetapa"</formula>
    </cfRule>
  </conditionalFormatting>
  <conditionalFormatting sqref="C2845:C2874 D2845:F2845 D2846:D2847 D2848:F2848 D2849:D2850 D2851:F2851 D2852:D2853 D2854:F2854 D2855:D2856 D2857:F2857 D2858:D2859 D2860:F2860 D2861:D2862 D2863:F2863 D2864:D2873 D2874:F2874 F2852:F2853 F2855:F2856 F2858:F2859 F2861:F2862 F2864:F2873">
    <cfRule type="expression" priority="10659" dxfId="6424">
      <formula>$B2845="Subetapa"</formula>
    </cfRule>
  </conditionalFormatting>
  <conditionalFormatting sqref="C2883:C2884 D2883:F2883 D2884 F2884">
    <cfRule type="expression" priority="9277" dxfId="6433">
      <formula>$B2883="Serviço"</formula>
    </cfRule>
    <cfRule type="expression" priority="9278" dxfId="6434">
      <formula>$B2883="Subetapa"</formula>
    </cfRule>
  </conditionalFormatting>
  <conditionalFormatting sqref="C2905:F2905">
    <cfRule type="expression" priority="12593" dxfId="6424">
      <formula>$B2905="Subetapa"</formula>
    </cfRule>
  </conditionalFormatting>
  <conditionalFormatting sqref="C2906:D2906 F2906">
    <cfRule type="expression" priority="12578" dxfId="6424">
      <formula>$B2906="Subetapa"</formula>
    </cfRule>
  </conditionalFormatting>
  <conditionalFormatting sqref="C2907:F2907">
    <cfRule type="expression" priority="12585" dxfId="6424">
      <formula>$B2907="Subetapa"</formula>
    </cfRule>
  </conditionalFormatting>
  <conditionalFormatting sqref="C2908:C2910 D2908 D2909:F2909 D2910 F2908 F2910">
    <cfRule type="expression" priority="11537" dxfId="6424">
      <formula>$B2908="Subetapa"</formula>
    </cfRule>
  </conditionalFormatting>
  <conditionalFormatting sqref="C2911:F2911">
    <cfRule type="expression" priority="12658" dxfId="6424">
      <formula>$B2911="Subetapa"</formula>
    </cfRule>
  </conditionalFormatting>
  <conditionalFormatting sqref="B2919:B2935 C2912:C2935 D2912:F2912 D2913 D2914:F2914 D2915 D2916:F2916 D2917 D2918:F2920 D2921 D2922:F2922 D2923:D2925 D2926:F2926 D2927:D2928 D2929:F2929 D2930:D2931 D2932:F2932 D2933:D2935 F2913 F2915 F2917 F2921 F2923:F2925 F2927:F2928 F2930:F2931 F2933:F2935">
    <cfRule type="expression" priority="12395" dxfId="6424">
      <formula>$B2912="Subetapa"</formula>
    </cfRule>
  </conditionalFormatting>
  <conditionalFormatting sqref="C3056:C3063 D3056:F3056 D3057 D3058:F3058 D3059 D3060:F3060 D3061 D3062:F3062 D3063 F3057 F3059 F3061 F3063">
    <cfRule type="expression" priority="9267" dxfId="6434">
      <formula>$B3056="Subetapa"</formula>
    </cfRule>
    <cfRule type="expression" priority="9269" dxfId="6433">
      <formula>$B3056="Serviço"</formula>
    </cfRule>
  </conditionalFormatting>
  <conditionalFormatting sqref="C3097:C3098 D3097:F3097 D3098 F3098">
    <cfRule type="expression" priority="9257" dxfId="6433">
      <formula>$B3097="Serviço"</formula>
    </cfRule>
    <cfRule type="expression" priority="9260" dxfId="6434">
      <formula>$B3097="Subetapa"</formula>
    </cfRule>
  </conditionalFormatting>
  <conditionalFormatting sqref="C3113:C3128 C3430:C3434 D3113:D3114 D3115:F3115 D3116:D3117 D3118:F3118 D3119:D3121 D3122:F3122 D3123 D3124:F3124 D3125:D3128 D3430:F3430 D3431:D3434 F3113:F3114 F3116:F3117 F3119:F3121 F3123 F3125:F3128">
    <cfRule type="expression" priority="13889" dxfId="6424">
      <formula>$B3113="Subetapa"</formula>
    </cfRule>
  </conditionalFormatting>
  <conditionalFormatting sqref="C3129:F3129">
    <cfRule type="expression" priority="9249" dxfId="6434">
      <formula>$B3129="Subetapa"</formula>
    </cfRule>
  </conditionalFormatting>
  <conditionalFormatting sqref="C3129:C3136 D3129:F3129 D3130:D3136 F3130:F3136">
    <cfRule type="expression" priority="9250" dxfId="6433">
      <formula>$B3129="Serviço"</formula>
    </cfRule>
  </conditionalFormatting>
  <conditionalFormatting sqref="D3130:D3136 F3130:F3136">
    <cfRule type="expression" priority="9251" dxfId="6434">
      <formula>$B3130="Subetapa"</formula>
    </cfRule>
  </conditionalFormatting>
  <conditionalFormatting sqref="C3137:C3138 D3137:F3137 D3138 F3138">
    <cfRule type="expression" priority="14338" dxfId="6424">
      <formula>$B3137="Subetapa"</formula>
    </cfRule>
  </conditionalFormatting>
  <conditionalFormatting sqref="D3143:F3144">
    <cfRule type="expression" priority="12538" dxfId="6424">
      <formula>$B3143="Subetapa"</formula>
    </cfRule>
  </conditionalFormatting>
  <conditionalFormatting sqref="B3139:B3142 C3181:C3190 C3231:C3234 C3290:C3293 C3295:C3300 C3305:C3309 C3545:C3549 C4139:C4150 C4163:C4165 C4208:C4210 C4217:C4234 D3181:F3181 D3182 D3183:F3183 D3184 D3185:F3185 D3186 D3187:F3187 D3188 D3189:F3189 D3190 D3231:F3231 D3232:D3234 D3290:F3290 D3291:D3293 D3295:F3295 D3296:D3299 D3300:F3300 D3305:F3305 D3306:D3309 D3545:F3545 D3546:D3549 D4139:F4139 D4140 D4141:F4141 D4142 D4143:F4143 D4144 D4145:F4145 D4146 D4147:F4147 D4148 D4149:F4149 D4150 D4163:F4163 D4164:D4165 D4208:F4208 D4209:D4210 D4217:F4217 D4218:D4219 D4220:F4220 D4221:D4222 D4223:F4223 D4224:D4225 D4226:F4226 D4227:D4228 D4229:F4229 D4230:D4231 D4232:F4232 D4233:D4234 F3182 F3184 F3186 F3188 F3232:F3234 F3546:F3549 F4140 F4142 F4144 F4146 F4148 F4150 F4164:F4165 F4209:F4210 F4218:F4219 F4221:F4222 F4224:F4225 F4227:F4228 F4230:F4231 F4233:F4234">
    <cfRule type="expression" priority="9738" dxfId="6433">
      <formula>$B3139="Serviço"</formula>
    </cfRule>
    <cfRule type="expression" priority="9739" dxfId="6434">
      <formula>$B3139="Subetapa"</formula>
    </cfRule>
  </conditionalFormatting>
  <conditionalFormatting sqref="C3210:C3215 D3210 D3211:F3211 D3212 D3213:F3213 D3214 D3215:F3215 F3210 F3212 F3214">
    <cfRule type="expression" priority="12401" dxfId="6424">
      <formula>$B3210="Subetapa"</formula>
    </cfRule>
  </conditionalFormatting>
  <conditionalFormatting sqref="C3243:F3243">
    <cfRule type="expression" priority="9214" dxfId="6434">
      <formula>$B3243="Subetapa"</formula>
    </cfRule>
  </conditionalFormatting>
  <conditionalFormatting sqref="C3259:F3259">
    <cfRule type="expression" priority="9227" dxfId="6424">
      <formula>$B3259="Subetapa"</formula>
    </cfRule>
  </conditionalFormatting>
  <conditionalFormatting sqref="B4162:F4162 C3320:F3320">
    <cfRule type="expression" priority="13563" dxfId="6424">
      <formula>$B3320="Subetapa"</formula>
    </cfRule>
  </conditionalFormatting>
  <conditionalFormatting sqref="C3440:C3449 D3440:F3440 D3441:D3444 D3445:F3445 D3446:D3449 F3441:F3444 F3446:F3449">
    <cfRule type="expression" priority="12426" dxfId="6424">
      <formula>$B3440="Subetapa"</formula>
    </cfRule>
  </conditionalFormatting>
  <conditionalFormatting sqref="C3485:C3489 D3485:F3485 D3486:D3489">
    <cfRule type="expression" priority="9133" dxfId="6433">
      <formula>$B3485="Serviço"</formula>
    </cfRule>
    <cfRule type="expression" priority="9134" dxfId="6434">
      <formula>$B3485="Subetapa"</formula>
    </cfRule>
  </conditionalFormatting>
  <conditionalFormatting sqref="C3490:C3494 D3490:F3490 D3491:D3494">
    <cfRule type="expression" priority="9120" dxfId="6433">
      <formula>$B3490="Serviço"</formula>
    </cfRule>
  </conditionalFormatting>
  <conditionalFormatting sqref="C3495:C3499 D3495:F3495 D3496:D3499">
    <cfRule type="expression" priority="9113" dxfId="6433">
      <formula>$B3495="Serviço"</formula>
    </cfRule>
  </conditionalFormatting>
  <conditionalFormatting sqref="C3490:C3509 D3490:F3490 D3491:D3494 D3495:F3495 D3496:D3499 D3500:F3500 D3501:D3504 D3505:F3505 D3506:D3509">
    <cfRule type="expression" priority="9209" dxfId="6434">
      <formula>$B3490="Subetapa"</formula>
    </cfRule>
  </conditionalFormatting>
  <conditionalFormatting sqref="C3505:C3509 D3505:F3505 D3506:D3509">
    <cfRule type="expression" priority="9192" dxfId="6433">
      <formula>$B3505="Serviço"</formula>
    </cfRule>
  </conditionalFormatting>
  <conditionalFormatting sqref="C3515:C3519 D3515:F3515 D3516:D3519">
    <cfRule type="expression" priority="9080" dxfId="6433">
      <formula>$B3515="Serviço"</formula>
    </cfRule>
    <cfRule type="expression" priority="9081" dxfId="6434">
      <formula>$B3515="Subetapa"</formula>
    </cfRule>
  </conditionalFormatting>
  <conditionalFormatting sqref="C3520:C3524 D3520:F3520 D3521:D3524">
    <cfRule type="expression" priority="9098" dxfId="6433">
      <formula>$B3520="Serviço"</formula>
    </cfRule>
    <cfRule type="expression" priority="9099" dxfId="6434">
      <formula>$B3520="Subetapa"</formula>
    </cfRule>
  </conditionalFormatting>
  <conditionalFormatting sqref="C3525:C3529 D3525:F3525 D3526:D3529">
    <cfRule type="expression" priority="9102" dxfId="6433">
      <formula>$B3525="Serviço"</formula>
    </cfRule>
    <cfRule type="expression" priority="9103" dxfId="6434">
      <formula>$B3525="Subetapa"</formula>
    </cfRule>
  </conditionalFormatting>
  <conditionalFormatting sqref="C3530:C3534 D3530:F3530 D3531:D3534">
    <cfRule type="expression" priority="9090" dxfId="6433">
      <formula>$B3530="Serviço"</formula>
    </cfRule>
    <cfRule type="expression" priority="9091" dxfId="6434">
      <formula>$B3530="Subetapa"</formula>
    </cfRule>
  </conditionalFormatting>
  <conditionalFormatting sqref="C3535:C3539 D3535:F3535 D3536:D3539">
    <cfRule type="expression" priority="9094" dxfId="6433">
      <formula>$B3535="Serviço"</formula>
    </cfRule>
    <cfRule type="expression" priority="9095" dxfId="6434">
      <formula>$B3535="Subetapa"</formula>
    </cfRule>
  </conditionalFormatting>
  <conditionalFormatting sqref="C3540:C3544 D3540:F3540 D3541:D3544">
    <cfRule type="expression" priority="9116" dxfId="6433">
      <formula>$B3540="Serviço"</formula>
    </cfRule>
    <cfRule type="expression" priority="9117" dxfId="6434">
      <formula>$B3540="Subetapa"</formula>
    </cfRule>
  </conditionalFormatting>
  <conditionalFormatting sqref="B3644:B3661 C3644:C3655 C3658:F3658 D3644:F3644 D3645:D3647 D3648:F3648 D3649:D3650 D3651:F3651 D3652:D3653 D3654:F3654 D3655 F3645:F3647 F3649:F3650 F3652:F3653">
    <cfRule type="expression" priority="13805" dxfId="6424">
      <formula>$B3644="Subetapa"</formula>
    </cfRule>
  </conditionalFormatting>
  <conditionalFormatting sqref="C3674:C3678 D3674:F3674 D3675:D3678 F3675:F3678">
    <cfRule type="expression" priority="9007" dxfId="6434">
      <formula>$B3674="Subetapa"</formula>
    </cfRule>
    <cfRule type="expression" priority="9008" dxfId="6433">
      <formula>$B3674="Serviço"</formula>
    </cfRule>
  </conditionalFormatting>
  <conditionalFormatting sqref="C3684:C3688 D3684:F3684 D3685:D3688 F3685:F3688">
    <cfRule type="expression" priority="8995" dxfId="6434">
      <formula>$B3684="Subetapa"</formula>
    </cfRule>
    <cfRule type="expression" priority="8996" dxfId="6433">
      <formula>$B3684="Serviço"</formula>
    </cfRule>
  </conditionalFormatting>
  <conditionalFormatting sqref="C3704:C3708 D3704:F3704 D3705:D3708 F3705:F3708">
    <cfRule type="expression" priority="8983" dxfId="6434">
      <formula>$B3704="Subetapa"</formula>
    </cfRule>
    <cfRule type="expression" priority="8984" dxfId="6433">
      <formula>$B3704="Serviço"</formula>
    </cfRule>
  </conditionalFormatting>
  <conditionalFormatting sqref="C3722:C3723 D3722:F3722 D3723 F3723">
    <cfRule type="expression" priority="8960" dxfId="6433">
      <formula>$B3722="Serviço"</formula>
    </cfRule>
  </conditionalFormatting>
  <conditionalFormatting sqref="C3722:C3724 D3722:F3722 D3723:D3724 F3723:F3724">
    <cfRule type="expression" priority="8959" dxfId="6434">
      <formula>$B3722="Subetapa"</formula>
    </cfRule>
  </conditionalFormatting>
  <conditionalFormatting sqref="C3724:D3724 F3724">
    <cfRule type="expression" priority="8967" dxfId="6433">
      <formula>$B3724="Serviço"</formula>
    </cfRule>
  </conditionalFormatting>
  <conditionalFormatting sqref="C3808:C3815 D3808:F3808 D3809:D3810 D3811:F3811 D3812:D3815 F3809:F3810 F3812:F3815">
    <cfRule type="expression" priority="8648" dxfId="6434">
      <formula>$B3808="Subetapa"</formula>
    </cfRule>
  </conditionalFormatting>
  <conditionalFormatting sqref="C3821:C3845 D3821:F3821 D3822:D3825 D3826:F3826 D3827:D3829 D3830:F3830 D3831:D3834 D3835:F3835 D3836:D3837 D3838:F3838 D3839:D3841 D3842:F3842 D3843:D3845 F3822:F3825 F3827:F3829 F3831:F3834 F3836:F3837 F3839:F3841 F3843:F3845">
    <cfRule type="expression" priority="11382" dxfId="6424">
      <formula>$B3821="Subetapa"</formula>
    </cfRule>
  </conditionalFormatting>
  <conditionalFormatting sqref="C3861:F3861 C3862:C3885">
    <cfRule type="expression" priority="12266" dxfId="6424">
      <formula>$B3861="Subetapa"</formula>
    </cfRule>
  </conditionalFormatting>
  <conditionalFormatting sqref="D3864:F3864">
    <cfRule type="expression" priority="12236" dxfId="6424">
      <formula>$B3864="Subetapa"</formula>
    </cfRule>
  </conditionalFormatting>
  <conditionalFormatting sqref="C3980:F3980 F3981">
    <cfRule type="expression" priority="8314" dxfId="6433">
      <formula>$B3980="Serviço"</formula>
    </cfRule>
  </conditionalFormatting>
  <conditionalFormatting sqref="C3999:F3999">
    <cfRule type="expression" priority="8263" dxfId="6434">
      <formula>$B3999="Subetapa"</formula>
    </cfRule>
  </conditionalFormatting>
  <conditionalFormatting sqref="C4002:F4002">
    <cfRule type="expression" priority="8280" dxfId="6434">
      <formula>$B4002="Subetapa"</formula>
    </cfRule>
    <cfRule type="expression" priority="8300" dxfId="6433">
      <formula>$B4002="Serviço"</formula>
    </cfRule>
  </conditionalFormatting>
  <conditionalFormatting sqref="C4004:C4006 D4004:F4004 D4005:D4006">
    <cfRule type="expression" priority="8194" dxfId="6433">
      <formula>$B4004="Serviço"</formula>
    </cfRule>
  </conditionalFormatting>
  <conditionalFormatting sqref="C4004:F4004">
    <cfRule type="expression" priority="8196" dxfId="6434">
      <formula>$B4004="Subetapa"</formula>
    </cfRule>
  </conditionalFormatting>
  <conditionalFormatting sqref="C4007:C4009 D4007:F4007 D4008:D4009">
    <cfRule type="expression" priority="8201" dxfId="6433">
      <formula>$B4007="Serviço"</formula>
    </cfRule>
  </conditionalFormatting>
  <conditionalFormatting sqref="C4007:F4007">
    <cfRule type="expression" priority="8203" dxfId="6434">
      <formula>$B4007="Subetapa"</formula>
    </cfRule>
  </conditionalFormatting>
  <conditionalFormatting sqref="C4010:C4012 D4010:F4010 D4011:D4012">
    <cfRule type="expression" priority="8208" dxfId="6433">
      <formula>$B4010="Serviço"</formula>
    </cfRule>
  </conditionalFormatting>
  <conditionalFormatting sqref="C4010:F4010">
    <cfRule type="expression" priority="8210" dxfId="6434">
      <formula>$B4010="Subetapa"</formula>
    </cfRule>
  </conditionalFormatting>
  <conditionalFormatting sqref="C4013:C4015 D4013:F4013 D4014:D4015">
    <cfRule type="expression" priority="8215" dxfId="6433">
      <formula>$B4013="Serviço"</formula>
    </cfRule>
  </conditionalFormatting>
  <conditionalFormatting sqref="C4013:F4013">
    <cfRule type="expression" priority="8217" dxfId="6434">
      <formula>$B4013="Subetapa"</formula>
    </cfRule>
  </conditionalFormatting>
  <conditionalFormatting sqref="C4016:C4018 D4016:F4016 D4017:D4018">
    <cfRule type="expression" priority="8222" dxfId="6433">
      <formula>$B4016="Serviço"</formula>
    </cfRule>
  </conditionalFormatting>
  <conditionalFormatting sqref="C4016:F4016">
    <cfRule type="expression" priority="8224" dxfId="6434">
      <formula>$B4016="Subetapa"</formula>
    </cfRule>
  </conditionalFormatting>
  <conditionalFormatting sqref="C4019:C4021 D4019:F4019 D4020:D4021">
    <cfRule type="expression" priority="8229" dxfId="6433">
      <formula>$B4019="Serviço"</formula>
    </cfRule>
  </conditionalFormatting>
  <conditionalFormatting sqref="C4019:F4019">
    <cfRule type="expression" priority="8231" dxfId="6434">
      <formula>$B4019="Subetapa"</formula>
    </cfRule>
  </conditionalFormatting>
  <conditionalFormatting sqref="C4041:C4043 D4041:F4041 D4042:D4043">
    <cfRule type="expression" priority="7852" dxfId="6433">
      <formula>$B4041="Serviço"</formula>
    </cfRule>
  </conditionalFormatting>
  <conditionalFormatting sqref="C4041:F4041">
    <cfRule type="expression" priority="7854" dxfId="6434">
      <formula>$B4041="Subetapa"</formula>
    </cfRule>
  </conditionalFormatting>
  <conditionalFormatting sqref="C4051:C4054 D4051:F4051 D4052:D4053 D4054:F4054 F4052:F4053">
    <cfRule type="expression" priority="7869" dxfId="6434">
      <formula>$B4051="Subetapa"</formula>
    </cfRule>
  </conditionalFormatting>
  <conditionalFormatting sqref="C4058:C4067 D4058:F4058 D4059 D4060:F4060 D4061 D4062:F4062 D4063 D4064:F4064 D4065 D4066:F4066 D4067 F4059 F4061 F4063 F4065 F4067">
    <cfRule type="expression" priority="11802" dxfId="6424">
      <formula>$B4058="Subetapa"</formula>
    </cfRule>
  </conditionalFormatting>
  <conditionalFormatting sqref="C4088:F4088 C4089:C4094 C4125:C4130 D4089 D4125:F4125 D4126 D4127:F4127 D4128 D4129:F4129 D4130 E4090:F4090 E4094:F4094 F4089 F4091:F4093 F4095:F4097 F4126 F4128 F4130">
    <cfRule type="expression" priority="13965" dxfId="6424">
      <formula>$B4088="Subetapa"</formula>
    </cfRule>
  </conditionalFormatting>
  <conditionalFormatting sqref="C4098:C4103 D4098:F4098 D4099 D4100:F4100 D4101 D4102:F4102 D4103 F4099 F4101 F4103">
    <cfRule type="expression" priority="7822" dxfId="6434">
      <formula>$B4098="Subetapa"</formula>
    </cfRule>
  </conditionalFormatting>
  <conditionalFormatting sqref="D4105:D4106 F4105:F4106">
    <cfRule type="expression" priority="7828" dxfId="6434">
      <formula>$B4105="Subetapa"</formula>
    </cfRule>
  </conditionalFormatting>
  <conditionalFormatting sqref="D4108:D4109 F4108:F4109">
    <cfRule type="expression" priority="7831" dxfId="6434">
      <formula>$B4108="Subetapa"</formula>
    </cfRule>
  </conditionalFormatting>
  <conditionalFormatting sqref="C4122:C4124 D4122:F4122 D4123:D4124 F4123:F4124">
    <cfRule type="expression" priority="7812" dxfId="6433">
      <formula>$B4122="Serviço"</formula>
    </cfRule>
    <cfRule type="expression" priority="7813" dxfId="6434">
      <formula>$B4122="Subetapa"</formula>
    </cfRule>
  </conditionalFormatting>
  <conditionalFormatting sqref="C4131:C4132 D4131:F4131 D4132 F4132">
    <cfRule type="expression" priority="12337" dxfId="6424">
      <formula>$B4131="Subetapa"</formula>
    </cfRule>
  </conditionalFormatting>
  <conditionalFormatting sqref="E4160:F4160 F4161">
    <cfRule type="expression" priority="7788" dxfId="6433">
      <formula>$B4160="Serviço"</formula>
    </cfRule>
    <cfRule type="expression" priority="7789" dxfId="6434">
      <formula>$B4160="Subetapa"</formula>
    </cfRule>
  </conditionalFormatting>
  <conditionalFormatting sqref="C4245:C4248 D4245:F4245 D4246 D4247:F4247 D4248 F4246 F4248">
    <cfRule type="expression" priority="7759" dxfId="6433">
      <formula>$B4245="Serviço"</formula>
    </cfRule>
    <cfRule type="expression" priority="7760" dxfId="6434">
      <formula>$B4245="Subetapa"</formula>
    </cfRule>
  </conditionalFormatting>
  <conditionalFormatting sqref="B4291:B4295 C4291:D4291 F4291">
    <cfRule type="expression" priority="12002" dxfId="6424">
      <formula>$B4291="Subetapa"</formula>
    </cfRule>
  </conditionalFormatting>
  <conditionalFormatting sqref="C4297:C4301 C4304:C4321 D4297 D4298:F4298 D4299 D4300:F4300 D4301 D4304:F4304 D4305:D4307 D4308:F4308 D4309:D4310 D4311:F4311 D4312:D4314 D4315:F4315 D4316:D4321 F4297 F4299 F4301 F4305:F4307 F4309:F4310 F4312:F4314 F4316:F4321">
    <cfRule type="expression" priority="12075" dxfId="6424">
      <formula>$B4297="Subetapa"</formula>
    </cfRule>
  </conditionalFormatting>
  <conditionalFormatting sqref="C4358:C4370 D4358:F4358 D4359:D4360 D4361:F4361 D4362:D4365 D4366:F4366 D4367:D4370 F4359:F4360 F4362:F4365">
    <cfRule type="expression" priority="12064" dxfId="6424">
      <formula>$B4358="Subetapa"</formula>
    </cfRule>
  </conditionalFormatting>
  <conditionalFormatting sqref="C4458:F4458">
    <cfRule type="expression" priority="14035" dxfId="6424">
      <formula>$B4458="Subetapa"</formula>
    </cfRule>
  </conditionalFormatting>
  <conditionalFormatting sqref="C4482:C4488 D4482 D4483:F4483 D4484:D4485 D4486:F4486 D4487:D4488 F4482 F4484:F4485 F4487:F4488">
    <cfRule type="expression" priority="14036" dxfId="6424">
      <formula>$B4482="Subetapa"</formula>
    </cfRule>
  </conditionalFormatting>
  <conditionalFormatting sqref="C4508:C4511 C4513:C4516 C4518:C4542 D4495:F4495 D4498:F4498 D4499:D4502 D4503:F4503 D4504:D4506 D4508:F4508 D4509:D4511 D4513:F4513 D4514:D4516 D4518:F4518 D4519:D4522 D4523:F4523 D4524:D4527 D4528:F4528 D4529:D4532 D4533:F4533 D4534:D4537 D4538:F4538 D4539:D4542 F4499:F4502 F4504:F4507 F4509:F4512 F4514:F4517 F4519:F4522 F4524:F4527 F4529:F4532 F4534:F4537 F4539:F4542">
    <cfRule type="expression" priority="7722" dxfId="6433">
      <formula>$B4495="Serviço"</formula>
    </cfRule>
  </conditionalFormatting>
  <conditionalFormatting sqref="C4508:C4511 C4513:C4516 D4495:F4495 D4498:F4498 D4499:D4502 D4503:F4503 D4504:D4506 D4508:F4508 D4509:D4511 D4513:F4513 D4514:D4516 F4499:F4502 F4504:F4507 F4509:F4512 F4514:F4517">
    <cfRule type="expression" priority="7716" dxfId="6434">
      <formula>$B4495="Subetapa"</formula>
    </cfRule>
  </conditionalFormatting>
  <conditionalFormatting sqref="C4573:C4580 D4573:F4574 D4575 D4576:F4576 D4577 D4578:F4578 D4579 D4580:F4580 F4575 F4577 F4579">
    <cfRule type="expression" priority="12092" dxfId="6424">
      <formula>$B4573="Subetapa"</formula>
    </cfRule>
  </conditionalFormatting>
  <conditionalFormatting sqref="C4701:C4713 D4701:F4701 D4702:D4704 D4703:F4703 D4705:F4705 D4706 D4707:F4707 D4708 D4709:F4709 D4710 D4711:F4711 D4712 D4713:F4713 F4702 F4704 F4706 F4708 F4710 F4712">
    <cfRule type="expression" priority="11338" dxfId="6424">
      <formula>$B4701="Subetapa"</formula>
    </cfRule>
  </conditionalFormatting>
  <conditionalFormatting sqref="C4714:C4720 C4723:F4723 D4714 D4715:F4715 D4716 D4717:F4717 D4718 D4719:F4719 D4720 F4714 F4716 F4718 F4720">
    <cfRule type="expression" priority="14101" dxfId="6424">
      <formula>$B4714="Subetapa"</formula>
    </cfRule>
  </conditionalFormatting>
  <conditionalFormatting sqref="C4721:F4721">
    <cfRule type="expression" priority="11352" dxfId="6424">
      <formula>$B4721="Subetapa"</formula>
    </cfRule>
  </conditionalFormatting>
  <conditionalFormatting sqref="C4724:D4724 F4724">
    <cfRule type="expression" priority="13837" dxfId="6424">
      <formula>$B4724="Subetapa"</formula>
    </cfRule>
  </conditionalFormatting>
  <conditionalFormatting sqref="C4759:C4800 C4811:D4832 D4759:F4759 D4760:D4767 D4768:F4768 D4769:D4780 D4781:F4781 D4782:D4790 D4791:F4791 D4792:D4800 F4760:F4767 F4769:F4780 F4782:F4790 F4792:F4800">
    <cfRule type="expression" priority="13910" dxfId="6424">
      <formula>$B4759="Subetapa"</formula>
    </cfRule>
  </conditionalFormatting>
  <conditionalFormatting sqref="C4801:C4810 D4801:F4801 D4802:D4810 F4802">
    <cfRule type="expression" priority="7616" dxfId="6433">
      <formula>$B4801="Serviço"</formula>
    </cfRule>
    <cfRule type="expression" priority="7617" dxfId="6434">
      <formula>$B4801="Subetapa"</formula>
    </cfRule>
  </conditionalFormatting>
  <conditionalFormatting sqref="C4839:F4839">
    <cfRule type="expression" priority="14045" dxfId="6424">
      <formula>$B4839="Subetapa"</formula>
    </cfRule>
  </conditionalFormatting>
  <conditionalFormatting sqref="D4864:F4874">
    <cfRule type="expression" priority="14049" dxfId="6424">
      <formula>$B4864="Subetapa"</formula>
    </cfRule>
  </conditionalFormatting>
  <conditionalFormatting sqref="C4875:F4875">
    <cfRule type="expression" priority="14587" dxfId="6424">
      <formula>$B4875="Subetapa"</formula>
    </cfRule>
  </conditionalFormatting>
  <conditionalFormatting sqref="D4876:D4877 F4876:F4877">
    <cfRule type="expression" priority="14582" dxfId="6424">
      <formula>$B4876="Subetapa"</formula>
    </cfRule>
  </conditionalFormatting>
  <conditionalFormatting sqref="B263:C265 B267:F267 B269:F269 B304:B314 B320:B322 B3629:C3639 C2754:F2754 C2756:F2756 C3145:D3146 C3175:C3176 C3191:C3193 C3209:F3209 C3239:F3239 C3251:F3251 C3255:F3255 C3581:F3581 C3583:D3584 C3660:D3661 C3957:F3957 C3968:F3968 C4725:F4725 C4880:F4880 C4923:C4928 D263:F263 D264 D265:F265 D3175:F3175 D3176 D3191:F3191 D3192 D3193:F3193 D3629:F3629 D3630:D3631 D3632:F3632 D3633:D3635 D3636:F3636 D3637:D3639 D4923:F4923 D4924:D4927 D4928:F4928 F264 F3145:F3146 F3176 F3192 F3194 F3582:F3584 F3630:F3631 F3633:F3635 F3637:F3639 F3659:F3661 F4924:F4927">
    <cfRule type="expression" priority="14387" dxfId="6424">
      <formula>$B263="Subetapa"</formula>
    </cfRule>
  </conditionalFormatting>
  <conditionalFormatting sqref="C4918:C4922 D4918:F4918 D4919:D4922 F4919:F4922">
    <cfRule type="expression" priority="7604" dxfId="6433">
      <formula>$B4918="Serviço"</formula>
    </cfRule>
    <cfRule type="expression" priority="7605" dxfId="6434">
      <formula>$B4918="Subetapa"</formula>
    </cfRule>
  </conditionalFormatting>
  <conditionalFormatting sqref="C4976:C4983 D4976:F4976 D4977:D4979 D4980:F4980 D4981:D4983 F4977:F4979 F4981:F4983">
    <cfRule type="expression" priority="7841" dxfId="6433">
      <formula>$B4976="Serviço"</formula>
    </cfRule>
    <cfRule type="expression" priority="7842" dxfId="6434">
      <formula>$B4976="Subetapa"</formula>
    </cfRule>
  </conditionalFormatting>
  <conditionalFormatting sqref="C1186:C1197 D1186:H1186 D1187:D1197 F1187:F1197 G2526:H2526 G2612:H2612 G2617:H2617 G2622:H2622 G2627:H2627 G2632:H2632 G2962:H2962 G3215:H3215 G3223:H3223 G3225:H3225 G3229:H3229 G3235:H3235 G3239:H3239 G3251:H3251 G3255:H3255 G3260:H3260 G3285:H3285 G3311:H3311 G3316:H3316 G3320:H3320 G3340:H3340 G3345:H3345 G3551:H3551 G3689:H3689 G3694:H3694 G4211:H4211 G4214:H4214 G4249:H4249 G4251:H4251 G4253:H4253 G4255:H4255 G4257:H4257 G4259:H4259 G4262:H4262 G4268:H4268 G4270:H4270">
    <cfRule type="expression" priority="6292" dxfId="6424">
      <formula>$B1186="Subetapa"</formula>
    </cfRule>
  </conditionalFormatting>
  <conditionalFormatting sqref="C1386:C1396 C1535:H1535 D1386:H1386 D1387:D1396 F1387:F1396 G1541:H1541">
    <cfRule type="expression" priority="7058" dxfId="6424">
      <formula>$B1386="Subetapa"</formula>
    </cfRule>
  </conditionalFormatting>
  <conditionalFormatting sqref="C2768:H2768">
    <cfRule type="expression" priority="6991" dxfId="6424">
      <formula>$B2768="Subetapa"</formula>
    </cfRule>
  </conditionalFormatting>
  <conditionalFormatting sqref="C2876:H2876">
    <cfRule type="expression" priority="6990" dxfId="6424">
      <formula>$B2876="Subetapa"</formula>
    </cfRule>
  </conditionalFormatting>
  <conditionalFormatting sqref="C4598:C4609 D4598:H4598 D4599:D4602 D4603:H4603 D4604 D4605:H4605 D4606:D4609 F4599:F4602 F4604 F4606:F4609">
    <cfRule type="expression" priority="5981" dxfId="6424">
      <formula>$B4598="Subetapa"</formula>
    </cfRule>
  </conditionalFormatting>
  <conditionalFormatting sqref="C3848:D3848 E3846 F3848">
    <cfRule type="expression" priority="12113" dxfId="6424">
      <formula>$B3846="Subetapa"</formula>
    </cfRule>
  </conditionalFormatting>
  <conditionalFormatting sqref="D3980:D3981">
    <cfRule type="expression" priority="8316" dxfId="6434">
      <formula>$B3980="Subetapa"</formula>
    </cfRule>
  </conditionalFormatting>
  <conditionalFormatting sqref="E4750 E4759">
    <cfRule type="containsText" priority="14128" operator="containsText" dxfId="8799" text="INSERIR">
      <formula>NOT(ISERROR(SEARCH(("INSERIR"),(E4750))))</formula>
    </cfRule>
  </conditionalFormatting>
  <conditionalFormatting sqref="E4863">
    <cfRule type="containsText" priority="14129" operator="containsText" dxfId="8799" text="INSERIR">
      <formula>NOT(ISERROR(SEARCH(("INSERIR"),(E4863))))</formula>
    </cfRule>
  </conditionalFormatting>
  <conditionalFormatting sqref="B3065:B3088 B3093:B3096 C345:F348 C378:D382 C504:D508 C654:D656 C982:D988 C2170:C2174 C2390:C2399 C2526:F2526 C2612:F2612 C2614:C2621 C3065:C3096 C3099:C3106 C3108:F3112 C3849:C3850 C3938:F3938 C3944:D3944 C4750:E4750 C4894:D4894 C4984:C4996 D2170:F2173 D2174 D2390:F2390 D2391:D2394 D2395:F2395 D2396:D2399 D2614:D2616 D2617:F2617 D2618:D2621 D3065:F3089 D3090:D3092 D3093:F3096 D3099:F3099 D3100:D3102 D3103:F3106 D3849:F3849 D3850 D4984:F4984 D4985:D4987 D4988:F4988 D4989 D4990:F4996 E378:F383 E504:F509 E654:F657 E2174:F2175 E2783:F2783 E2784 E2785:F2785 E4726 E4734 E4742 E4811:E4831 E4832:F4834 E4835:E4838 E4878:F4879 E4881:F4917 E4942:E4975 E4997:F5010 F2786:F2787 F3090:F3092 F3100:F3102 F3850 F3944 F4726:F4750 F4811:F4830 F4835:F4836 F4966 F4968:F4970 F4985:F4987 F4989">
    <cfRule type="expression" priority="14056" dxfId="6424">
      <formula>$B345="Subetapa"</formula>
    </cfRule>
  </conditionalFormatting>
  <conditionalFormatting sqref="E287:F287 F288">
    <cfRule type="expression" priority="9745" dxfId="6434">
      <formula>$B287="Subetapa"</formula>
    </cfRule>
  </conditionalFormatting>
  <conditionalFormatting sqref="E289:F289">
    <cfRule type="expression" priority="9747" dxfId="6434">
      <formula>$B289="Subetapa"</formula>
    </cfRule>
  </conditionalFormatting>
  <conditionalFormatting sqref="E291:F291">
    <cfRule type="expression" priority="9749" dxfId="6434">
      <formula>$B291="Subetapa"</formula>
    </cfRule>
  </conditionalFormatting>
  <conditionalFormatting sqref="E293:F293">
    <cfRule type="expression" priority="9751" dxfId="6434">
      <formula>$B293="Subetapa"</formula>
    </cfRule>
  </conditionalFormatting>
  <conditionalFormatting sqref="E295:F295">
    <cfRule type="expression" priority="9761" dxfId="6434">
      <formula>$B295="Subetapa"</formula>
    </cfRule>
  </conditionalFormatting>
  <conditionalFormatting sqref="B664 F662:F664">
    <cfRule type="expression" priority="9682" dxfId="6433">
      <formula>$B662="Serviço"</formula>
    </cfRule>
  </conditionalFormatting>
  <conditionalFormatting sqref="B872 B875 B878 B899 B905:B906 B990:F990 B994:F994 B1003:B1009 B1014 B1018 B1652:B1661 B1664:B1672 B1823:D1823 B1826:B1835 B1838:B1841 B2108:B2111 B2691:F2691 B3310:F3310 B3714:F3714 B4022:F4022 B4278:F4278 B4304:B4307 B4322:F4322 C870:C878 C897:C901 C1003:D1010 C1014:F1015 C1017:C1018 C1662:D1672 C1686:C1697 C1722:D1722 C1733:D1733 C1753:D1753 C1756:D1756 C1765:D1765 C1768:D1768 C1777:D1777 C1800:D1800 C1803:D1803 C1825:D1835 C1837:D1841 C1906:D1906 C2006:D2006 C2140:C2143 C2337:F2337 C2710:C2715 C3365:C3374 C3380:C3409 C3411:C3424 C3450:C3454 C3470:C3484 C4133:C4134 D870:F870 D871:D872 D873:F873 D874:D875 D876:F876 D877:D878 D897:F897 D898:D901 D1017:F1017 D1018 D1686:F1686 D1687:D1697 D2140:F2140 D2141 D2142:F2142 D2143 D2710:F2710 D2711:D2714 D2715:F2715 D3365:F3365 D3366:D3369 D3370:F3370 D3371:D3374 D3380:F3380 D3381:D3384 D3385:F3385 D3386:D3389 D3390:F3390 D3391:D3394 D3395:F3395 D3396:D3399 D3400:F3400 D3401:D3404 D3405:F3405 D3406:D3409 D3411:D3414 D3415:F3415 D3416:D3419 D3420:F3420 D3421:D3424 D3450:F3450 D3451:D3454 D3470:F3470 D3471:D3474 D3475:F3475 D3476:D3479 D3480:F3480 D3481:D3484 D4133:F4133 D4134 E867:F867 E900:F900 F868:F869 F871:F872 F874:F875 F877:F878 F898:F899 F901:F902 F1018 F1687:F1697 F1753 F1765 F1777 F1800 F1815:F1823 F2141 F2143 F2711:F2714 F3451:F3454 F3471:F3474 F3476:F3479 F3481:F3484 F4134 G4304:H4304">
    <cfRule type="expression" priority="13559" dxfId="6424">
      <formula>$B867="Subetapa"</formula>
    </cfRule>
  </conditionalFormatting>
  <conditionalFormatting sqref="E957:F957 E960:F960 F958:F959 F961:F962">
    <cfRule type="expression" priority="14140" dxfId="6424">
      <formula>$B957="Subetapa"</formula>
    </cfRule>
  </conditionalFormatting>
  <conditionalFormatting sqref="E964:F964 E967:F967 F965:F966 F968:F969">
    <cfRule type="expression" priority="11906" dxfId="6424">
      <formula>$B964="Subetapa"</formula>
    </cfRule>
  </conditionalFormatting>
  <conditionalFormatting sqref="E971:F971 F972:F973 F975:F976">
    <cfRule type="expression" priority="14142" dxfId="6424">
      <formula>$B971="Subetapa"</formula>
    </cfRule>
  </conditionalFormatting>
  <conditionalFormatting sqref="E974:F974">
    <cfRule type="expression" priority="14397" dxfId="6424">
      <formula>$B974="Subetapa"</formula>
    </cfRule>
  </conditionalFormatting>
  <conditionalFormatting sqref="F1346:F1347">
    <cfRule type="expression" priority="9476" dxfId="6434">
      <formula>$B1346="Subetapa"</formula>
    </cfRule>
  </conditionalFormatting>
  <conditionalFormatting sqref="F1837:F1842">
    <cfRule type="expression" priority="13280" dxfId="6424">
      <formula>$B1837="Subetapa"</formula>
    </cfRule>
  </conditionalFormatting>
  <conditionalFormatting sqref="F1868:F1869">
    <cfRule type="expression" priority="11715" dxfId="6424">
      <formula>$B1868="Subetapa"</formula>
    </cfRule>
  </conditionalFormatting>
  <conditionalFormatting sqref="F1881:F1891">
    <cfRule type="expression" priority="11717" dxfId="6424">
      <formula>$B1881="Subetapa"</formula>
    </cfRule>
  </conditionalFormatting>
  <conditionalFormatting sqref="F1893:F1894 F1896:F1904">
    <cfRule type="expression" priority="11711" dxfId="6424">
      <formula>$B1893="Subetapa"</formula>
    </cfRule>
  </conditionalFormatting>
  <conditionalFormatting sqref="F1918">
    <cfRule type="expression" priority="11699" dxfId="6424">
      <formula>$B1918="Subetapa"</formula>
    </cfRule>
  </conditionalFormatting>
  <conditionalFormatting sqref="F1930:F1931">
    <cfRule type="expression" priority="11693" dxfId="6424">
      <formula>$B1930="Subetapa"</formula>
    </cfRule>
  </conditionalFormatting>
  <conditionalFormatting sqref="F1943:F1944">
    <cfRule type="expression" priority="11689" dxfId="6424">
      <formula>$B1943="Subetapa"</formula>
    </cfRule>
  </conditionalFormatting>
  <conditionalFormatting sqref="F1956:F1957">
    <cfRule type="expression" priority="11685" dxfId="6424">
      <formula>$B1956="Subetapa"</formula>
    </cfRule>
  </conditionalFormatting>
  <conditionalFormatting sqref="F1969:F1970">
    <cfRule type="expression" priority="11681" dxfId="6424">
      <formula>$B1969="Subetapa"</formula>
    </cfRule>
  </conditionalFormatting>
  <conditionalFormatting sqref="F1982">
    <cfRule type="expression" priority="11677" dxfId="6424">
      <formula>$B1982="Subetapa"</formula>
    </cfRule>
  </conditionalFormatting>
  <conditionalFormatting sqref="F1983">
    <cfRule type="expression" priority="13124" dxfId="6424">
      <formula>$B1983="Subetapa"</formula>
    </cfRule>
  </conditionalFormatting>
  <conditionalFormatting sqref="F1994">
    <cfRule type="expression" priority="11671" dxfId="6424">
      <formula>$B1994="Subetapa"</formula>
    </cfRule>
  </conditionalFormatting>
  <conditionalFormatting sqref="F1995">
    <cfRule type="expression" priority="13106" dxfId="6424">
      <formula>$B1995="Subetapa"</formula>
    </cfRule>
  </conditionalFormatting>
  <conditionalFormatting sqref="F2008:F2016">
    <cfRule type="expression" priority="11707" dxfId="6424">
      <formula>$B2008="Subetapa"</formula>
    </cfRule>
  </conditionalFormatting>
  <conditionalFormatting sqref="F2030:F2040">
    <cfRule type="expression" priority="13072" dxfId="6424">
      <formula>$B2030="Subetapa"</formula>
    </cfRule>
  </conditionalFormatting>
  <conditionalFormatting sqref="F2106">
    <cfRule type="expression" priority="11637" dxfId="6424">
      <formula>$B2106="Subetapa"</formula>
    </cfRule>
  </conditionalFormatting>
  <conditionalFormatting sqref="F2107">
    <cfRule type="expression" priority="12952" dxfId="6424">
      <formula>$B2107="Subetapa"</formula>
    </cfRule>
  </conditionalFormatting>
  <conditionalFormatting sqref="F2113">
    <cfRule type="expression" priority="11631" dxfId="6424">
      <formula>$B2113="Subetapa"</formula>
    </cfRule>
  </conditionalFormatting>
  <conditionalFormatting sqref="F2114">
    <cfRule type="expression" priority="12932" dxfId="6424">
      <formula>$B2114="Subetapa"</formula>
    </cfRule>
  </conditionalFormatting>
  <conditionalFormatting sqref="F2120">
    <cfRule type="expression" priority="11625" dxfId="6424">
      <formula>$B2120="Subetapa"</formula>
    </cfRule>
  </conditionalFormatting>
  <conditionalFormatting sqref="F2121">
    <cfRule type="expression" priority="12912" dxfId="6424">
      <formula>$B2121="Subetapa"</formula>
    </cfRule>
  </conditionalFormatting>
  <conditionalFormatting sqref="F2127">
    <cfRule type="expression" priority="11619" dxfId="6424">
      <formula>$B2127="Subetapa"</formula>
    </cfRule>
  </conditionalFormatting>
  <conditionalFormatting sqref="F2128">
    <cfRule type="expression" priority="12892" dxfId="6424">
      <formula>$B2128="Subetapa"</formula>
    </cfRule>
  </conditionalFormatting>
  <conditionalFormatting sqref="F2134">
    <cfRule type="expression" priority="11613" dxfId="6424">
      <formula>$B2134="Subetapa"</formula>
    </cfRule>
  </conditionalFormatting>
  <conditionalFormatting sqref="F2135">
    <cfRule type="expression" priority="12872" dxfId="6424">
      <formula>$B2135="Subetapa"</formula>
    </cfRule>
  </conditionalFormatting>
  <conditionalFormatting sqref="E2333:F2333 E2335:F2335 F2334 F2336">
    <cfRule type="expression" priority="12843" dxfId="6424">
      <formula>$B2333="Subetapa"</formula>
    </cfRule>
  </conditionalFormatting>
  <conditionalFormatting sqref="E2356:F2356">
    <cfRule type="expression" priority="12827" dxfId="6424">
      <formula>$B2356="Subetapa"</formula>
    </cfRule>
  </conditionalFormatting>
  <conditionalFormatting sqref="F2757:F2759">
    <cfRule type="expression" priority="10028" dxfId="6424">
      <formula>$B2757="Subetapa"</formula>
    </cfRule>
  </conditionalFormatting>
  <conditionalFormatting sqref="F2761:F2764">
    <cfRule type="expression" priority="10039" dxfId="6424">
      <formula>$B2761="Subetapa"</formula>
    </cfRule>
  </conditionalFormatting>
  <conditionalFormatting sqref="F2769">
    <cfRule type="expression" priority="10050" dxfId="6424">
      <formula>$B2769="Subetapa"</formula>
    </cfRule>
  </conditionalFormatting>
  <conditionalFormatting sqref="E2770:F2770">
    <cfRule type="expression" priority="10077" dxfId="6424">
      <formula>$B2770="Subetapa"</formula>
    </cfRule>
  </conditionalFormatting>
  <conditionalFormatting sqref="F2771">
    <cfRule type="expression" priority="10061" dxfId="6424">
      <formula>$B2771="Subetapa"</formula>
    </cfRule>
  </conditionalFormatting>
  <conditionalFormatting sqref="E2772:F2772">
    <cfRule type="expression" priority="11558" dxfId="6424">
      <formula>$B2772="Subetapa"</formula>
    </cfRule>
  </conditionalFormatting>
  <conditionalFormatting sqref="F3863">
    <cfRule type="expression" priority="12247" dxfId="6424">
      <formula>$B3863="Subetapa"</formula>
    </cfRule>
  </conditionalFormatting>
  <conditionalFormatting sqref="E3883:F3883">
    <cfRule type="expression" priority="12222" dxfId="6424">
      <formula>$B3883="Subetapa"</formula>
    </cfRule>
  </conditionalFormatting>
  <conditionalFormatting sqref="E3894:F3894">
    <cfRule type="expression" priority="12209" dxfId="6424">
      <formula>$B3894="Subetapa"</formula>
    </cfRule>
  </conditionalFormatting>
  <conditionalFormatting sqref="E3905:F3905">
    <cfRule type="expression" priority="12196" dxfId="6424">
      <formula>$B3905="Subetapa"</formula>
    </cfRule>
  </conditionalFormatting>
  <conditionalFormatting sqref="E3916:F3916">
    <cfRule type="expression" priority="12183" dxfId="6424">
      <formula>$B3916="Subetapa"</formula>
    </cfRule>
  </conditionalFormatting>
  <conditionalFormatting sqref="E3927:F3927">
    <cfRule type="expression" priority="12170" dxfId="6424">
      <formula>$B3927="Subetapa"</formula>
    </cfRule>
  </conditionalFormatting>
  <conditionalFormatting sqref="E4107:F4107">
    <cfRule type="expression" priority="7836" dxfId="6434">
      <formula>$B4107="Subetapa"</formula>
    </cfRule>
  </conditionalFormatting>
  <conditionalFormatting sqref="E4292:F4292 E4294:F4294 F4293 F4295">
    <cfRule type="expression" priority="12086" dxfId="6424">
      <formula>$B4292="Subetapa"</formula>
    </cfRule>
  </conditionalFormatting>
  <conditionalFormatting sqref="E4296:F4296">
    <cfRule type="expression" priority="12079" dxfId="6424">
      <formula>$B4296="Subetapa"</formula>
    </cfRule>
  </conditionalFormatting>
  <conditionalFormatting sqref="F4803:F4810">
    <cfRule type="expression" priority="7610" dxfId="6433">
      <formula>$B4803="Serviço"</formula>
    </cfRule>
    <cfRule type="expression" priority="7611" dxfId="6434">
      <formula>$B4803="Subetapa"</formula>
    </cfRule>
  </conditionalFormatting>
  <conditionalFormatting sqref="E4932:F4932 E4936:F4936 F4929:F4931 F4933:F4935 F4937:F4938">
    <cfRule type="expression" priority="14135" dxfId="6424">
      <formula>$B4929="Subetapa"</formula>
    </cfRule>
  </conditionalFormatting>
  <conditionalFormatting sqref="F1844:F1854">
    <cfRule type="expression" priority="6140" dxfId="6424">
      <formula>$B1844="Subetapa"</formula>
    </cfRule>
  </conditionalFormatting>
  <conditionalFormatting sqref="F1856:F1866">
    <cfRule type="expression" priority="6136" dxfId="6424">
      <formula>$B1856="Subetapa"</formula>
    </cfRule>
  </conditionalFormatting>
  <conditionalFormatting sqref="F1908:F1916">
    <cfRule type="expression" priority="6122" dxfId="6424">
      <formula>$B1908="Subetapa"</formula>
    </cfRule>
  </conditionalFormatting>
  <conditionalFormatting sqref="F1920:F1928">
    <cfRule type="expression" priority="6118" dxfId="6424">
      <formula>$B1920="Subetapa"</formula>
    </cfRule>
  </conditionalFormatting>
  <conditionalFormatting sqref="F1984:F1992">
    <cfRule type="expression" priority="6106" dxfId="6424">
      <formula>$B1984="Subetapa"</formula>
    </cfRule>
  </conditionalFormatting>
  <conditionalFormatting sqref="F1996:F2004">
    <cfRule type="expression" priority="6102" dxfId="6424">
      <formula>$B1996="Subetapa"</formula>
    </cfRule>
  </conditionalFormatting>
  <conditionalFormatting sqref="F2018:F2028">
    <cfRule type="expression" priority="6098" dxfId="6424">
      <formula>$B2018="Subetapa"</formula>
    </cfRule>
  </conditionalFormatting>
  <conditionalFormatting sqref="F2042:F2052">
    <cfRule type="expression" priority="6091" dxfId="6424">
      <formula>$B2042="Subetapa"</formula>
    </cfRule>
  </conditionalFormatting>
  <conditionalFormatting sqref="F2054:F2065">
    <cfRule type="expression" priority="6085" dxfId="6424">
      <formula>$B2054="Subetapa"</formula>
    </cfRule>
  </conditionalFormatting>
  <conditionalFormatting sqref="F2067:F2078">
    <cfRule type="expression" priority="6081" dxfId="6424">
      <formula>$B2067="Subetapa"</formula>
    </cfRule>
  </conditionalFormatting>
  <conditionalFormatting sqref="F2080:F2091">
    <cfRule type="expression" priority="6077" dxfId="6424">
      <formula>$B2080="Subetapa"</formula>
    </cfRule>
  </conditionalFormatting>
  <conditionalFormatting sqref="F2093:F2104">
    <cfRule type="expression" priority="6073" dxfId="6424">
      <formula>$B2093="Subetapa"</formula>
    </cfRule>
  </conditionalFormatting>
  <conditionalFormatting sqref="F2115:F2118">
    <cfRule type="expression" priority="6068" dxfId="6424">
      <formula>$B2115="Subetapa"</formula>
    </cfRule>
  </conditionalFormatting>
  <conditionalFormatting sqref="F2122:F2125">
    <cfRule type="expression" priority="6064" dxfId="6424">
      <formula>$B2122="Subetapa"</formula>
    </cfRule>
  </conditionalFormatting>
  <conditionalFormatting sqref="F2129:F2132">
    <cfRule type="expression" priority="6060" dxfId="6424">
      <formula>$B2129="Subetapa"</formula>
    </cfRule>
  </conditionalFormatting>
  <conditionalFormatting sqref="F2136:F2139">
    <cfRule type="expression" priority="6056" dxfId="6424">
      <formula>$B2136="Subetapa"</formula>
    </cfRule>
  </conditionalFormatting>
  <conditionalFormatting sqref="F815:F821">
    <cfRule type="expression" priority="9645" dxfId="6433">
      <formula>$B815="Serviço"</formula>
    </cfRule>
    <cfRule type="expression" priority="9646" dxfId="6434">
      <formula>$B815="Subetapa"</formula>
    </cfRule>
  </conditionalFormatting>
  <conditionalFormatting sqref="F816:F823">
    <cfRule type="expression" priority="9639" dxfId="6433">
      <formula>$B816="Serviço"</formula>
    </cfRule>
    <cfRule type="expression" priority="9640" dxfId="6434">
      <formula>$B816="Subetapa"</formula>
    </cfRule>
  </conditionalFormatting>
  <conditionalFormatting sqref="F1177:F1183">
    <cfRule type="expression" priority="9579" dxfId="6434">
      <formula>$B1177="Subetapa"</formula>
    </cfRule>
  </conditionalFormatting>
  <conditionalFormatting sqref="F1184:F1185">
    <cfRule type="expression" priority="9577" dxfId="6434">
      <formula>$B1184="Subetapa"</formula>
    </cfRule>
  </conditionalFormatting>
  <conditionalFormatting sqref="F1200:F1206">
    <cfRule type="expression" priority="9538" dxfId="6434">
      <formula>$B1200="Subetapa"</formula>
    </cfRule>
  </conditionalFormatting>
  <conditionalFormatting sqref="F1207:F1208">
    <cfRule type="expression" priority="9536" dxfId="6434">
      <formula>$B1207="Subetapa"</formula>
    </cfRule>
  </conditionalFormatting>
  <conditionalFormatting sqref="F1218:F1219">
    <cfRule type="expression" priority="9539" dxfId="6434">
      <formula>$B1218="Subetapa"</formula>
    </cfRule>
  </conditionalFormatting>
  <conditionalFormatting sqref="F1256:F1263">
    <cfRule type="expression" priority="9501" dxfId="6434">
      <formula>$B1256="Subetapa"</formula>
    </cfRule>
  </conditionalFormatting>
  <conditionalFormatting sqref="F1264:F1265">
    <cfRule type="expression" priority="9499" dxfId="6434">
      <formula>$B1264="Subetapa"</formula>
    </cfRule>
  </conditionalFormatting>
  <conditionalFormatting sqref="F1302:F1308">
    <cfRule type="expression" priority="9486" dxfId="6434">
      <formula>$B1302="Subetapa"</formula>
    </cfRule>
  </conditionalFormatting>
  <conditionalFormatting sqref="F1302:F1310">
    <cfRule type="expression" priority="9485" dxfId="6433">
      <formula>$B1302="Serviço"</formula>
    </cfRule>
  </conditionalFormatting>
  <conditionalFormatting sqref="F1309:F1310">
    <cfRule type="expression" priority="9484" dxfId="6434">
      <formula>$B1309="Subetapa"</formula>
    </cfRule>
  </conditionalFormatting>
  <conditionalFormatting sqref="F1312:F1319">
    <cfRule type="expression" priority="9483" dxfId="6434">
      <formula>$B1312="Subetapa"</formula>
    </cfRule>
  </conditionalFormatting>
  <conditionalFormatting sqref="F1320:F1321">
    <cfRule type="expression" priority="9481" dxfId="6434">
      <formula>$B1320="Subetapa"</formula>
    </cfRule>
  </conditionalFormatting>
  <conditionalFormatting sqref="F1358:F1359">
    <cfRule type="expression" priority="9534" dxfId="6433">
      <formula>$B1358="Serviço"</formula>
    </cfRule>
  </conditionalFormatting>
  <conditionalFormatting sqref="F1358:F1360">
    <cfRule type="expression" priority="9535" dxfId="6434">
      <formula>$B1358="Subetapa"</formula>
    </cfRule>
  </conditionalFormatting>
  <conditionalFormatting sqref="F1360">
    <cfRule type="expression" priority="9544" dxfId="6433">
      <formula>$B1360="Serviço"</formula>
    </cfRule>
  </conditionalFormatting>
  <conditionalFormatting sqref="F1361">
    <cfRule type="expression" priority="9532" dxfId="6434">
      <formula>$B1361="Subetapa"</formula>
    </cfRule>
    <cfRule type="expression" priority="9533" dxfId="6433">
      <formula>$B1361="Serviço"</formula>
    </cfRule>
  </conditionalFormatting>
  <conditionalFormatting sqref="F1364:F1365">
    <cfRule type="expression" priority="9529" dxfId="6433">
      <formula>$B1364="Serviço"</formula>
    </cfRule>
  </conditionalFormatting>
  <conditionalFormatting sqref="F1364:F1366">
    <cfRule type="expression" priority="9530" dxfId="6434">
      <formula>$B1364="Subetapa"</formula>
    </cfRule>
  </conditionalFormatting>
  <conditionalFormatting sqref="F1366">
    <cfRule type="expression" priority="9531" dxfId="6433">
      <formula>$B1366="Serviço"</formula>
    </cfRule>
  </conditionalFormatting>
  <conditionalFormatting sqref="F1367">
    <cfRule type="expression" priority="9527" dxfId="6434">
      <formula>$B1367="Subetapa"</formula>
    </cfRule>
    <cfRule type="expression" priority="9528" dxfId="6433">
      <formula>$B1367="Serviço"</formula>
    </cfRule>
  </conditionalFormatting>
  <conditionalFormatting sqref="F1369:F1371">
    <cfRule type="expression" priority="9524" dxfId="6433">
      <formula>$B1369="Serviço"</formula>
    </cfRule>
  </conditionalFormatting>
  <conditionalFormatting sqref="F1369:F1372">
    <cfRule type="expression" priority="9525" dxfId="6434">
      <formula>$B1369="Subetapa"</formula>
    </cfRule>
  </conditionalFormatting>
  <conditionalFormatting sqref="F1372">
    <cfRule type="expression" priority="9526" dxfId="6433">
      <formula>$B1372="Serviço"</formula>
    </cfRule>
  </conditionalFormatting>
  <conditionalFormatting sqref="F1373">
    <cfRule type="expression" priority="9522" dxfId="6434">
      <formula>$B1373="Subetapa"</formula>
    </cfRule>
    <cfRule type="expression" priority="9523" dxfId="6433">
      <formula>$B1373="Serviço"</formula>
    </cfRule>
  </conditionalFormatting>
  <conditionalFormatting sqref="F1376:F1382">
    <cfRule type="expression" priority="9511" dxfId="6434">
      <formula>$B1376="Subetapa"</formula>
    </cfRule>
  </conditionalFormatting>
  <conditionalFormatting sqref="F1383:F1384">
    <cfRule type="expression" priority="9509" dxfId="6434">
      <formula>$B1383="Subetapa"</formula>
    </cfRule>
  </conditionalFormatting>
  <conditionalFormatting sqref="F2225">
    <cfRule type="expression" priority="9984" dxfId="6433">
      <formula>$B2225="Serviço"</formula>
    </cfRule>
    <cfRule type="expression" priority="9985" dxfId="6434">
      <formula>$B2225="Subetapa"</formula>
    </cfRule>
  </conditionalFormatting>
  <conditionalFormatting sqref="F2227">
    <cfRule type="expression" priority="9990" dxfId="6433">
      <formula>$B2227="Serviço"</formula>
    </cfRule>
    <cfRule type="expression" priority="9991" dxfId="6434">
      <formula>$B2227="Subetapa"</formula>
    </cfRule>
  </conditionalFormatting>
  <conditionalFormatting sqref="F2229">
    <cfRule type="expression" priority="9994" dxfId="6433">
      <formula>$B2229="Serviço"</formula>
    </cfRule>
    <cfRule type="expression" priority="9995" dxfId="6434">
      <formula>$B2229="Subetapa"</formula>
    </cfRule>
  </conditionalFormatting>
  <conditionalFormatting sqref="F2231">
    <cfRule type="expression" priority="9978" dxfId="6433">
      <formula>$B2231="Serviço"</formula>
    </cfRule>
    <cfRule type="expression" priority="9979" dxfId="6434">
      <formula>$B2231="Subetapa"</formula>
    </cfRule>
  </conditionalFormatting>
  <conditionalFormatting sqref="F2235">
    <cfRule type="expression" priority="9986" dxfId="6433">
      <formula>$B2235="Serviço"</formula>
    </cfRule>
    <cfRule type="expression" priority="9987" dxfId="6434">
      <formula>$B2235="Subetapa"</formula>
    </cfRule>
  </conditionalFormatting>
  <conditionalFormatting sqref="F2332">
    <cfRule type="expression" priority="14532" dxfId="6424">
      <formula>$B2332="Subetapa"</formula>
    </cfRule>
  </conditionalFormatting>
  <conditionalFormatting sqref="F2375:F2378 F2608:F2611 F3190 F3244:F3246 F3291:F3294 F3296:F3299 F3301:F3304 F3306:F3309 F3557:F3560">
    <cfRule type="expression" priority="9424" dxfId="6433">
      <formula>$A2375="Serviço"</formula>
    </cfRule>
    <cfRule type="expression" priority="9425" dxfId="6434">
      <formula>$A2375="Subetapa"</formula>
    </cfRule>
  </conditionalFormatting>
  <conditionalFormatting sqref="F2471:F2474">
    <cfRule type="expression" priority="9369" dxfId="6433">
      <formula>$A2471="Serviço"</formula>
    </cfRule>
    <cfRule type="expression" priority="9370" dxfId="6434">
      <formula>$A2471="Subetapa"</formula>
    </cfRule>
  </conditionalFormatting>
  <conditionalFormatting sqref="F2476:F2479">
    <cfRule type="expression" priority="9337" dxfId="6433">
      <formula>$A2476="Serviço"</formula>
    </cfRule>
    <cfRule type="expression" priority="9338" dxfId="6434">
      <formula>$A2476="Subetapa"</formula>
    </cfRule>
  </conditionalFormatting>
  <conditionalFormatting sqref="F2481:F2484">
    <cfRule type="expression" priority="9340" dxfId="6433">
      <formula>$A2481="Serviço"</formula>
    </cfRule>
    <cfRule type="expression" priority="9341" dxfId="6434">
      <formula>$A2481="Subetapa"</formula>
    </cfRule>
  </conditionalFormatting>
  <conditionalFormatting sqref="F2486:F2489">
    <cfRule type="expression" priority="9364" dxfId="6433">
      <formula>$A2486="Serviço"</formula>
    </cfRule>
    <cfRule type="expression" priority="9365" dxfId="6434">
      <formula>$A2486="Subetapa"</formula>
    </cfRule>
  </conditionalFormatting>
  <conditionalFormatting sqref="F2491:F2494">
    <cfRule type="expression" priority="9351" dxfId="6433">
      <formula>$A2491="Serviço"</formula>
    </cfRule>
    <cfRule type="expression" priority="9352" dxfId="6434">
      <formula>$A2491="Subetapa"</formula>
    </cfRule>
  </conditionalFormatting>
  <conditionalFormatting sqref="F2496:F2499">
    <cfRule type="expression" priority="9354" dxfId="6433">
      <formula>$A2496="Serviço"</formula>
    </cfRule>
    <cfRule type="expression" priority="9355" dxfId="6434">
      <formula>$A2496="Subetapa"</formula>
    </cfRule>
  </conditionalFormatting>
  <conditionalFormatting sqref="F2501:F2504">
    <cfRule type="expression" priority="9342" dxfId="6433">
      <formula>$A2501="Serviço"</formula>
    </cfRule>
    <cfRule type="expression" priority="9343" dxfId="6434">
      <formula>$A2501="Subetapa"</formula>
    </cfRule>
  </conditionalFormatting>
  <conditionalFormatting sqref="F2506:F2509">
    <cfRule type="expression" priority="9345" dxfId="6433">
      <formula>$A2506="Serviço"</formula>
    </cfRule>
    <cfRule type="expression" priority="9346" dxfId="6434">
      <formula>$A2506="Subetapa"</formula>
    </cfRule>
  </conditionalFormatting>
  <conditionalFormatting sqref="F2511:F2514">
    <cfRule type="expression" priority="9357" dxfId="6433">
      <formula>$A2511="Serviço"</formula>
    </cfRule>
    <cfRule type="expression" priority="9358" dxfId="6434">
      <formula>$A2511="Subetapa"</formula>
    </cfRule>
  </conditionalFormatting>
  <conditionalFormatting sqref="F2516:F2519">
    <cfRule type="expression" priority="9360" dxfId="6433">
      <formula>$A2516="Serviço"</formula>
    </cfRule>
    <cfRule type="expression" priority="9361" dxfId="6434">
      <formula>$A2516="Subetapa"</formula>
    </cfRule>
  </conditionalFormatting>
  <conditionalFormatting sqref="F2521:F2524">
    <cfRule type="expression" priority="9349" dxfId="6433">
      <formula>$A2521="Serviço"</formula>
    </cfRule>
    <cfRule type="expression" priority="9350" dxfId="6434">
      <formula>$A2521="Subetapa"</formula>
    </cfRule>
  </conditionalFormatting>
  <conditionalFormatting sqref="F2815:F2816">
    <cfRule type="expression" priority="9284" dxfId="6434">
      <formula>$B2815="Subetapa"</formula>
    </cfRule>
  </conditionalFormatting>
  <conditionalFormatting sqref="F3486:F3489">
    <cfRule type="expression" priority="9121" dxfId="6433">
      <formula>$A3486="Serviço"</formula>
    </cfRule>
    <cfRule type="expression" priority="9122" dxfId="6434">
      <formula>$A3486="Subetapa"</formula>
    </cfRule>
  </conditionalFormatting>
  <conditionalFormatting sqref="F3491:F3494">
    <cfRule type="expression" priority="9118" dxfId="6433">
      <formula>$A3491="Serviço"</formula>
    </cfRule>
    <cfRule type="expression" priority="9119" dxfId="6434">
      <formula>$A3491="Subetapa"</formula>
    </cfRule>
  </conditionalFormatting>
  <conditionalFormatting sqref="F3496:F3499">
    <cfRule type="expression" priority="9111" dxfId="6433">
      <formula>$A3496="Serviço"</formula>
    </cfRule>
    <cfRule type="expression" priority="9112" dxfId="6434">
      <formula>$A3496="Subetapa"</formula>
    </cfRule>
  </conditionalFormatting>
  <conditionalFormatting sqref="F3506:F3509">
    <cfRule type="expression" priority="9185" dxfId="6433">
      <formula>$A3506="Serviço"</formula>
    </cfRule>
    <cfRule type="expression" priority="9186" dxfId="6434">
      <formula>$A3506="Subetapa"</formula>
    </cfRule>
  </conditionalFormatting>
  <conditionalFormatting sqref="F3516:F3519">
    <cfRule type="expression" priority="9078" dxfId="6433">
      <formula>$A3516="Serviço"</formula>
    </cfRule>
    <cfRule type="expression" priority="9079" dxfId="6434">
      <formula>$A3516="Subetapa"</formula>
    </cfRule>
  </conditionalFormatting>
  <conditionalFormatting sqref="F3521:F3524">
    <cfRule type="expression" priority="9096" dxfId="6433">
      <formula>$A3521="Serviço"</formula>
    </cfRule>
    <cfRule type="expression" priority="9097" dxfId="6434">
      <formula>$A3521="Subetapa"</formula>
    </cfRule>
  </conditionalFormatting>
  <conditionalFormatting sqref="F3526:F3529">
    <cfRule type="expression" priority="9100" dxfId="6433">
      <formula>$A3526="Serviço"</formula>
    </cfRule>
    <cfRule type="expression" priority="9101" dxfId="6434">
      <formula>$A3526="Subetapa"</formula>
    </cfRule>
  </conditionalFormatting>
  <conditionalFormatting sqref="F3531:F3534">
    <cfRule type="expression" priority="9088" dxfId="6433">
      <formula>$A3531="Serviço"</formula>
    </cfRule>
    <cfRule type="expression" priority="9089" dxfId="6434">
      <formula>$A3531="Subetapa"</formula>
    </cfRule>
  </conditionalFormatting>
  <conditionalFormatting sqref="F3536:F3539">
    <cfRule type="expression" priority="9092" dxfId="6433">
      <formula>$A3536="Serviço"</formula>
    </cfRule>
    <cfRule type="expression" priority="9093" dxfId="6434">
      <formula>$A3536="Subetapa"</formula>
    </cfRule>
  </conditionalFormatting>
  <conditionalFormatting sqref="F3541:F3544">
    <cfRule type="expression" priority="9114" dxfId="6433">
      <formula>$A3541="Serviço"</formula>
    </cfRule>
    <cfRule type="expression" priority="9115" dxfId="6434">
      <formula>$A3541="Subetapa"</formula>
    </cfRule>
  </conditionalFormatting>
  <conditionalFormatting sqref="F3846">
    <cfRule type="expression" priority="12114" dxfId="6424">
      <formula>$B3846="Subetapa"</formula>
    </cfRule>
  </conditionalFormatting>
  <conditionalFormatting sqref="F3939:F3943">
    <cfRule type="expression" priority="14236" dxfId="6424">
      <formula>$B3939="Subetapa"</formula>
    </cfRule>
  </conditionalFormatting>
  <conditionalFormatting sqref="F3980:F3981">
    <cfRule type="expression" priority="8306" dxfId="6434">
      <formula>$B3980="Subetapa"</formula>
    </cfRule>
  </conditionalFormatting>
  <conditionalFormatting sqref="F3997">
    <cfRule type="expression" priority="8234" dxfId="6433">
      <formula>$A3997="Serviço"</formula>
    </cfRule>
    <cfRule type="expression" priority="8235" dxfId="6434">
      <formula>$A3997="Subetapa"</formula>
    </cfRule>
  </conditionalFormatting>
  <conditionalFormatting sqref="F3997:F3998">
    <cfRule type="expression" priority="8236" dxfId="6433">
      <formula>$A3997="Serviço"</formula>
    </cfRule>
    <cfRule type="expression" priority="8237" dxfId="6434">
      <formula>$A3997="Subetapa"</formula>
    </cfRule>
  </conditionalFormatting>
  <conditionalFormatting sqref="F3998">
    <cfRule type="expression" priority="8244" dxfId="6433">
      <formula>$A3998="Serviço"</formula>
    </cfRule>
    <cfRule type="expression" priority="8245" dxfId="6434">
      <formula>$A3998="Subetapa"</formula>
    </cfRule>
  </conditionalFormatting>
  <conditionalFormatting sqref="F4000">
    <cfRule type="expression" priority="8248" dxfId="6433">
      <formula>$A4000="Serviço"</formula>
    </cfRule>
    <cfRule type="expression" priority="8249" dxfId="6434">
      <formula>$A4000="Subetapa"</formula>
    </cfRule>
  </conditionalFormatting>
  <conditionalFormatting sqref="F4000:F4001">
    <cfRule type="expression" priority="8250" dxfId="6433">
      <formula>$A4000="Serviço"</formula>
    </cfRule>
    <cfRule type="expression" priority="8251" dxfId="6434">
      <formula>$A4000="Subetapa"</formula>
    </cfRule>
  </conditionalFormatting>
  <conditionalFormatting sqref="F4001">
    <cfRule type="expression" priority="8258" dxfId="6433">
      <formula>$A4001="Serviço"</formula>
    </cfRule>
    <cfRule type="expression" priority="8259" dxfId="6434">
      <formula>$A4001="Subetapa"</formula>
    </cfRule>
  </conditionalFormatting>
  <conditionalFormatting sqref="F4003">
    <cfRule type="expression" priority="8278" dxfId="6433">
      <formula>$A4003="Serviço"</formula>
    </cfRule>
    <cfRule type="expression" priority="8279" dxfId="6434">
      <formula>$A4003="Subetapa"</formula>
    </cfRule>
    <cfRule type="expression" priority="8297" dxfId="6433">
      <formula>$A4003="Serviço"</formula>
    </cfRule>
    <cfRule type="expression" priority="8298" dxfId="6434">
      <formula>$A4003="Subetapa"</formula>
    </cfRule>
  </conditionalFormatting>
  <conditionalFormatting sqref="F4005:F4006">
    <cfRule type="expression" priority="8192" dxfId="6433">
      <formula>$A4005="Serviço"</formula>
    </cfRule>
    <cfRule type="expression" priority="8193" dxfId="6434">
      <formula>$A4005="Subetapa"</formula>
    </cfRule>
  </conditionalFormatting>
  <conditionalFormatting sqref="F4006">
    <cfRule type="expression" priority="8190" dxfId="6433">
      <formula>$A4006="Serviço"</formula>
    </cfRule>
    <cfRule type="expression" priority="8191" dxfId="6434">
      <formula>$A4006="Subetapa"</formula>
    </cfRule>
  </conditionalFormatting>
  <conditionalFormatting sqref="F4008:F4009">
    <cfRule type="expression" priority="8199" dxfId="6433">
      <formula>$A4008="Serviço"</formula>
    </cfRule>
    <cfRule type="expression" priority="8200" dxfId="6434">
      <formula>$A4008="Subetapa"</formula>
    </cfRule>
  </conditionalFormatting>
  <conditionalFormatting sqref="F4009">
    <cfRule type="expression" priority="8197" dxfId="6433">
      <formula>$A4009="Serviço"</formula>
    </cfRule>
    <cfRule type="expression" priority="8198" dxfId="6434">
      <formula>$A4009="Subetapa"</formula>
    </cfRule>
  </conditionalFormatting>
  <conditionalFormatting sqref="F4011:F4012">
    <cfRule type="expression" priority="8206" dxfId="6433">
      <formula>$A4011="Serviço"</formula>
    </cfRule>
    <cfRule type="expression" priority="8207" dxfId="6434">
      <formula>$A4011="Subetapa"</formula>
    </cfRule>
  </conditionalFormatting>
  <conditionalFormatting sqref="F4012">
    <cfRule type="expression" priority="8204" dxfId="6433">
      <formula>$A4012="Serviço"</formula>
    </cfRule>
    <cfRule type="expression" priority="8205" dxfId="6434">
      <formula>$A4012="Subetapa"</formula>
    </cfRule>
  </conditionalFormatting>
  <conditionalFormatting sqref="F4014:F4015">
    <cfRule type="expression" priority="8213" dxfId="6433">
      <formula>$A4014="Serviço"</formula>
    </cfRule>
    <cfRule type="expression" priority="8214" dxfId="6434">
      <formula>$A4014="Subetapa"</formula>
    </cfRule>
  </conditionalFormatting>
  <conditionalFormatting sqref="F4015">
    <cfRule type="expression" priority="8211" dxfId="6433">
      <formula>$A4015="Serviço"</formula>
    </cfRule>
    <cfRule type="expression" priority="8212" dxfId="6434">
      <formula>$A4015="Subetapa"</formula>
    </cfRule>
  </conditionalFormatting>
  <conditionalFormatting sqref="F4017:F4018">
    <cfRule type="expression" priority="8220" dxfId="6433">
      <formula>$A4017="Serviço"</formula>
    </cfRule>
    <cfRule type="expression" priority="8221" dxfId="6434">
      <formula>$A4017="Subetapa"</formula>
    </cfRule>
  </conditionalFormatting>
  <conditionalFormatting sqref="F4018">
    <cfRule type="expression" priority="8218" dxfId="6433">
      <formula>$A4018="Serviço"</formula>
    </cfRule>
    <cfRule type="expression" priority="8219" dxfId="6434">
      <formula>$A4018="Subetapa"</formula>
    </cfRule>
  </conditionalFormatting>
  <conditionalFormatting sqref="F4020:F4021">
    <cfRule type="expression" priority="8227" dxfId="6433">
      <formula>$A4020="Serviço"</formula>
    </cfRule>
    <cfRule type="expression" priority="8228" dxfId="6434">
      <formula>$A4020="Subetapa"</formula>
    </cfRule>
  </conditionalFormatting>
  <conditionalFormatting sqref="F4021">
    <cfRule type="expression" priority="8225" dxfId="6433">
      <formula>$A4021="Serviço"</formula>
    </cfRule>
    <cfRule type="expression" priority="8226" dxfId="6434">
      <formula>$A4021="Subetapa"</formula>
    </cfRule>
  </conditionalFormatting>
  <conditionalFormatting sqref="F4042:F4043">
    <cfRule type="expression" priority="7850" dxfId="6433">
      <formula>$A4042="Serviço"</formula>
    </cfRule>
    <cfRule type="expression" priority="7851" dxfId="6434">
      <formula>$A4042="Subetapa"</formula>
    </cfRule>
  </conditionalFormatting>
  <conditionalFormatting sqref="F4043">
    <cfRule type="expression" priority="7848" dxfId="6433">
      <formula>$A4043="Serviço"</formula>
    </cfRule>
    <cfRule type="expression" priority="7849" dxfId="6434">
      <formula>$A4043="Subetapa"</formula>
    </cfRule>
  </conditionalFormatting>
  <conditionalFormatting sqref="F4055">
    <cfRule type="expression" priority="7855" dxfId="6433">
      <formula>$A4055="Serviço"</formula>
    </cfRule>
    <cfRule type="expression" priority="7856" dxfId="6434">
      <formula>$A4055="Subetapa"</formula>
    </cfRule>
  </conditionalFormatting>
  <conditionalFormatting sqref="F4055:F4056">
    <cfRule type="expression" priority="7857" dxfId="6433">
      <formula>$A4055="Serviço"</formula>
    </cfRule>
    <cfRule type="expression" priority="7858" dxfId="6434">
      <formula>$A4055="Subetapa"</formula>
    </cfRule>
  </conditionalFormatting>
  <conditionalFormatting sqref="F4056">
    <cfRule type="expression" priority="7865" dxfId="6433">
      <formula>$A4056="Serviço"</formula>
    </cfRule>
    <cfRule type="expression" priority="7866" dxfId="6434">
      <formula>$A4056="Subetapa"</formula>
    </cfRule>
  </conditionalFormatting>
  <conditionalFormatting sqref="F4801">
    <cfRule type="expression" priority="7614" dxfId="8303" stopIfTrue="1">
      <formula>$B4801="complemento do insumo"</formula>
    </cfRule>
    <cfRule type="expression" priority="7615" dxfId="8303" stopIfTrue="1">
      <formula>$B4801="insumo"</formula>
    </cfRule>
  </conditionalFormatting>
  <conditionalFormatting sqref="F4837:F4838">
    <cfRule type="expression" priority="13911" dxfId="6424">
      <formula>$B4837="Subetapa"</formula>
    </cfRule>
  </conditionalFormatting>
  <conditionalFormatting sqref="F4942:F4965">
    <cfRule type="expression" priority="14224" dxfId="6424">
      <formula>$B4942="Subetapa"</formula>
    </cfRule>
  </conditionalFormatting>
  <conditionalFormatting sqref="F2007">
    <cfRule type="expression" priority="7043" dxfId="6424">
      <formula>$B2007="Subetapa"</formula>
    </cfRule>
  </conditionalFormatting>
  <conditionalFormatting sqref="G3065:H3065 G3069:H3069 G3073:H3073 G3077:H3077 G3081:H3081 G3085:H3085">
    <cfRule type="expression" priority="6267" dxfId="6424">
      <formula>$B3065="Subetapa"</formula>
    </cfRule>
  </conditionalFormatting>
  <conditionalFormatting sqref="G271:H271 G273:H273">
    <cfRule type="expression" priority="5886" dxfId="6433">
      <formula>$B271="Serviço"</formula>
    </cfRule>
    <cfRule type="expression" priority="5887" dxfId="6434">
      <formula>$B271="Subetapa"</formula>
    </cfRule>
  </conditionalFormatting>
  <conditionalFormatting sqref="G287:H287 G289:H289 G291:H291 G293:H293 G295:H295">
    <cfRule type="expression" priority="5890" dxfId="6433">
      <formula>$B287="Serviço"</formula>
    </cfRule>
    <cfRule type="expression" priority="5891" dxfId="6434">
      <formula>$B287="Subetapa"</formula>
    </cfRule>
  </conditionalFormatting>
  <conditionalFormatting sqref="G297:H297">
    <cfRule type="expression" priority="5884" dxfId="6433">
      <formula>$B297="Serviço"</formula>
    </cfRule>
    <cfRule type="expression" priority="5885" dxfId="6434">
      <formula>$B297="Subetapa"</formula>
    </cfRule>
  </conditionalFormatting>
  <conditionalFormatting sqref="C2937:C2956 D2937:H2937 D2938:D2940 D2941:H2941 D2942:D2944 D2945:H2945 D2946:D2948 D2949:H2949 D2950:D2952 D2953:H2953 D2954:D2956 F2938:F2940 F2942:F2944 F2946:F2948 F2950:F2952 F2954:F2956 G263:H263 G265:H265 G267:H267 G269:H269 G304:H304 G306:H306 G308:H308 G310:H310 G320:H320">
    <cfRule type="expression" priority="6278" dxfId="6424">
      <formula>$B263="Subetapa"</formula>
    </cfRule>
  </conditionalFormatting>
  <conditionalFormatting sqref="G461:H461">
    <cfRule type="expression" priority="5882" dxfId="6433">
      <formula>$B461="Serviço"</formula>
    </cfRule>
    <cfRule type="expression" priority="5883" dxfId="6434">
      <formula>$B461="Subetapa"</formula>
    </cfRule>
  </conditionalFormatting>
  <conditionalFormatting sqref="G473:H473">
    <cfRule type="expression" priority="5880" dxfId="6433">
      <formula>$B473="Serviço"</formula>
    </cfRule>
    <cfRule type="expression" priority="5881" dxfId="6434">
      <formula>$B473="Subetapa"</formula>
    </cfRule>
  </conditionalFormatting>
  <conditionalFormatting sqref="G500:H500">
    <cfRule type="expression" priority="5878" dxfId="6433">
      <formula>$B500="Serviço"</formula>
    </cfRule>
    <cfRule type="expression" priority="5879" dxfId="6434">
      <formula>$B500="Subetapa"</formula>
    </cfRule>
  </conditionalFormatting>
  <conditionalFormatting sqref="G621:H621 G627:H627 G632:H632 G637:H637">
    <cfRule type="expression" priority="5876" dxfId="6433">
      <formula>$B621="Serviço"</formula>
    </cfRule>
    <cfRule type="expression" priority="5877" dxfId="6434">
      <formula>$B621="Subetapa"</formula>
    </cfRule>
  </conditionalFormatting>
  <conditionalFormatting sqref="G661:H661">
    <cfRule type="expression" priority="5874" dxfId="6433">
      <formula>$B661="Serviço"</formula>
    </cfRule>
    <cfRule type="expression" priority="5875" dxfId="6434">
      <formula>$B661="Subetapa"</formula>
    </cfRule>
  </conditionalFormatting>
  <conditionalFormatting sqref="G738:H738">
    <cfRule type="expression" priority="5872" dxfId="6433">
      <formula>$B738="Serviço"</formula>
    </cfRule>
    <cfRule type="expression" priority="5873" dxfId="6434">
      <formula>$B738="Subetapa"</formula>
    </cfRule>
  </conditionalFormatting>
  <conditionalFormatting sqref="G759:H759">
    <cfRule type="expression" priority="5870" dxfId="6433">
      <formula>$B759="Serviço"</formula>
    </cfRule>
    <cfRule type="expression" priority="5871" dxfId="6434">
      <formula>$B759="Subetapa"</formula>
    </cfRule>
  </conditionalFormatting>
  <conditionalFormatting sqref="G779:H779">
    <cfRule type="expression" priority="5892" dxfId="6433">
      <formula>$B779="Serviço"</formula>
    </cfRule>
    <cfRule type="expression" priority="5893" dxfId="6434">
      <formula>$B779="Subetapa"</formula>
    </cfRule>
  </conditionalFormatting>
  <conditionalFormatting sqref="G801:H801">
    <cfRule type="expression" priority="6197" dxfId="6424">
      <formula>$B801="Subetapa"</formula>
    </cfRule>
  </conditionalFormatting>
  <conditionalFormatting sqref="G814:H814 G824:H824 G826:H826">
    <cfRule type="expression" priority="5868" dxfId="6433">
      <formula>$B814="Serviço"</formula>
    </cfRule>
    <cfRule type="expression" priority="5869" dxfId="6434">
      <formula>$B814="Subetapa"</formula>
    </cfRule>
  </conditionalFormatting>
  <conditionalFormatting sqref="G835:H835 G837:H837">
    <cfRule type="expression" priority="5866" dxfId="6433">
      <formula>$B835="Serviço"</formula>
    </cfRule>
    <cfRule type="expression" priority="5867" dxfId="6434">
      <formula>$B835="Subetapa"</formula>
    </cfRule>
  </conditionalFormatting>
  <conditionalFormatting sqref="G843:H843 G845:H845 G847:H847">
    <cfRule type="expression" priority="6226" dxfId="6424">
      <formula>$B843="Subetapa"</formula>
    </cfRule>
  </conditionalFormatting>
  <conditionalFormatting sqref="G852:H852 G854:H854 G856:H856 G858:H858">
    <cfRule type="expression" priority="6199" dxfId="6424">
      <formula>$B852="Subetapa"</formula>
    </cfRule>
  </conditionalFormatting>
  <conditionalFormatting sqref="G861:H861">
    <cfRule type="expression" priority="6196" dxfId="6424">
      <formula>$B861="Subetapa"</formula>
    </cfRule>
  </conditionalFormatting>
  <conditionalFormatting sqref="G864:H864 G867:H867 G870:H870 G873:H873 G876:H876">
    <cfRule type="expression" priority="6279" dxfId="6424">
      <formula>$B864="Subetapa"</formula>
    </cfRule>
  </conditionalFormatting>
  <conditionalFormatting sqref="G879:H879 G882:H882">
    <cfRule type="expression" priority="5862" dxfId="6433">
      <formula>$B879="Serviço"</formula>
    </cfRule>
    <cfRule type="expression" priority="5863" dxfId="6434">
      <formula>$B879="Subetapa"</formula>
    </cfRule>
  </conditionalFormatting>
  <conditionalFormatting sqref="G894:H894">
    <cfRule type="expression" priority="6805" dxfId="6433">
      <formula>$B894="Serviço"</formula>
    </cfRule>
    <cfRule type="expression" priority="6806" dxfId="6434">
      <formula>$B894="Subetapa"</formula>
    </cfRule>
  </conditionalFormatting>
  <conditionalFormatting sqref="G897:H897 G900:H900 G903:H903 G908:H908 G911:H911 G914:H914">
    <cfRule type="expression" priority="5900" dxfId="6424">
      <formula>$B897="Subetapa"</formula>
    </cfRule>
  </conditionalFormatting>
  <conditionalFormatting sqref="G918:H918 G921:H921 G924:H924 G927:H927">
    <cfRule type="expression" priority="5896" dxfId="6433">
      <formula>$B918="Serviço"</formula>
    </cfRule>
    <cfRule type="expression" priority="5897" dxfId="6434">
      <formula>$B918="Subetapa"</formula>
    </cfRule>
  </conditionalFormatting>
  <conditionalFormatting sqref="G931:H931 G934:H934 G937:H937 G940:H940">
    <cfRule type="expression" priority="5898" dxfId="6433">
      <formula>$B931="Serviço"</formula>
    </cfRule>
    <cfRule type="expression" priority="5899" dxfId="6434">
      <formula>$B931="Subetapa"</formula>
    </cfRule>
  </conditionalFormatting>
  <conditionalFormatting sqref="G944:H944 G947:H947 G950:H950 G953:H953 G957:H957 G960:H960">
    <cfRule type="expression" priority="5968" dxfId="6424">
      <formula>$B944="Subetapa"</formula>
    </cfRule>
  </conditionalFormatting>
  <conditionalFormatting sqref="G964:H964 G967:H967 G971:H971 G974:H974 G977:H977 G981:H981">
    <cfRule type="expression" priority="5966" dxfId="6424">
      <formula>$B964="Subetapa"</formula>
    </cfRule>
  </conditionalFormatting>
  <conditionalFormatting sqref="G1169:H1169 G1171:H1171 G1173:H1173">
    <cfRule type="expression" priority="6232" dxfId="6424">
      <formula>$B1169="Subetapa"</formula>
    </cfRule>
  </conditionalFormatting>
  <conditionalFormatting sqref="G1175:H1175">
    <cfRule type="expression" priority="5858" dxfId="6433">
      <formula>$B1175="Serviço"</formula>
    </cfRule>
    <cfRule type="expression" priority="5859" dxfId="6434">
      <formula>$B1175="Subetapa"</formula>
    </cfRule>
  </conditionalFormatting>
  <conditionalFormatting sqref="G1198:H1198 G1209:H1209 G1220:H1220 G1231:H1231 G1242:H1242 G1255:H1255 G1266:H1266 G1277:H1277 G1288:H1288 G2470:H2470 G2475:H2475 G2480:H2480 G2485:H2485 G2490:H2490 G2495:H2495 G2500:H2500 G2505:H2505 G2510:H2510 G2515:H2515 G2520:H2520 G2607:H2607 G2719:H2719 G2722:H2722 G2725:H2725 G2728:H2728 G3189:H3189 G3198:H3198 G3227:H3227 G3231:H3231 G3243:H3243 G3290:H3290 G3295:H3295 G3300:H3300 G3305:H3305 G3485:H3485 G3490:H3490 G3495:H3495 G3505:H3505 G3510:H3510 G3515:H3515 G3520:H3520 G3525:H3525 G3530:H3530 G3535:H3535 G3540:H3540 G3545:H3545 G3556:H3556 G3851:H3851 G3854:H3854 G3980:H3980 G3982:H3982 G3987:H3987 G3991:H3991 G3996:H3996 G3999:H3999 G4002:H4002 G4004:H4004 G4007:H4007 G4010:H4010 G4013:H4013 G4016:H4016 G4019:H4019 G4098:H4098 G4100:H4100 G4102:H4102 G4104:H4104 G4116:H4116 G4118:H4118 G4120:H4120 G4139:H4139 G4141:H4141 G4143:H4143 G4145:H4145 G4147:H4147 G4149:H4149 G4163:H4163 G4208:H4208 G4217:H4217 G4220:H4220 G4223:H4223 G4226:H4226 G4229:H4229 G4232:H4232 G4266:H4266 G4498 G4503 G4508:H4508 G4513:H4513 G4518:H4518 G4523:H4523 G4528:H4528 G4533:H4533 G4538:H4538 G4543:H4543 G4545:H4545 G4547:H4547 G4549:H4549 G4551:H4551 G4553:H4553 G4555:H4555 G4560:H4560 G4565:H4565 G4570:H4570">
    <cfRule type="expression" priority="6810" dxfId="6434">
      <formula>$B1198="Subetapa"</formula>
    </cfRule>
  </conditionalFormatting>
  <conditionalFormatting sqref="G1198:H1198 G1209:H1209 G1220:H1220 G1231:H1231 G1242:H1242 G1255:H1255 G1266:H1266 G1277:H1277 G1288:H1288 G1300:H1300 G1311:H1311 G1322:H1322 G1333:H1333 G1344:H1344 G2475:H2475 G2480:H2480 G2485:H2485 G2490:H2490 G2495:H2495 G2500:H2500 G2505:H2505 G2510:H2510 G2515:H2515 G2520:H2520 G2607:H2607 G2719:H2719 G2722:H2722 G2725:H2725 G2728:H2728 G3189:H3189 G3198:H3198 G3227:H3227 G3231:H3231 G3290:H3290 G3295:H3295 G3300:H3300 G3305:H3305 G3485:H3485 G3490:H3490 G3495:H3495 G3505:H3505 G3510:H3510 G3515:H3515 G3520:H3520 G3525:H3525 G3530:H3530 G3535:H3535 G3540:H3540 G3545:H3545 G3556:H3556 G3851:H3851 G3854:H3854 G3980:H3980 G3982:H3982 G3987:H3987 G3996:H3996 G3999:H3999 G4002:H4002 G4004:H4004 G4007:H4007 G4010:H4010 G4013:H4013 G4016:H4016 G4019:H4019 G4098:H4098 G4100:H4100 G4102:H4102 G4104:H4104 G4107:H4107 G4114:H4114 G4116:H4116 G4118:H4118 G4120:H4120 G4139:H4139 G4141:H4141 G4143:H4143 G4145:H4145 G4147:H4147 G4149:H4149 G4163:H4163 G4208:H4208 G4217:H4217 G4220:H4220 G4223:H4223 G4226:H4226 G4229:H4229 G4232:H4232 G4266:H4266 G4498 G4503 G4508:H4508 G4513:H4513 G4518:H4518 G4523:H4523 G4528:H4528 G4533:H4533 G4538:H4538 G4543:H4543 G4545:H4545 G4547:H4547 G4549:H4549 G4551:H4551 G4553:H4553 G4555:H4555 G4560:H4560 G4565:H4565 G4570:H4570">
    <cfRule type="expression" priority="6809" dxfId="6433">
      <formula>$B1198="Serviço"</formula>
    </cfRule>
  </conditionalFormatting>
  <conditionalFormatting sqref="G1300:H1300">
    <cfRule type="expression" priority="6798" dxfId="6434">
      <formula>$B1300="Subetapa"</formula>
    </cfRule>
  </conditionalFormatting>
  <conditionalFormatting sqref="G1356:H1356 G1362:H1362 G1368:H1368">
    <cfRule type="expression" priority="5854" dxfId="6434">
      <formula>$B1356="Subetapa"</formula>
    </cfRule>
  </conditionalFormatting>
  <conditionalFormatting sqref="G1311:H1311">
    <cfRule type="expression" priority="6799" dxfId="6434">
      <formula>$B1311="Subetapa"</formula>
    </cfRule>
  </conditionalFormatting>
  <conditionalFormatting sqref="G1322:H1322">
    <cfRule type="expression" priority="6800" dxfId="6434">
      <formula>$B1322="Subetapa"</formula>
    </cfRule>
  </conditionalFormatting>
  <conditionalFormatting sqref="G1333:H1333">
    <cfRule type="expression" priority="6801" dxfId="6434">
      <formula>$B1333="Subetapa"</formula>
    </cfRule>
  </conditionalFormatting>
  <conditionalFormatting sqref="G1344:H1344">
    <cfRule type="expression" priority="6797" dxfId="6434">
      <formula>$B1344="Subetapa"</formula>
    </cfRule>
  </conditionalFormatting>
  <conditionalFormatting sqref="G1356:H1356 G1362:H1362 G1368:H1368 G1374:H1374">
    <cfRule type="expression" priority="5894" dxfId="6433">
      <formula>$B1356="Serviço"</formula>
    </cfRule>
  </conditionalFormatting>
  <conditionalFormatting sqref="G1374:H1374">
    <cfRule type="expression" priority="5895" dxfId="6434">
      <formula>$B1374="Subetapa"</formula>
    </cfRule>
  </conditionalFormatting>
  <conditionalFormatting sqref="G1548:H1548">
    <cfRule type="expression" priority="7057" dxfId="6424">
      <formula>$B1548="Subetapa"</formula>
    </cfRule>
  </conditionalFormatting>
  <conditionalFormatting sqref="G1559:H1559 G1570:H1570 G1581:H1581 G1592:H1592 G1603:H1603 G1614:H1614 G1626:H1626">
    <cfRule type="expression" priority="6154" dxfId="6424">
      <formula>$B1559="Subetapa"</formula>
    </cfRule>
  </conditionalFormatting>
  <conditionalFormatting sqref="G1638:H1638">
    <cfRule type="expression" priority="6151" dxfId="6424">
      <formula>$B1638="Subetapa"</formula>
    </cfRule>
  </conditionalFormatting>
  <conditionalFormatting sqref="G1650:H1650 G1662:H1662 G1674:H1674 G1686:H1686 G1698:H1698 G1709:H1709 G1720:H1720 G1731:H1731 G1742:H1742 G1754:H1754 G1766:H1766 G1778:H1778 G1789:H1789 G1801:H1801 G1812:H1812 G1824:H1824 G1836:H1836">
    <cfRule type="expression" priority="6144" dxfId="6424">
      <formula>$B1650="Subetapa"</formula>
    </cfRule>
  </conditionalFormatting>
  <conditionalFormatting sqref="G1880:H1880">
    <cfRule type="expression" priority="6130" dxfId="6424">
      <formula>$B1880="Subetapa"</formula>
    </cfRule>
  </conditionalFormatting>
  <conditionalFormatting sqref="F1871:F1879">
    <cfRule type="expression" priority="7051" dxfId="6424">
      <formula>$B1871="Subetapa"</formula>
    </cfRule>
  </conditionalFormatting>
  <conditionalFormatting sqref="G1892:H1892">
    <cfRule type="expression" priority="6134" dxfId="6424">
      <formula>$B1892="Subetapa"</formula>
    </cfRule>
  </conditionalFormatting>
  <conditionalFormatting sqref="G1905:H1905">
    <cfRule type="expression" priority="7048" dxfId="6424">
      <formula>$B1905="Subetapa"</formula>
    </cfRule>
  </conditionalFormatting>
  <conditionalFormatting sqref="F1933:F1941">
    <cfRule type="expression" priority="7037" dxfId="6424">
      <formula>$B1933="Subetapa"</formula>
    </cfRule>
  </conditionalFormatting>
  <conditionalFormatting sqref="F1946:F1954">
    <cfRule type="expression" priority="7033" dxfId="6424">
      <formula>$B1946="Subetapa"</formula>
    </cfRule>
  </conditionalFormatting>
  <conditionalFormatting sqref="F1959:F1967">
    <cfRule type="expression" priority="7029" dxfId="6424">
      <formula>$B1959="Subetapa"</formula>
    </cfRule>
  </conditionalFormatting>
  <conditionalFormatting sqref="F1972:F1980">
    <cfRule type="expression" priority="7025" dxfId="6424">
      <formula>$B1972="Subetapa"</formula>
    </cfRule>
  </conditionalFormatting>
  <conditionalFormatting sqref="G2029:H2029">
    <cfRule type="expression" priority="5977" dxfId="6424">
      <formula>$B2029="Subetapa"</formula>
    </cfRule>
  </conditionalFormatting>
  <conditionalFormatting sqref="G2105:H2105 G2112:H2112">
    <cfRule type="expression" priority="6066" dxfId="6424">
      <formula>$B2105="Subetapa"</formula>
    </cfRule>
  </conditionalFormatting>
  <conditionalFormatting sqref="G2140:H2140 G2142:H2142">
    <cfRule type="expression" priority="6054" dxfId="6424">
      <formula>$B2140="Subetapa"</formula>
    </cfRule>
  </conditionalFormatting>
  <conditionalFormatting sqref="G2170:H2170 G2173:H2173 G2176:H2176 G2178:H2178">
    <cfRule type="expression" priority="6244" dxfId="6424">
      <formula>$B2170="Subetapa"</formula>
    </cfRule>
  </conditionalFormatting>
  <conditionalFormatting sqref="G2181:H2181 G2184:H2184 G2187:H2187 G2191:H2191 G2194:H2194 G2196:H2196 G2198:H2198 G2201:H2201 G2203:H2203 G2205:H2205 G2317:H2317 G2319:H2319 G2322:H2322 G2324:H2324 G2326:H2326 G2328:H2328">
    <cfRule type="expression" priority="6175" dxfId="6424">
      <formula>$B2181="Subetapa"</formula>
    </cfRule>
  </conditionalFormatting>
  <conditionalFormatting sqref="G2212:H2212 G2214:H2214 G2216:H2216 G2219:H2219 G2221:H2221">
    <cfRule type="expression" priority="5907" dxfId="6434">
      <formula>$B2212="Subetapa"</formula>
    </cfRule>
  </conditionalFormatting>
  <conditionalFormatting sqref="G2212:H2212 G2214:H2214 G2216:H2216 G2219:H2219 G2221:H2221 G2224:H2224 G2226:H2226 G2228:H2228 G2230:H2230 G2234:H2234 G2236:H2236 G2240">
    <cfRule type="expression" priority="5909" dxfId="6433">
      <formula>$B2212="Serviço"</formula>
    </cfRule>
  </conditionalFormatting>
  <conditionalFormatting sqref="G2224:H2224 G2226:H2226 G2228:H2228 G2230:H2230 G2234:H2234 G2236:H2236 G2240">
    <cfRule type="expression" priority="5908" dxfId="6434">
      <formula>$B2224="Subetapa"</formula>
    </cfRule>
  </conditionalFormatting>
  <conditionalFormatting sqref="G2331:H2331 G2333:H2333 G2335:H2335">
    <cfRule type="expression" priority="6051" dxfId="6424">
      <formula>$B2331="Subetapa"</formula>
    </cfRule>
  </conditionalFormatting>
  <conditionalFormatting sqref="G2338:H2338 G2340:H2340">
    <cfRule type="expression" priority="5846" dxfId="6433">
      <formula>$B2338="Serviço"</formula>
    </cfRule>
    <cfRule type="expression" priority="5847" dxfId="6434">
      <formula>$B2338="Subetapa"</formula>
    </cfRule>
  </conditionalFormatting>
  <conditionalFormatting sqref="G2347:H2347">
    <cfRule type="expression" priority="5844" dxfId="6433">
      <formula>$B2347="Serviço"</formula>
    </cfRule>
    <cfRule type="expression" priority="5845" dxfId="6434">
      <formula>$B2347="Subetapa"</formula>
    </cfRule>
  </conditionalFormatting>
  <conditionalFormatting sqref="G2349:H2349">
    <cfRule type="expression" priority="5842" dxfId="6433">
      <formula>$B2349="Serviço"</formula>
    </cfRule>
    <cfRule type="expression" priority="5843" dxfId="6434">
      <formula>$B2349="Subetapa"</formula>
    </cfRule>
  </conditionalFormatting>
  <conditionalFormatting sqref="G2351:H2351 G2353:H2353">
    <cfRule type="expression" priority="6053" dxfId="6424">
      <formula>$B2351="Subetapa"</formula>
    </cfRule>
  </conditionalFormatting>
  <conditionalFormatting sqref="G2356:H2356">
    <cfRule type="expression" priority="6049" dxfId="6424">
      <formula>$B2356="Subetapa"</formula>
    </cfRule>
  </conditionalFormatting>
  <conditionalFormatting sqref="G2342:H2342 G2344:H2344 G2359:H2359 G2364:H2364 G2369:H2369 G2390:H2390 G2395:H2395 G2400:H2400 G2405:H2405 G2410:H2410 G2430:H2430">
    <cfRule type="expression" priority="6192" dxfId="6424">
      <formula>$B2342="Subetapa"</formula>
    </cfRule>
  </conditionalFormatting>
  <conditionalFormatting sqref="G2374:H2374">
    <cfRule type="expression" priority="5840" dxfId="6433">
      <formula>$B2374="Serviço"</formula>
    </cfRule>
    <cfRule type="expression" priority="5841" dxfId="6434">
      <formula>$B2374="Subetapa"</formula>
    </cfRule>
  </conditionalFormatting>
  <conditionalFormatting sqref="G2379:H2379 G2384:H2384">
    <cfRule type="expression" priority="6796" dxfId="6433">
      <formula>$B2379="Serviço"</formula>
    </cfRule>
    <cfRule type="expression" priority="5838" dxfId="6434">
      <formula>$B2379="Subetapa"</formula>
    </cfRule>
  </conditionalFormatting>
  <conditionalFormatting sqref="G2435:H2435 G2440:H2440 G2445:H2445 G2450:H2450 G2455:H2455 G2460:H2460 G2465:H2465">
    <cfRule type="expression" priority="6048" dxfId="6424">
      <formula>$B2435="Subetapa"</formula>
    </cfRule>
  </conditionalFormatting>
  <conditionalFormatting sqref="G2470:H2470">
    <cfRule type="expression" priority="5837" dxfId="6433">
      <formula>$B2470="Serviço"</formula>
    </cfRule>
  </conditionalFormatting>
  <conditionalFormatting sqref="G2658:H2658 G2666:H2666">
    <cfRule type="expression" priority="5956" dxfId="6424">
      <formula>$B2658="Subetapa"</formula>
    </cfRule>
  </conditionalFormatting>
  <conditionalFormatting sqref="G2671:H2671">
    <cfRule type="expression" priority="5958" dxfId="6424">
      <formula>$B2671="Subetapa"</formula>
    </cfRule>
  </conditionalFormatting>
  <conditionalFormatting sqref="G2673:H2673">
    <cfRule type="expression" priority="5835" dxfId="6434">
      <formula>$B2673="Subetapa"</formula>
    </cfRule>
    <cfRule type="expression" priority="5836" dxfId="6433">
      <formula>$B2673="Serviço"</formula>
    </cfRule>
  </conditionalFormatting>
  <conditionalFormatting sqref="G2692:H2692 G2695:H2695 G2698:H2698 G2701:H2701 G2704:H2704 G2707:H2707 G2710:H2710 G2715:H2715">
    <cfRule type="expression" priority="5954" dxfId="6424">
      <formula>$B2692="Subetapa"</formula>
    </cfRule>
  </conditionalFormatting>
  <conditionalFormatting sqref="G2732:H2732 G2734:H2734">
    <cfRule type="expression" priority="5960" dxfId="6424">
      <formula>$B2732="Subetapa"</formula>
    </cfRule>
  </conditionalFormatting>
  <conditionalFormatting sqref="G2737:H2737 G2739:H2739 G2742:H2742 G2746:H2746 G2748:H2748 G2750:H2750 G2752:H2752 G2754:H2754">
    <cfRule type="expression" priority="5959" dxfId="6424">
      <formula>$B2737="Subetapa"</formula>
    </cfRule>
  </conditionalFormatting>
  <conditionalFormatting sqref="G2756:H2756 G2760:H2760">
    <cfRule type="expression" priority="5911" dxfId="6424">
      <formula>$B2756="Subetapa"</formula>
    </cfRule>
  </conditionalFormatting>
  <conditionalFormatting sqref="G2765:H2765">
    <cfRule type="expression" priority="5833" dxfId="6433">
      <formula>$B2765="Serviço"</formula>
    </cfRule>
    <cfRule type="expression" priority="5834" dxfId="6434">
      <formula>$B2765="Subetapa"</formula>
    </cfRule>
  </conditionalFormatting>
  <conditionalFormatting sqref="G2770:H2770 G2783:H2783 G2785:H2785 G2788:H2788 G2790:H2790 G2792:H2792 G2798:H2798 G2800:H2800 G2802:H2802 G2804:H2804">
    <cfRule type="expression" priority="6046" dxfId="6424">
      <formula>$B2770="Subetapa"</formula>
    </cfRule>
  </conditionalFormatting>
  <conditionalFormatting sqref="G2806:H2806">
    <cfRule type="expression" priority="5831" dxfId="6433">
      <formula>$B2806="Serviço"</formula>
    </cfRule>
    <cfRule type="expression" priority="5832" dxfId="6434">
      <formula>$B2806="Subetapa"</formula>
    </cfRule>
  </conditionalFormatting>
  <conditionalFormatting sqref="G2883:H2883 G3181:H3181 G3183:H3183 G3185:H3185 G3187:H3187 G3247:H3247">
    <cfRule type="expression" priority="5829" dxfId="6434">
      <formula>$B2883="Subetapa"</formula>
    </cfRule>
    <cfRule type="expression" priority="5830" dxfId="6433">
      <formula>$B2883="Serviço"</formula>
    </cfRule>
  </conditionalFormatting>
  <conditionalFormatting sqref="G2885:H2885 G2905:H2905 G2907:H2907 G2909:H2909">
    <cfRule type="expression" priority="5952" dxfId="6424">
      <formula>$B2885="Subetapa"</formula>
    </cfRule>
  </conditionalFormatting>
  <conditionalFormatting sqref="G2912:H2912 G2914:H2914 G2916:H2916 G2918:H2918">
    <cfRule type="expression" priority="6041" dxfId="6424">
      <formula>$B2912="Subetapa"</formula>
    </cfRule>
  </conditionalFormatting>
  <conditionalFormatting sqref="G2920:H2920 G2922:H2922 G2926:H2926 G2929:H2929 G2932:H2932">
    <cfRule type="expression" priority="6022" dxfId="6424">
      <formula>$B2920="Subetapa"</formula>
    </cfRule>
  </conditionalFormatting>
  <conditionalFormatting sqref="G2957:H2957">
    <cfRule type="expression" priority="6168" dxfId="6424">
      <formula>$B2957="Subetapa"</formula>
    </cfRule>
  </conditionalFormatting>
  <conditionalFormatting sqref="G3023:H3023 G3027:H3027 G3031:H3031 G3035:H3035 G3039:H3039 G3043:H3043 G3048:H3048 G3051:H3051 G3054:H3054">
    <cfRule type="expression" priority="6257" dxfId="6424">
      <formula>$B3023="Subetapa"</formula>
    </cfRule>
  </conditionalFormatting>
  <conditionalFormatting sqref="G3056:H3056 G3058:H3058 G3060:H3060 G3062:H3062">
    <cfRule type="expression" priority="5826" dxfId="6434">
      <formula>$B3056="Subetapa"</formula>
    </cfRule>
    <cfRule type="expression" priority="5827" dxfId="6433">
      <formula>$B3056="Serviço"</formula>
    </cfRule>
  </conditionalFormatting>
  <conditionalFormatting sqref="G3089:H3089 G3099:H3099 G3103:H3103 G3108:H3108 G3112:H3112 G3115:H3115 G3118:H3118 G3122:H3122 G3124:H3124 G3137:H3137">
    <cfRule type="expression" priority="6193" dxfId="6424">
      <formula>$B3089="Subetapa"</formula>
    </cfRule>
  </conditionalFormatting>
  <conditionalFormatting sqref="G3097:H3097">
    <cfRule type="expression" priority="5824" dxfId="6434">
      <formula>$B3097="Subetapa"</formula>
    </cfRule>
    <cfRule type="expression" priority="5825" dxfId="6433">
      <formula>$B3097="Serviço"</formula>
    </cfRule>
  </conditionalFormatting>
  <conditionalFormatting sqref="G3129:H3129">
    <cfRule type="expression" priority="5822" dxfId="6434">
      <formula>$B3129="Subetapa"</formula>
    </cfRule>
    <cfRule type="expression" priority="5823" dxfId="6433">
      <formula>$B3129="Serviço"</formula>
    </cfRule>
  </conditionalFormatting>
  <conditionalFormatting sqref="G3139:H3139">
    <cfRule type="expression" priority="5888" dxfId="6433">
      <formula>$B3139="Serviço"</formula>
    </cfRule>
    <cfRule type="expression" priority="5889" dxfId="6434">
      <formula>$B3139="Subetapa"</formula>
    </cfRule>
  </conditionalFormatting>
  <conditionalFormatting sqref="G3144:H3144 G3175:H3175 G3191:H3191 G3193:H3193 G3209:H3209 G3211:H3211 G3213:H3213">
    <cfRule type="expression" priority="6024" dxfId="6424">
      <formula>$B3144="Subetapa"</formula>
    </cfRule>
  </conditionalFormatting>
  <conditionalFormatting sqref="G3243:H3243">
    <cfRule type="expression" priority="6795" dxfId="6433">
      <formula>$B3243="Serviço"</formula>
    </cfRule>
  </conditionalFormatting>
  <conditionalFormatting sqref="G3350:H3350 G3355:H3355 G3360:H3360 G3365:H3365 G3370:H3370 G3375:H3375">
    <cfRule type="expression" priority="6029" dxfId="6424">
      <formula>$B3350="Subetapa"</formula>
    </cfRule>
  </conditionalFormatting>
  <conditionalFormatting sqref="G3380:H3380 G3385:H3385 G3390:H3390 G3395:H3395 G3400:H3400 G3405:H3405 G3410:H3410 G3415:H3415 G3420:H3420 G3425:H3425 G3430:H3430 G3435:H3435 G3440:H3440 G3445:H3445 G3450:H3450 G3455:H3455 G3460:H3460">
    <cfRule type="expression" priority="6033" dxfId="6424">
      <formula>$B3380="Subetapa"</formula>
    </cfRule>
  </conditionalFormatting>
  <conditionalFormatting sqref="G3465:H3465 G3470:H3470 G3475:H3475">
    <cfRule type="expression" priority="6031" dxfId="6424">
      <formula>$B3465="Subetapa"</formula>
    </cfRule>
  </conditionalFormatting>
  <conditionalFormatting sqref="G3623:H3623">
    <cfRule type="expression" priority="6013" dxfId="6424">
      <formula>$B3623="Subetapa"</formula>
    </cfRule>
  </conditionalFormatting>
  <conditionalFormatting sqref="G3626:H3626 G3629:H3629 G3632:H3632 G3636:H3636">
    <cfRule type="expression" priority="6021" dxfId="6424">
      <formula>$B3626="Subetapa"</formula>
    </cfRule>
  </conditionalFormatting>
  <conditionalFormatting sqref="G3644:H3644 G3648:H3648 G3651:H3651 G3658:H3658">
    <cfRule type="expression" priority="6259" dxfId="6424">
      <formula>$B3644="Subetapa"</formula>
    </cfRule>
  </conditionalFormatting>
  <conditionalFormatting sqref="G3662:H3662 G3665:H3665 G3668:H3668 G3671:H3671">
    <cfRule type="expression" priority="6019" dxfId="6424">
      <formula>$B3662="Subetapa"</formula>
    </cfRule>
  </conditionalFormatting>
  <conditionalFormatting sqref="G3674:H3674">
    <cfRule type="expression" priority="5820" dxfId="6433">
      <formula>$B3674="Serviço"</formula>
    </cfRule>
    <cfRule type="expression" priority="5821" dxfId="6434">
      <formula>$B3674="Subetapa"</formula>
    </cfRule>
  </conditionalFormatting>
  <conditionalFormatting sqref="G3679:H3679">
    <cfRule type="expression" priority="6015" dxfId="6424">
      <formula>$B3679="Subetapa"</formula>
    </cfRule>
  </conditionalFormatting>
  <conditionalFormatting sqref="G3684:H3684">
    <cfRule type="expression" priority="5818" dxfId="6433">
      <formula>$B3684="Serviço"</formula>
    </cfRule>
    <cfRule type="expression" priority="5819" dxfId="6434">
      <formula>$B3684="Subetapa"</formula>
    </cfRule>
  </conditionalFormatting>
  <conditionalFormatting sqref="G3704:H3704">
    <cfRule type="expression" priority="5816" dxfId="6433">
      <formula>$B3704="Serviço"</formula>
    </cfRule>
    <cfRule type="expression" priority="5817" dxfId="6434">
      <formula>$B3704="Subetapa"</formula>
    </cfRule>
  </conditionalFormatting>
  <conditionalFormatting sqref="G3722:H3722">
    <cfRule type="expression" priority="5814" dxfId="6433">
      <formula>$B3722="Serviço"</formula>
    </cfRule>
    <cfRule type="expression" priority="5815" dxfId="6434">
      <formula>$B3722="Subetapa"</formula>
    </cfRule>
  </conditionalFormatting>
  <conditionalFormatting sqref="G3732:H3732 G3736:H3736 G3740:H3740 G3744:H3744 G3748:H3748 G3752:H3752 G3757:H3757 G3759:H3759 G3761:H3761 G3763:H3763 G3765:H3765 G3768:H3768 G3770:H3770 G3772:H3772 G3775:H3775 G3777:H3777 G3781:H3781 G3784:H3784 G3786:H3786 G3788:H3788 G3792:H3792">
    <cfRule type="expression" priority="5950" dxfId="6424">
      <formula>$B3732="Subetapa"</formula>
    </cfRule>
  </conditionalFormatting>
  <conditionalFormatting sqref="G3795:H3795 G3797:H3797 G3799:H3799 G3801:H3801 G3803:H3803">
    <cfRule type="expression" priority="6004" dxfId="6424">
      <formula>$B3795="Subetapa"</formula>
    </cfRule>
  </conditionalFormatting>
  <conditionalFormatting sqref="G3808:H3808 G3811:H3811">
    <cfRule type="expression" priority="5812" dxfId="6434">
      <formula>$B3808="Subetapa"</formula>
    </cfRule>
    <cfRule type="expression" priority="5813" dxfId="6433">
      <formula>$B3808="Serviço"</formula>
    </cfRule>
  </conditionalFormatting>
  <conditionalFormatting sqref="G3816:H3816 G3821:H3821 G3826:H3826 G3830:H3830 G3835:H3835 G3838:H3838 G3842:H3842">
    <cfRule type="expression" priority="5945" dxfId="6424">
      <formula>$B3816="Subetapa"</formula>
    </cfRule>
  </conditionalFormatting>
  <conditionalFormatting sqref="G3846:H3846">
    <cfRule type="expression" priority="5990" dxfId="6424">
      <formula>$B3846="Subetapa"</formula>
    </cfRule>
  </conditionalFormatting>
  <conditionalFormatting sqref="G3849:H3849">
    <cfRule type="expression" priority="5988" dxfId="6424">
      <formula>$B3849="Subetapa"</formula>
    </cfRule>
  </conditionalFormatting>
  <conditionalFormatting sqref="G3859:H3859">
    <cfRule type="expression" priority="6002" dxfId="6424">
      <formula>$B3859="Subetapa"</formula>
    </cfRule>
  </conditionalFormatting>
  <conditionalFormatting sqref="G3861:G3883">
    <cfRule type="expression" priority="6001" dxfId="6424">
      <formula>$B3861="Subetapa"</formula>
    </cfRule>
  </conditionalFormatting>
  <conditionalFormatting sqref="G3894:H3894">
    <cfRule type="expression" priority="5927" dxfId="6424">
      <formula>$B3894="Subetapa"</formula>
    </cfRule>
  </conditionalFormatting>
  <conditionalFormatting sqref="G3905:H3905">
    <cfRule type="expression" priority="5924" dxfId="6424">
      <formula>$B3905="Subetapa"</formula>
    </cfRule>
  </conditionalFormatting>
  <conditionalFormatting sqref="G3916:H3916">
    <cfRule type="expression" priority="5921" dxfId="6424">
      <formula>$B3916="Subetapa"</formula>
    </cfRule>
  </conditionalFormatting>
  <conditionalFormatting sqref="G3927:H3927">
    <cfRule type="expression" priority="5919" dxfId="6424">
      <formula>$B3927="Subetapa"</formula>
    </cfRule>
  </conditionalFormatting>
  <conditionalFormatting sqref="G3938:H3938 G3943:H3943 G3945:H3945">
    <cfRule type="expression" priority="5916" dxfId="6424">
      <formula>$B3938="Subetapa"</formula>
    </cfRule>
  </conditionalFormatting>
  <conditionalFormatting sqref="G3957:H3957 G3968:H3968 G3970:H3970">
    <cfRule type="expression" priority="5914" dxfId="6424">
      <formula>$B3957="Subetapa"</formula>
    </cfRule>
  </conditionalFormatting>
  <conditionalFormatting sqref="G3975:H3975">
    <cfRule type="expression" priority="6290" dxfId="6424">
      <formula>$B3975="Subetapa"</formula>
    </cfRule>
  </conditionalFormatting>
  <conditionalFormatting sqref="G3991:H3991">
    <cfRule type="expression" priority="6794" dxfId="6433">
      <formula>$B3991="Serviço"</formula>
    </cfRule>
  </conditionalFormatting>
  <conditionalFormatting sqref="G4041:H4041 G4051:H4051 G4054:H4054">
    <cfRule type="expression" priority="5809" dxfId="6434">
      <formula>$B4041="Subetapa"</formula>
    </cfRule>
    <cfRule type="expression" priority="5810" dxfId="6433">
      <formula>$B4041="Serviço"</formula>
    </cfRule>
  </conditionalFormatting>
  <conditionalFormatting sqref="G4058:H4058 G4060:H4060 G4064:H4064 G4066:H4066">
    <cfRule type="expression" priority="6176" dxfId="6424">
      <formula>$B4058="Subetapa"</formula>
    </cfRule>
  </conditionalFormatting>
  <conditionalFormatting sqref="G4069:H4069 G4073:H4073 G4075:H4075">
    <cfRule type="expression" priority="5992" dxfId="6424">
      <formula>$B4069="Subetapa"</formula>
    </cfRule>
  </conditionalFormatting>
  <conditionalFormatting sqref="G4082:H4082 G4084:H4084 G4086:H4086 G4088:H4088 G4090:H4090 G4094:H4094 G4152:H4152 G4154:H4154">
    <cfRule type="expression" priority="6169" dxfId="6424">
      <formula>$B4082="Subetapa"</formula>
    </cfRule>
  </conditionalFormatting>
  <conditionalFormatting sqref="G4107:H4107">
    <cfRule type="expression" priority="5806" dxfId="6434">
      <formula>$B4107="Subetapa"</formula>
    </cfRule>
  </conditionalFormatting>
  <conditionalFormatting sqref="G4110:H4110 G4112:H4112">
    <cfRule type="expression" priority="6245" dxfId="6424">
      <formula>$B4110="Subetapa"</formula>
    </cfRule>
  </conditionalFormatting>
  <conditionalFormatting sqref="G4114:H4114">
    <cfRule type="expression" priority="5803" dxfId="6434">
      <formula>$B4114="Subetapa"</formula>
    </cfRule>
  </conditionalFormatting>
  <conditionalFormatting sqref="G4122:H4122">
    <cfRule type="expression" priority="5804" dxfId="6433">
      <formula>$B4122="Serviço"</formula>
    </cfRule>
    <cfRule type="expression" priority="5805" dxfId="6434">
      <formula>$B4122="Subetapa"</formula>
    </cfRule>
  </conditionalFormatting>
  <conditionalFormatting sqref="G4125:H4125 G4127:H4127 G4129:H4129 G4131:H4131 G4133:H4133">
    <cfRule type="expression" priority="6010" dxfId="6424">
      <formula>$B4125="Subetapa"</formula>
    </cfRule>
  </conditionalFormatting>
  <conditionalFormatting sqref="G4160:H4160">
    <cfRule type="expression" priority="5801" dxfId="6433">
      <formula>$B4160="Serviço"</formula>
    </cfRule>
    <cfRule type="expression" priority="5802" dxfId="6434">
      <formula>$B4160="Subetapa"</formula>
    </cfRule>
  </conditionalFormatting>
  <conditionalFormatting sqref="G4205:H4205 G4236:H4236 G4238:H4238 G4240:H4240 G4243:H4243">
    <cfRule type="expression" priority="6952" dxfId="6424">
      <formula>$B4205="Subetapa"</formula>
    </cfRule>
  </conditionalFormatting>
  <conditionalFormatting sqref="G4245:H4245 G4247:H4247">
    <cfRule type="expression" priority="5799" dxfId="6433">
      <formula>$B4245="Serviço"</formula>
    </cfRule>
    <cfRule type="expression" priority="5800" dxfId="6434">
      <formula>$B4245="Subetapa"</formula>
    </cfRule>
  </conditionalFormatting>
  <conditionalFormatting sqref="G4292:H4292 G4294:H4294 G4296:H4296 G4298:H4298 G4300:H4300">
    <cfRule type="expression" priority="5975" dxfId="6424">
      <formula>$B4292="Subetapa"</formula>
    </cfRule>
  </conditionalFormatting>
  <conditionalFormatting sqref="G4323:H4323 G4328:H4328 G4333:H4333 G4338:H4338 G4343:H4343 G4348:H4348 G4353:H4353 G4358:H4358 G4361:H4361 G4366:H4366 G4371:H4371">
    <cfRule type="expression" priority="5983" dxfId="6424">
      <formula>$B4323="Subetapa"</formula>
    </cfRule>
  </conditionalFormatting>
  <conditionalFormatting sqref="G4373:H4373 G4388:H4388 G4393:H4393 G4398:H4398">
    <cfRule type="expression" priority="5797" dxfId="6434">
      <formula>$B4373="Subetapa"</formula>
    </cfRule>
    <cfRule type="expression" priority="5798" dxfId="6433">
      <formula>$B4373="Serviço"</formula>
    </cfRule>
  </conditionalFormatting>
  <conditionalFormatting sqref="G4404:H4404 G4408:H4408 G4412:H4412 G4417:H4417 G4422:H4422">
    <cfRule type="expression" priority="5987" dxfId="6424">
      <formula>$B4404="Subetapa"</formula>
    </cfRule>
  </conditionalFormatting>
  <conditionalFormatting sqref="G4428:H4428 G4433:H4433 G4438:H4438 G4440:H4440 G4443:H4443 G4447:H4447 G4455:H4455 G4458:H4458 G4461:H4461">
    <cfRule type="expression" priority="6180" dxfId="6424">
      <formula>$B4428="Subetapa"</formula>
    </cfRule>
  </conditionalFormatting>
  <conditionalFormatting sqref="G4464:H4464 G4467:H4467 G4471:H4471 G4475:H4475 G4479:H4479 G4481:H4481 G4483:H4483 G4486:H4486 G4489:H4489 G4492:H4492 H4493:H4503">
    <cfRule type="expression" priority="7069" dxfId="6424">
      <formula>$B4464="Subetapa"</formula>
    </cfRule>
  </conditionalFormatting>
  <conditionalFormatting sqref="G4574:H4574 G4576:H4576 G4578:H4578">
    <cfRule type="expression" priority="5986" dxfId="6424">
      <formula>$B4574="Subetapa"</formula>
    </cfRule>
  </conditionalFormatting>
  <conditionalFormatting sqref="G4686:H4686 G4689:H4689 G4691:H4691 G4693:H4693 G4695:H4695 G4698:H4698">
    <cfRule type="expression" priority="5795" dxfId="6434">
      <formula>$B4686="Subetapa"</formula>
    </cfRule>
    <cfRule type="expression" priority="5796" dxfId="6433">
      <formula>$B4686="Serviço"</formula>
    </cfRule>
  </conditionalFormatting>
  <conditionalFormatting sqref="G4701:H4701">
    <cfRule type="expression" priority="5943" dxfId="6424">
      <formula>$B4701="Subetapa"</formula>
    </cfRule>
  </conditionalFormatting>
  <conditionalFormatting sqref="G4723:H4723 G4725:H4726 G4873:H4873 G4984:H4984 G4988:H4988 G4990:H4990 G4997:H4997 G4999:H4999 G5007:H5007 G5011:H5011 G5013:H5013 G5019:H5019 G5024:H5024 G5026:H5026">
    <cfRule type="expression" priority="6262" dxfId="6424">
      <formula>$B4723="Subetapa"</formula>
    </cfRule>
  </conditionalFormatting>
  <conditionalFormatting sqref="G4801:H4801">
    <cfRule type="expression" priority="5793" dxfId="6433">
      <formula>$B4801="Serviço"</formula>
    </cfRule>
    <cfRule type="expression" priority="5794" dxfId="6434">
      <formula>$B4801="Subetapa"</formula>
    </cfRule>
  </conditionalFormatting>
  <conditionalFormatting sqref="G4878:H4878 G4880:H4880 G4884:H4884 G4888:H4888 G4894:H4894 G4900:H4900 G4906:H4906 G4912:H4912 G4923:H4923 G4928:H4928">
    <cfRule type="expression" priority="6237" dxfId="6424">
      <formula>$B4878="Subetapa"</formula>
    </cfRule>
  </conditionalFormatting>
  <conditionalFormatting sqref="G4918:H4918">
    <cfRule type="expression" priority="5791" dxfId="6433">
      <formula>$B4918="Serviço"</formula>
    </cfRule>
    <cfRule type="expression" priority="5792" dxfId="6434">
      <formula>$B4918="Subetapa"</formula>
    </cfRule>
  </conditionalFormatting>
  <conditionalFormatting sqref="G4936:H4936 G4939:H4939 G4941:H4942 G4950:H4950 G4958:H4958 G4966:H4966 G4974:H4974">
    <cfRule type="expression" priority="6238" dxfId="6424">
      <formula>$B4936="Subetapa"</formula>
    </cfRule>
  </conditionalFormatting>
  <conditionalFormatting sqref="G4976:H4976 G4980:H4980">
    <cfRule type="expression" priority="5807" dxfId="6434">
      <formula>$B4976="Subetapa"</formula>
    </cfRule>
    <cfRule type="expression" priority="5808" dxfId="6433">
      <formula>$B4976="Serviço"</formula>
    </cfRule>
  </conditionalFormatting>
  <conditionalFormatting sqref="G2:H2">
    <cfRule type="expression" priority="7074" dxfId="6424">
      <formula>$B2="Subetapa"</formula>
    </cfRule>
  </conditionalFormatting>
  <conditionalFormatting sqref="G324:H324 G328:H328 G332:H332 G336:H336 G340:H340">
    <cfRule type="expression" priority="6271" dxfId="6424">
      <formula>$B324="Subetapa"</formula>
    </cfRule>
  </conditionalFormatting>
  <conditionalFormatting sqref="G345:H345 G349:H349 G353:H353 G357:H357">
    <cfRule type="expression" priority="6248" dxfId="6424">
      <formula>$B345="Subetapa"</formula>
    </cfRule>
  </conditionalFormatting>
  <conditionalFormatting sqref="G810:H810 G812:H812 G839:H839 G841:H841">
    <cfRule type="expression" priority="6172" dxfId="6424">
      <formula>$B810="Subetapa"</formula>
    </cfRule>
  </conditionalFormatting>
  <conditionalFormatting sqref="G4734:H4734 G4742:H4742 G4750:H4750 G4759:H4759 G4768:H4768 G4781:H4781">
    <cfRule type="expression" priority="6181" dxfId="6424">
      <formula>$B4734="Subetapa"</formula>
    </cfRule>
  </conditionalFormatting>
  <conditionalFormatting sqref="G4932:H4932">
    <cfRule type="expression" priority="7082" dxfId="6424">
      <formula>$B4932="Subetapa"</formula>
    </cfRule>
  </conditionalFormatting>
  <conditionalFormatting sqref="B1374:B1385 C1220:C1254 C1374:C1375 C1385:D1385 D1220:F1220 D1221:D1230 D1231:F1231 D1232:D1241 D1242:F1242 D1243:D1254 D1374:F1374 D1375 F1221:F1230 F1232:F1241 F1243:F1254 F1375 F1385">
    <cfRule type="expression" priority="9911" dxfId="6434">
      <formula>$B1220="Subetapa"</formula>
    </cfRule>
  </conditionalFormatting>
  <conditionalFormatting sqref="B2475:B2524 B2607:C2611 B2719:B2730 B3189:B3190 B3195:C3206 B3227:C3228 B3231:B3234 B3244:B3246 B3250 B3290:B3309 B3485:B3549 B3556:C3560 B3851:C3857 B3980:B3982 B3987:B3990 B3992:B4021 B4098:C4109 B4114:C4121 B4139:B4150 B4163:B4165 B4208:B4210 B4217:B4234 B4264:C4267 C2490:F2490 C2725:C2730 C3139:C3142 C3244:C3250 C3302:D3304 C3510:C3514 C3982:C3996 C4543:C4572 D2607:F2607 D2608:D2611 D2725:F2725 D2726:D2727 D2728:F2728 D2729:D2730 D3139:F3139 D3140:D3142 D3195:F3195 D3196:D3197 D3198:F3198 D3199:D3206 D3227:F3227 D3228 D3244:D3246 D3247:F3247 D3248:D3250 D3510:F3510 D3511:D3514 D3556:F3556 D3557:D3560 D3851:F3851 D3852:D3853 D3854:F3854 D3855:D3857 D3982:F3982 D3983:D3986 D3987:F3987 D3988:D3990 D3991:F3991 D3992:D3995 D3996:F3996 D4098:F4098 D4099 D4100:F4100 D4101 D4102:F4102 D4103 D4104:F4104 D4105:D4106 D4107:F4107 D4108:D4109 D4114:F4114 D4115 D4116:F4116 D4117 D4118:F4118 D4119 D4120:F4120 D4121 D4264:F4264 D4265 D4266:F4266 D4267 D4543:F4543 D4544 D4545:F4545 D4546 D4547:F4547 D4548 D4549:F4549 D4550 D4551:F4551 D4552 D4553:F4553 D4554 D4555:F4555 D4556:D4559 D4560:F4560 D4561:D4564 D4565:F4565 D4566:D4569 D4570:F4570 D4571:D4572 E3980 F2726:F2727 F2729:F2730 F3140:F3142 F3196:F3197 F3199:F3206 F3228 F3248:F3250 F3511:F3514 F3852:F3853 F3855:F3857 F3983:F3986 F3988:F3990 F3992:F3995 F4099 F4101 F4103 F4105:F4106 F4108:F4109 F4115 F4117 F4119 F4121 F4265 F4267 F4544 F4546 F4548 F4550 F4552 F4554 F4556:F4559 F4561:F4564 F4566:F4569 F4571:F4572">
    <cfRule type="expression" priority="9622" dxfId="6433">
      <formula>$B2475="Serviço"</formula>
    </cfRule>
  </conditionalFormatting>
  <conditionalFormatting sqref="C1209:C1254 C1374:C1385 D1209:F1209 D1210:D1219 D1220:F1220 D1221:D1230 D1231:F1231 D1232:D1241 D1242:F1242 D1243:D1254 D1374:F1374 D1375:D1385 F1210:F1219 F1221:F1230 F1232:F1241 F1243:F1254 F1375:F1385">
    <cfRule type="expression" priority="9910" dxfId="6433">
      <formula>$B1209="Serviço"</formula>
    </cfRule>
  </conditionalFormatting>
  <conditionalFormatting sqref="B2470:B2524 B2607:C2611 B2719:B2730 B3189:B3190 B3195:C3206 B3227:C3228 B3231:B3234 B3243:B3246 B3250 B3290:B3309 B3485:B3549 B3556:C3560 B3851:C3857 B3980:B4021 B4098:B4106 B4116:C4121 B4139:B4150 B4163:B4165 B4208:B4210 B4217:B4234 B4264:C4267 C3139:C3142 C3244:C3250 C3302:D3304 C3510:C3514 C3982:C3996 C4102:C4104 C4518:C4572 D2607:F2607 D2608:D2611 D3139:F3139 D3140:D3142 D3195:F3195 D3196:D3197 D3198:F3198 D3199:D3206 D3227:F3227 D3228 D3244:D3246 D3247:F3247 D3248:D3250 D3510:F3510 D3511:D3514 D3556:F3556 D3557:D3560 D3851:F3851 D3852:D3853 D3854:F3854 D3855:D3857 D3982:F3982 D3983:D3986 D3987:F3987 D3988:D3990 D3991:F3991 D3992:D3995 D3996:F3996 D4102:D4103 D4104:F4104 D4116:F4116 D4117 D4118:F4118 D4119 D4120:F4120 D4121 D4264:F4264 D4265 D4266:F4266 D4267 D4518:F4518 D4519:D4522 D4523:F4523 D4524:D4527 D4528:F4528 D4529:D4532 D4533:F4533 D4534:D4537 D4538:F4538 D4539:D4542 D4543:F4543 D4544 D4545:F4545 D4546 D4547:F4547 D4548 D4549:F4549 D4550 D4551:F4551 D4552 D4553:F4553 D4554 D4555:F4555 D4556:D4559 D4560:F4560 D4561:D4564 D4565:F4565 D4566:D4569 D4570:F4570 D4571:D4572 E3980 F3140:F3142 F3196:F3197 F3199:F3206 F3228 F3248:F3250 F3511:F3514 F3852:F3853 F3855:F3857 F3983:F3986 F3988:F3990 F3992:F3995 F4117 F4119 F4121 F4265 F4267 F4519:F4522 F4524:F4527 F4529:F4532 F4534:F4537 F4539:F4542 F4544 F4546 F4548 F4550 F4552 F4554 F4556:F4559 F4561:F4564 F4566:F4569 F4571:F4572">
    <cfRule type="expression" priority="9623" dxfId="6434">
      <formula>$B2470="Subetapa"</formula>
    </cfRule>
  </conditionalFormatting>
  <conditionalFormatting sqref="C2188:C2191 D2188:D2190 D2191:F2191 F2188:F2190">
    <cfRule type="expression" priority="14373" dxfId="6424">
      <formula>$B2188="Subetapa"</formula>
    </cfRule>
  </conditionalFormatting>
  <conditionalFormatting sqref="B867:B878 B897:B905 B991:C993 B995:B1013 B1015:B1018 B1173:B1174 B2140:B2143 B2337 B2342:B2343 B2754 B3476:B3484 B4306:B4321 B4463:B4494 C869:D869 C902:D902 C995:C1002 C1011:D1013 C1172:C1174 C1650:C1661 C1673:D1685 C1698:C1721 C1723:C1732 C1734:C1752 C1754:C1755 C1757:D1764 C1766:C1767 C1769:D1776 C1778:C1799 C1801:C1802 C1804:C1812 C1824:F1824 C2692:F2692 C2694:D2694 C2717:D2718 C3285:F3285 C3311:F3311 C3340:C3344 C3350:C3364 C3410:F3410 C3561:C3565 C3585:C3588 C3618:F3618 C3945:C3947 C4323:C4357 C4372:D4372 C4439:C4451 C4459:C4481 C4489:C4503 C4581:C4585 D991:H991 D992:D993 D995:H995 D996:D1001 D1002:H1002 D1172 D1173:F1173 D1174 D1650:F1650 D1651:D1661 D1698:F1698 D1699:D1708 D1709:F1709 D1710:D1719 D1720:F1720 D1721 D1723:D1730 D1731:F1731 D1732 D1734:D1741 D1742:F1742 D1743:D1752 D1754:F1754 D1755 D1766:F1766 D1767 D1778:F1778 D1779:D1788 D1789:F1789 D1790:D1799 D1801:F1801 D1802 D1804:D1811 D1812:F1812 D3340:F3340 D3341:D3344 D3350:F3350 D3351:D3354 D3355:F3355 D3356:D3359 D3360:F3360 D3361:D3364 D3561:F3561 D3562:D3565 D3585:F3585 D3586:D3588 D3945:F3945 D3946:D3947 D4323:F4323 D4324:D4327 D4328:F4328 D4329:D4332 D4333:F4333 D4334:D4337 D4338:F4338 D4339:D4342 D4343:F4343 D4344:D4347 D4348:F4348 D4349:D4352 D4353:F4353 D4354:D4357 D4439 D4440:F4440 D4441:D4442 D4443:F4443 D4444:D4446 D4447:F4447 D4448:D4451 D4454 D4455:F4455 D4456:D4457 D4459:D4460 D4461:F4461 D4462:D4463 D4464:F4464 D4465:D4466 D4467:F4467 D4468:D4470 D4471:F4471 D4472:D4474 D4475:F4475 D4476:D4478 D4479:F4479 D4480 D4481:F4481 D4489:F4489 D4490:D4491 D4492:F4492 D4493:D4494 D4581 D4582:H4582 D4583 D4584:H4584 D4585 E1010:H1010 E1662:F1662 E1674:F1674 E3939:E3943 F982:F989 F992:F993 F996:F1001 F1003:F1009 F1011:F1013 F1172 F1174 F1651:F1661 F1663:F1673 F1675:F1685 F1699:F1708 F1710:F1719 F1721:F1730 F1732:F1741 F1743:F1752 F1755:F1764 F1767:F1776 F1779:F1788 F1790:F1799 F1802:F1811 F1825:F1835 F2693:F2694 F2716:F2718 F3586:F3588 F3946:F3947 F4329:F4332 F4334:F4337 F4444:F4446 F4448:F4451 F4454 F4456:F4457 F4459:F4460 F4462:F4463 F4465:F4466 F4468:F4470 F4472:F4474 F4476:F4478 F4480 F4490:F4491 F4493:F4494 G1015:H1015 G1017:H1017 G3480:H3480 G4308:H4308 G4311:H4311 G4315:H4315 G4580:H4580">
    <cfRule type="expression" priority="13555" dxfId="6424">
      <formula>$B867="Subetapa"</formula>
    </cfRule>
  </conditionalFormatting>
  <conditionalFormatting sqref="B2351:C2355 C2342:C2346 D2342:F2342 D2343 D2344:F2344 D2345 D2346:F2346 F2343 F2345">
    <cfRule type="expression" priority="12863" dxfId="6424">
      <formula>$B2342="Subetapa"</formula>
    </cfRule>
  </conditionalFormatting>
  <conditionalFormatting sqref="C4069:C4076 D4069:F4069 D4070 D4071:F4071 D4072 D4073:F4073 D4074 D4075:F4075 D4076 F4070 F4072 F4074 F4076">
    <cfRule type="expression" priority="12128" dxfId="6424">
      <formula>$B4069="Subetapa"</formula>
    </cfRule>
  </conditionalFormatting>
  <conditionalFormatting sqref="B1168:F1168">
    <cfRule type="expression" priority="11760" dxfId="6424">
      <formula>$B1168="Subetapa"</formula>
    </cfRule>
  </conditionalFormatting>
  <conditionalFormatting sqref="C2760:F2760">
    <cfRule type="expression" priority="11934" dxfId="6424">
      <formula>$B2760="Subetapa"</formula>
    </cfRule>
  </conditionalFormatting>
  <conditionalFormatting sqref="C3238:F3238">
    <cfRule type="expression" priority="11504" dxfId="6424">
      <formula>$B3238="Subetapa"</formula>
    </cfRule>
  </conditionalFormatting>
  <conditionalFormatting sqref="C4840:C4842 D4840 D4841:F4841 D4842 F4840 F4842">
    <cfRule type="expression" priority="11828" dxfId="6424">
      <formula>$B4840="Subetapa"</formula>
    </cfRule>
  </conditionalFormatting>
  <conditionalFormatting sqref="C4860:C4863 D4860 D4861:F4863 F4860">
    <cfRule type="expression" priority="11846" dxfId="6424">
      <formula>$B4860="Subetapa"</formula>
    </cfRule>
  </conditionalFormatting>
  <conditionalFormatting sqref="B2736:F2736">
    <cfRule type="expression" priority="11793" dxfId="6424">
      <formula>$B2736="Subetapa"</formula>
    </cfRule>
  </conditionalFormatting>
  <conditionalFormatting sqref="F4831">
    <cfRule type="expression" priority="11817" dxfId="6424">
      <formula>$B4831="Subetapa"</formula>
    </cfRule>
  </conditionalFormatting>
  <conditionalFormatting sqref="K943:K959">
    <cfRule type="expression" priority="4865" dxfId="6424">
      <formula>$B943="Subetapa"</formula>
    </cfRule>
  </conditionalFormatting>
  <conditionalFormatting sqref="I970:K970">
    <cfRule type="expression" priority="4861" dxfId="6424">
      <formula>$B970="Subetapa"</formula>
    </cfRule>
  </conditionalFormatting>
  <conditionalFormatting sqref="K2203:K2207 K2317:K2330">
    <cfRule type="expression" priority="5050" dxfId="6424">
      <formula>$B2203="Subetapa"</formula>
    </cfRule>
  </conditionalFormatting>
  <conditionalFormatting sqref="K2379:K2388">
    <cfRule type="expression" priority="4601" dxfId="6433">
      <formula>$B2379="Serviço"</formula>
    </cfRule>
    <cfRule type="expression" priority="4600" dxfId="6434">
      <formula>$B2379="Subetapa"</formula>
    </cfRule>
  </conditionalFormatting>
  <conditionalFormatting sqref="K2637:K2661">
    <cfRule type="expression" priority="4846" dxfId="6424">
      <formula>$B2637="Subetapa"</formula>
    </cfRule>
  </conditionalFormatting>
  <conditionalFormatting sqref="K2662:K2669">
    <cfRule type="expression" priority="4838" dxfId="6424">
      <formula>$B2662="Subetapa"</formula>
    </cfRule>
  </conditionalFormatting>
  <conditionalFormatting sqref="K2670:K2672">
    <cfRule type="expression" priority="4840" dxfId="6424">
      <formula>$B2670="Subetapa"</formula>
    </cfRule>
  </conditionalFormatting>
  <conditionalFormatting sqref="I2673:K2674 I2682:K2682 I2684:K2685 I2687:K2688 I2690:K2690">
    <cfRule type="expression" priority="4599" dxfId="6433">
      <formula>$B2673="Serviço"</formula>
    </cfRule>
    <cfRule type="expression" priority="4598" dxfId="6434">
      <formula>$B2673="Subetapa"</formula>
    </cfRule>
  </conditionalFormatting>
  <conditionalFormatting sqref="K2731:K2735">
    <cfRule type="expression" priority="4844" dxfId="6424">
      <formula>$B2731="Subetapa"</formula>
    </cfRule>
  </conditionalFormatting>
  <conditionalFormatting sqref="K2737:K2753">
    <cfRule type="expression" priority="4842" dxfId="6424">
      <formula>$B2737="Subetapa"</formula>
    </cfRule>
  </conditionalFormatting>
  <conditionalFormatting sqref="K3177:K3188 K3243:K3246">
    <cfRule type="expression" priority="4592" dxfId="6434">
      <formula>$B3177="Subetapa"</formula>
    </cfRule>
    <cfRule type="expression" priority="4593" dxfId="6433">
      <formula>$B3177="Serviço"</formula>
    </cfRule>
  </conditionalFormatting>
  <conditionalFormatting sqref="K2957:K2960">
    <cfRule type="expression" priority="5048" dxfId="6424">
      <formula>$B2957="Subetapa"</formula>
    </cfRule>
  </conditionalFormatting>
  <conditionalFormatting sqref="K3731:K3758">
    <cfRule type="expression" priority="4823" dxfId="6424">
      <formula>$B3731="Subetapa"</formula>
    </cfRule>
  </conditionalFormatting>
  <conditionalFormatting sqref="K3767:K3787">
    <cfRule type="expression" priority="4977" dxfId="6424">
      <formula>$B3767="Subetapa"</formula>
    </cfRule>
  </conditionalFormatting>
  <conditionalFormatting sqref="K3788:K3793">
    <cfRule type="expression" priority="4811" dxfId="6424">
      <formula>$B3788="Subetapa"</formula>
    </cfRule>
  </conditionalFormatting>
  <conditionalFormatting sqref="K3794:K3807">
    <cfRule type="expression" priority="4949" dxfId="6424">
      <formula>$B3794="Subetapa"</formula>
    </cfRule>
  </conditionalFormatting>
  <conditionalFormatting sqref="K4078:K4086">
    <cfRule type="expression" priority="5051" dxfId="6424">
      <formula>$B4078="Subetapa"</formula>
    </cfRule>
  </conditionalFormatting>
  <conditionalFormatting sqref="K4373:K4402">
    <cfRule type="expression" priority="4560" dxfId="6434">
      <formula>$B4373="Subetapa"</formula>
    </cfRule>
    <cfRule type="expression" priority="4561" dxfId="6433">
      <formula>$B4373="Serviço"</formula>
    </cfRule>
  </conditionalFormatting>
  <conditionalFormatting sqref="K4686:K4699">
    <cfRule type="expression" priority="4558" dxfId="6434">
      <formula>$B4686="Subetapa"</formula>
    </cfRule>
    <cfRule type="expression" priority="4559" dxfId="6433">
      <formula>$B4686="Serviço"</formula>
    </cfRule>
  </conditionalFormatting>
  <conditionalFormatting sqref="K3759:K3766 K3816:K3820">
    <cfRule type="expression" priority="5066" dxfId="6424">
      <formula>$B3759="Subetapa"</formula>
    </cfRule>
  </conditionalFormatting>
  <conditionalFormatting sqref="I2612:K2636 I2962:K3021 I3207:K3226 I3229:K3230 I3235:K3237 I3239:K3242 I3251:K3258 I3260:K3264 I3285:K3289 I3311:K3324 I3340:K3344 I3550:K3555 I3689:K3698 I4110:K4113 I4162:K4162 I4205:K4207 I4211:K4216 I4249:K4263 I4268:K4271">
    <cfRule type="expression" priority="5043" dxfId="6424">
      <formula>$B2612="Subetapa"</formula>
    </cfRule>
  </conditionalFormatting>
  <conditionalFormatting sqref="K4087:K4097">
    <cfRule type="expression" priority="4963" dxfId="6424">
      <formula>$B4087="Subetapa"</formula>
    </cfRule>
  </conditionalFormatting>
  <conditionalFormatting sqref="K4235:K4244">
    <cfRule type="expression" priority="4930" dxfId="6424">
      <formula>$B4235="Subetapa"</formula>
    </cfRule>
  </conditionalFormatting>
  <conditionalFormatting sqref="I972:K989 I1011:K1013 I1016:K1016 I2342:K2343 I3470:K3484 I4135:K4138 I4323:K4327 I4371:K4372">
    <cfRule type="expression" priority="4872" dxfId="6424">
      <formula>$B972="Subetapa"</formula>
    </cfRule>
  </conditionalFormatting>
  <conditionalFormatting sqref="I2168:K2168 I2170:K2180">
    <cfRule type="expression" priority="4881" dxfId="6424">
      <formula>$B2168="Subetapa"</formula>
    </cfRule>
  </conditionalFormatting>
  <conditionalFormatting sqref="K2208:K2211 K2277:K2278">
    <cfRule type="expression" priority="4523" dxfId="6424">
      <formula>$B2208="Subetapa"</formula>
    </cfRule>
  </conditionalFormatting>
  <conditionalFormatting sqref="I2525:K2525">
    <cfRule type="expression" priority="4993" dxfId="6424">
      <formula>$B2525="Subetapa"</formula>
    </cfRule>
  </conditionalFormatting>
  <conditionalFormatting sqref="I2936:K2936">
    <cfRule type="expression" priority="4980" dxfId="6424">
      <formula>$B2936="Subetapa"</formula>
    </cfRule>
  </conditionalFormatting>
  <conditionalFormatting sqref="I2961:K2961">
    <cfRule type="expression" priority="4979" dxfId="6424">
      <formula>$B2961="Subetapa"</formula>
    </cfRule>
  </conditionalFormatting>
  <conditionalFormatting sqref="I3022:K3022">
    <cfRule type="expression" priority="4978" dxfId="6424">
      <formula>$B3022="Subetapa"</formula>
    </cfRule>
  </conditionalFormatting>
  <conditionalFormatting sqref="K3709:K3713">
    <cfRule type="expression" priority="4530" dxfId="6424">
      <formula>$B3709="Subetapa"</formula>
    </cfRule>
  </conditionalFormatting>
  <conditionalFormatting sqref="K3715:K3721 K3725:K3730">
    <cfRule type="expression" priority="4526" dxfId="6424">
      <formula>$B3715="Subetapa"</formula>
    </cfRule>
  </conditionalFormatting>
  <conditionalFormatting sqref="K4023:K4028">
    <cfRule type="expression" priority="4525" dxfId="6424">
      <formula>$B4023="Subetapa"</formula>
    </cfRule>
  </conditionalFormatting>
  <conditionalFormatting sqref="K4272:K4276">
    <cfRule type="expression" priority="4809" dxfId="6424">
      <formula>$B4272="Subetapa"</formula>
    </cfRule>
  </conditionalFormatting>
  <conditionalFormatting sqref="I4700:K4700">
    <cfRule type="expression" priority="4939" dxfId="6424">
      <formula>$B4700="Subetapa"</formula>
    </cfRule>
  </conditionalFormatting>
  <conditionalFormatting sqref="K153:K213 K215:K217">
    <cfRule type="expression" priority="4780" dxfId="6424">
      <formula>$B153="Subetapa"</formula>
    </cfRule>
  </conditionalFormatting>
  <conditionalFormatting sqref="I271:K271 I273:K273">
    <cfRule type="expression" priority="4636" dxfId="6434">
      <formula>$B271="Subetapa"</formula>
    </cfRule>
    <cfRule type="expression" priority="4635" dxfId="6433">
      <formula>$B271="Serviço"</formula>
    </cfRule>
  </conditionalFormatting>
  <conditionalFormatting sqref="K903:K907">
    <cfRule type="expression" priority="4675" dxfId="6424">
      <formula>$B903="Subetapa"</formula>
    </cfRule>
  </conditionalFormatting>
  <conditionalFormatting sqref="I2126:K2126 I2133:K2133">
    <cfRule type="expression" priority="4849" dxfId="6424">
      <formula>$B2126="Subetapa"</formula>
    </cfRule>
  </conditionalFormatting>
  <conditionalFormatting sqref="K2212:K2261 K2267:K2268 K2274:K2275">
    <cfRule type="expression" priority="4682" dxfId="6433">
      <formula>$B2212="Serviço"</formula>
    </cfRule>
    <cfRule type="expression" priority="4681" dxfId="6434">
      <formula>$B2212="Subetapa"</formula>
    </cfRule>
  </conditionalFormatting>
  <conditionalFormatting sqref="K2817:K2831 K2835:K2842">
    <cfRule type="expression" priority="4834" dxfId="6424">
      <formula>$B2817="Subetapa"</formula>
    </cfRule>
  </conditionalFormatting>
  <conditionalFormatting sqref="K2883:K2884">
    <cfRule type="expression" priority="4591" dxfId="6433">
      <formula>$B2883="Serviço"</formula>
    </cfRule>
    <cfRule type="expression" priority="4590" dxfId="6434">
      <formula>$B2883="Subetapa"</formula>
    </cfRule>
  </conditionalFormatting>
  <conditionalFormatting sqref="I2911:K2911">
    <cfRule type="expression" priority="4987" dxfId="6424">
      <formula>$B2911="Subetapa"</formula>
    </cfRule>
  </conditionalFormatting>
  <conditionalFormatting sqref="K2912:K2935">
    <cfRule type="expression" priority="4968" dxfId="6424">
      <formula>$B2912="Subetapa"</formula>
    </cfRule>
  </conditionalFormatting>
  <conditionalFormatting sqref="I3259:K3259">
    <cfRule type="expression" priority="4583" dxfId="6424">
      <formula>$B3259="Subetapa"</formula>
    </cfRule>
  </conditionalFormatting>
  <conditionalFormatting sqref="K3821:K3850">
    <cfRule type="expression" priority="4796" dxfId="6424">
      <formula>$B3821="Subetapa"</formula>
    </cfRule>
  </conditionalFormatting>
  <conditionalFormatting sqref="K4058:K4067">
    <cfRule type="expression" priority="4879" dxfId="6424">
      <formula>$B4058="Subetapa"</formula>
    </cfRule>
  </conditionalFormatting>
  <conditionalFormatting sqref="K4573:K4585">
    <cfRule type="expression" priority="4938" dxfId="6424">
      <formula>$B4573="Subetapa"</formula>
    </cfRule>
  </conditionalFormatting>
  <conditionalFormatting sqref="I263:K265 I267:K267 I269:K269 I275:K286 I299:K299 I301:K301 I304:K343 I2754:K2754">
    <cfRule type="expression" priority="5124" dxfId="6424">
      <formula>$B263="Subetapa"</formula>
    </cfRule>
  </conditionalFormatting>
  <conditionalFormatting sqref="K4598:K4609">
    <cfRule type="expression" priority="4529" dxfId="6424">
      <formula>$B4598="Subetapa"</formula>
    </cfRule>
  </conditionalFormatting>
  <conditionalFormatting sqref="K4725:K4790 K5013:K5019">
    <cfRule type="expression" priority="5068" dxfId="6424">
      <formula>$B4725="Subetapa"</formula>
    </cfRule>
  </conditionalFormatting>
  <conditionalFormatting sqref="K661:K664">
    <cfRule type="expression" priority="4624" dxfId="6433">
      <formula>$B661="Serviço"</formula>
    </cfRule>
    <cfRule type="expression" priority="4623" dxfId="6434">
      <formula>$B661="Subetapa"</formula>
    </cfRule>
  </conditionalFormatting>
  <conditionalFormatting sqref="I897:K902 I990:K1010 I1014:K1015 I1017:K1017 I2691:K2691 I3310:K3310 I3714:K3714 I4022:K4022 I4133:K4134 I4277:K4278 I4322:K4322">
    <cfRule type="expression" priority="5045" dxfId="6424">
      <formula>$B897="Subetapa"</formula>
    </cfRule>
  </conditionalFormatting>
  <conditionalFormatting sqref="K960:K962 K964:K969">
    <cfRule type="expression" priority="4899" dxfId="6424">
      <formula>$B960="Subetapa"</formula>
    </cfRule>
  </conditionalFormatting>
  <conditionalFormatting sqref="I2772:K2772">
    <cfRule type="expression" priority="4835" dxfId="6424">
      <formula>$B2772="Subetapa"</formula>
    </cfRule>
  </conditionalFormatting>
  <conditionalFormatting sqref="K2042:K2052">
    <cfRule type="expression" priority="4536" dxfId="6424">
      <formula>$B2042="Subetapa"</formula>
    </cfRule>
  </conditionalFormatting>
  <conditionalFormatting sqref="I4801:K4801">
    <cfRule type="expression" priority="4553" dxfId="8303" stopIfTrue="1">
      <formula>$B4801="complemento do insumo"</formula>
    </cfRule>
    <cfRule type="expression" priority="4554" dxfId="8303" stopIfTrue="1">
      <formula>$B4801="insumo"</formula>
    </cfRule>
  </conditionalFormatting>
  <conditionalFormatting sqref="K2937:K2956">
    <cfRule type="expression" priority="4540" dxfId="6424">
      <formula>$B2937="Subetapa"</formula>
    </cfRule>
  </conditionalFormatting>
  <conditionalFormatting sqref="K1169:K1174">
    <cfRule type="expression" priority="4538" dxfId="6424">
      <formula>$B1169="Subetapa"</formula>
    </cfRule>
  </conditionalFormatting>
  <conditionalFormatting sqref="K2120:K2125">
    <cfRule type="expression" priority="4535" dxfId="6424">
      <formula>$B2120="Subetapa"</formula>
    </cfRule>
  </conditionalFormatting>
  <conditionalFormatting sqref="K2127:K2132">
    <cfRule type="expression" priority="4534" dxfId="6424">
      <formula>$B2127="Subetapa"</formula>
    </cfRule>
  </conditionalFormatting>
  <conditionalFormatting sqref="K2134:K2143">
    <cfRule type="expression" priority="4533" dxfId="6424">
      <formula>$B2134="Subetapa"</formula>
    </cfRule>
  </conditionalFormatting>
  <conditionalFormatting sqref="K2356:K2357">
    <cfRule type="expression" priority="4532" dxfId="6424">
      <formula>$B2356="Subetapa"</formula>
    </cfRule>
  </conditionalFormatting>
  <conditionalFormatting sqref="K2692:K2718">
    <cfRule type="expression" priority="4528" dxfId="6424">
      <formula>$B2692="Subetapa"</formula>
    </cfRule>
  </conditionalFormatting>
  <conditionalFormatting sqref="K2885:K2889 K2905:K2910">
    <cfRule type="expression" priority="4527" dxfId="6424">
      <formula>$B2885="Subetapa"</formula>
    </cfRule>
  </conditionalFormatting>
  <conditionalFormatting sqref="K3023:K3046">
    <cfRule type="expression" priority="4539" dxfId="6424">
      <formula>$B3023="Subetapa"</formula>
    </cfRule>
  </conditionalFormatting>
  <conditionalFormatting sqref="K3191:K3194">
    <cfRule type="expression" priority="4531" dxfId="6424">
      <formula>$B3191="Subetapa"</formula>
    </cfRule>
  </conditionalFormatting>
  <conditionalFormatting sqref="I3892:K3892">
    <cfRule type="expression" priority="4545" dxfId="6424">
      <formula>$B3892="Subetapa"</formula>
    </cfRule>
  </conditionalFormatting>
  <conditionalFormatting sqref="I3903:K3903">
    <cfRule type="expression" priority="4546" dxfId="6424">
      <formula>$B3903="Subetapa"</formula>
    </cfRule>
  </conditionalFormatting>
  <conditionalFormatting sqref="I3914:K3914">
    <cfRule type="expression" priority="4547" dxfId="6424">
      <formula>$B3914="Subetapa"</formula>
    </cfRule>
  </conditionalFormatting>
  <conditionalFormatting sqref="I3925:K3925">
    <cfRule type="expression" priority="4548" dxfId="6424">
      <formula>$B3925="Subetapa"</formula>
    </cfRule>
  </conditionalFormatting>
  <conditionalFormatting sqref="I3936:K3936">
    <cfRule type="expression" priority="4549" dxfId="6424">
      <formula>$B3936="Subetapa"</formula>
    </cfRule>
  </conditionalFormatting>
  <conditionalFormatting sqref="I3955:K3955">
    <cfRule type="expression" priority="4544" dxfId="6424">
      <formula>$B3955="Subetapa"</formula>
    </cfRule>
  </conditionalFormatting>
  <conditionalFormatting sqref="K4701:K4702">
    <cfRule type="expression" priority="4524" dxfId="6424">
      <formula>$B4701="Subetapa"</formula>
    </cfRule>
  </conditionalFormatting>
  <conditionalFormatting sqref="K3065:K3088">
    <cfRule type="expression" priority="4543" dxfId="6424">
      <formula>$B3065="Subetapa"</formula>
    </cfRule>
  </conditionalFormatting>
  <conditionalFormatting sqref="I287:K289 I291:K291 I293:K293 I295:K295">
    <cfRule type="expression" priority="4637" dxfId="6433">
      <formula>$B287="Serviço"</formula>
    </cfRule>
    <cfRule type="expression" priority="4638" dxfId="6434">
      <formula>$B287="Subetapa"</formula>
    </cfRule>
  </conditionalFormatting>
  <conditionalFormatting sqref="I297:K297">
    <cfRule type="expression" priority="4633" dxfId="6433">
      <formula>$B297="Serviço"</formula>
    </cfRule>
    <cfRule type="expression" priority="4634" dxfId="6434">
      <formula>$B297="Subetapa"</formula>
    </cfRule>
  </conditionalFormatting>
  <conditionalFormatting sqref="K461:K463">
    <cfRule type="expression" priority="4631" dxfId="6434">
      <formula>$B461="Subetapa"</formula>
    </cfRule>
    <cfRule type="expression" priority="4632" dxfId="6433">
      <formula>$B461="Serviço"</formula>
    </cfRule>
  </conditionalFormatting>
  <conditionalFormatting sqref="K473:K476">
    <cfRule type="expression" priority="4629" dxfId="6434">
      <formula>$B473="Subetapa"</formula>
    </cfRule>
    <cfRule type="expression" priority="4630" dxfId="6433">
      <formula>$B473="Serviço"</formula>
    </cfRule>
  </conditionalFormatting>
  <conditionalFormatting sqref="K500:K501">
    <cfRule type="expression" priority="4627" dxfId="6434">
      <formula>$B500="Subetapa"</formula>
    </cfRule>
    <cfRule type="expression" priority="4628" dxfId="6433">
      <formula>$B500="Serviço"</formula>
    </cfRule>
  </conditionalFormatting>
  <conditionalFormatting sqref="K621:K639">
    <cfRule type="expression" priority="4625" dxfId="6434">
      <formula>$B621="Subetapa"</formula>
    </cfRule>
    <cfRule type="expression" priority="4626" dxfId="6433">
      <formula>$B621="Serviço"</formula>
    </cfRule>
  </conditionalFormatting>
  <conditionalFormatting sqref="K738:K741">
    <cfRule type="expression" priority="4621" dxfId="6434">
      <formula>$B738="Subetapa"</formula>
    </cfRule>
    <cfRule type="expression" priority="4622" dxfId="6433">
      <formula>$B738="Serviço"</formula>
    </cfRule>
  </conditionalFormatting>
  <conditionalFormatting sqref="K759:K762">
    <cfRule type="expression" priority="4619" dxfId="6434">
      <formula>$B759="Subetapa"</formula>
    </cfRule>
    <cfRule type="expression" priority="4620" dxfId="6433">
      <formula>$B759="Serviço"</formula>
    </cfRule>
  </conditionalFormatting>
  <conditionalFormatting sqref="K779:K786">
    <cfRule type="expression" priority="4665" dxfId="6434">
      <formula>$B779="Subetapa"</formula>
    </cfRule>
    <cfRule type="expression" priority="4666" dxfId="6433">
      <formula>$B779="Serviço"</formula>
    </cfRule>
  </conditionalFormatting>
  <conditionalFormatting sqref="K814:K834">
    <cfRule type="expression" priority="4617" dxfId="6434">
      <formula>$B814="Subetapa"</formula>
    </cfRule>
    <cfRule type="expression" priority="4618" dxfId="6433">
      <formula>$B814="Serviço"</formula>
    </cfRule>
  </conditionalFormatting>
  <conditionalFormatting sqref="K835:K838">
    <cfRule type="expression" priority="4615" dxfId="6434">
      <formula>$B835="Subetapa"</formula>
    </cfRule>
    <cfRule type="expression" priority="4616" dxfId="6433">
      <formula>$B835="Serviço"</formula>
    </cfRule>
  </conditionalFormatting>
  <conditionalFormatting sqref="K879:K884">
    <cfRule type="expression" priority="4669" dxfId="6434">
      <formula>$B879="Subetapa"</formula>
    </cfRule>
  </conditionalFormatting>
  <conditionalFormatting sqref="K885:K896 K2470:K2524 K2607:K2611 K2719:K2730 K3139:K3142 K3189:K3190 K3195:K3206 K3227:K3228 K3231:K3234 K3247:K3250 K3290:K3309 K3485:K3549 K3556:K3560 K3851:K3857 K3980:K4021 K4098:K4109 K4114:K4121 K4139:K4150 K4163:K4165 K4208:K4210 K4217:K4234 K4264:K4267">
    <cfRule type="expression" priority="4613" dxfId="6433">
      <formula>$B885="Serviço"</formula>
    </cfRule>
  </conditionalFormatting>
  <conditionalFormatting sqref="K885:K896">
    <cfRule type="expression" priority="4612" dxfId="6434">
      <formula>$B885="Subetapa"</formula>
    </cfRule>
  </conditionalFormatting>
  <conditionalFormatting sqref="K879:K884 K918:K929">
    <cfRule type="expression" priority="4668" dxfId="6433">
      <formula>$B879="Serviço"</formula>
    </cfRule>
  </conditionalFormatting>
  <conditionalFormatting sqref="K918:K929">
    <cfRule type="expression" priority="4667" dxfId="6434">
      <formula>$B918="Subetapa"</formula>
    </cfRule>
  </conditionalFormatting>
  <conditionalFormatting sqref="K931:K942">
    <cfRule type="expression" priority="4672" dxfId="6434">
      <formula>$B931="Subetapa"</formula>
    </cfRule>
    <cfRule type="expression" priority="4673" dxfId="6433">
      <formula>$B931="Serviço"</formula>
    </cfRule>
  </conditionalFormatting>
  <conditionalFormatting sqref="I971:K971">
    <cfRule type="expression" priority="5074" dxfId="6424">
      <formula>$B971="Subetapa"</formula>
    </cfRule>
  </conditionalFormatting>
  <conditionalFormatting sqref="K1175:K1185">
    <cfRule type="expression" priority="4610" dxfId="6434">
      <formula>$B1175="Subetapa"</formula>
    </cfRule>
    <cfRule type="expression" priority="4611" dxfId="6433">
      <formula>$B1175="Serviço"</formula>
    </cfRule>
  </conditionalFormatting>
  <conditionalFormatting sqref="K2470:K2524 K2607:K2611 K2719:K2730 K3139:K3142 K3189:K3190 K3195:K3206 K3227:K3228 K3231:K3234 K3247:K3250 K3290:K3309 K3485:K3549 K3556:K3560 K3851:K3857 K3980:K4021 K4098:K4109 K4114:K4121 K4139:K4150 K4163:K4165 K4208:K4210 K4217:K4234 K4264:K4267">
    <cfRule type="expression" priority="4614" dxfId="6434">
      <formula>$B2470="Subetapa"</formula>
    </cfRule>
  </conditionalFormatting>
  <conditionalFormatting sqref="K2181:K2187">
    <cfRule type="expression" priority="5126" dxfId="6424">
      <formula>$B2181="Subetapa"</formula>
    </cfRule>
  </conditionalFormatting>
  <conditionalFormatting sqref="I2188:K2188">
    <cfRule type="expression" priority="5120" dxfId="6424">
      <formula>$B2188="Subetapa"</formula>
    </cfRule>
    <cfRule type="expression" priority="4903" dxfId="6424">
      <formula>$B2188="Subetapa"</formula>
    </cfRule>
  </conditionalFormatting>
  <conditionalFormatting sqref="K2189:K2202">
    <cfRule type="expression" priority="5127" dxfId="6424">
      <formula>$B2189="Subetapa"</formula>
    </cfRule>
  </conditionalFormatting>
  <conditionalFormatting sqref="I2229:K2229 I2235:K2235">
    <cfRule type="expression" priority="4680" dxfId="6434">
      <formula>$B2229="Subetapa"</formula>
    </cfRule>
  </conditionalFormatting>
  <conditionalFormatting sqref="I2231:K2231">
    <cfRule type="expression" priority="4678" dxfId="6433">
      <formula>$B2231="Serviço"</formula>
    </cfRule>
    <cfRule type="expression" priority="4679" dxfId="6434">
      <formula>$B2231="Subetapa"</formula>
    </cfRule>
  </conditionalFormatting>
  <conditionalFormatting sqref="K2331:K2334">
    <cfRule type="expression" priority="4991" dxfId="6424">
      <formula>$B2331="Subetapa"</formula>
    </cfRule>
  </conditionalFormatting>
  <conditionalFormatting sqref="K2335:K2337 K3561:K3565">
    <cfRule type="expression" priority="5041" dxfId="6424">
      <formula>$B2335="Subetapa"</formula>
    </cfRule>
  </conditionalFormatting>
  <conditionalFormatting sqref="K2338:K2341">
    <cfRule type="expression" priority="4608" dxfId="6434">
      <formula>$B2338="Subetapa"</formula>
    </cfRule>
    <cfRule type="expression" priority="4609" dxfId="6433">
      <formula>$B2338="Serviço"</formula>
    </cfRule>
  </conditionalFormatting>
  <conditionalFormatting sqref="K2344:K2346 K2351:K2355">
    <cfRule type="expression" priority="5001" dxfId="6424">
      <formula>$B2344="Subetapa"</formula>
    </cfRule>
  </conditionalFormatting>
  <conditionalFormatting sqref="K2347:K2348">
    <cfRule type="expression" priority="4606" dxfId="6434">
      <formula>$B2347="Subetapa"</formula>
    </cfRule>
    <cfRule type="expression" priority="4607" dxfId="6433">
      <formula>$B2347="Serviço"</formula>
    </cfRule>
  </conditionalFormatting>
  <conditionalFormatting sqref="K2349:K2350">
    <cfRule type="expression" priority="4604" dxfId="6434">
      <formula>$B2349="Subetapa"</formula>
    </cfRule>
    <cfRule type="expression" priority="4605" dxfId="6433">
      <formula>$B2349="Serviço"</formula>
    </cfRule>
  </conditionalFormatting>
  <conditionalFormatting sqref="K2359:K2367 K2369:K2373">
    <cfRule type="expression" priority="5071" dxfId="6424">
      <formula>$B2359="Subetapa"</formula>
    </cfRule>
  </conditionalFormatting>
  <conditionalFormatting sqref="K2374:K2378">
    <cfRule type="expression" priority="4602" dxfId="6434">
      <formula>$B2374="Subetapa"</formula>
    </cfRule>
    <cfRule type="expression" priority="4603" dxfId="6433">
      <formula>$B2374="Serviço"</formula>
    </cfRule>
  </conditionalFormatting>
  <conditionalFormatting sqref="K2765:K2767">
    <cfRule type="expression" priority="4596" dxfId="6434">
      <formula>$B2765="Subetapa"</formula>
    </cfRule>
    <cfRule type="expression" priority="4597" dxfId="6433">
      <formula>$B2765="Serviço"</formula>
    </cfRule>
  </conditionalFormatting>
  <conditionalFormatting sqref="I2768:K2768">
    <cfRule type="expression" priority="4986" dxfId="6424">
      <formula>$B2768="Subetapa"</formula>
    </cfRule>
  </conditionalFormatting>
  <conditionalFormatting sqref="K2806:K2816">
    <cfRule type="expression" priority="4594" dxfId="6434">
      <formula>$B2806="Subetapa"</formula>
    </cfRule>
    <cfRule type="expression" priority="4595" dxfId="6433">
      <formula>$B2806="Serviço"</formula>
    </cfRule>
  </conditionalFormatting>
  <conditionalFormatting sqref="K3056:K3063">
    <cfRule type="expression" priority="4588" dxfId="6434">
      <formula>$B3056="Subetapa"</formula>
    </cfRule>
    <cfRule type="expression" priority="4589" dxfId="6433">
      <formula>$B3056="Serviço"</formula>
    </cfRule>
  </conditionalFormatting>
  <conditionalFormatting sqref="K3089:K3092 K3099:K3106">
    <cfRule type="expression" priority="5128" dxfId="6424">
      <formula>$B3089="Subetapa"</formula>
    </cfRule>
  </conditionalFormatting>
  <conditionalFormatting sqref="K3097:K3098">
    <cfRule type="expression" priority="4586" dxfId="6434">
      <formula>$B3097="Subetapa"</formula>
    </cfRule>
    <cfRule type="expression" priority="4587" dxfId="6433">
      <formula>$B3097="Serviço"</formula>
    </cfRule>
  </conditionalFormatting>
  <conditionalFormatting sqref="K3129:K3136">
    <cfRule type="expression" priority="4584" dxfId="6434">
      <formula>$B3129="Subetapa"</formula>
    </cfRule>
    <cfRule type="expression" priority="4585" dxfId="6433">
      <formula>$B3129="Serviço"</formula>
    </cfRule>
  </conditionalFormatting>
  <conditionalFormatting sqref="K3350:K3379">
    <cfRule type="expression" priority="4974" dxfId="6424">
      <formula>$B3350="Subetapa"</formula>
    </cfRule>
  </conditionalFormatting>
  <conditionalFormatting sqref="K3380:K3469">
    <cfRule type="expression" priority="4976" dxfId="6424">
      <formula>$B3380="Subetapa"</formula>
    </cfRule>
  </conditionalFormatting>
  <conditionalFormatting sqref="K3577:K3588 K3618:K3622">
    <cfRule type="expression" priority="4971" dxfId="6424">
      <formula>$B3577="Subetapa"</formula>
    </cfRule>
  </conditionalFormatting>
  <conditionalFormatting sqref="K3674:K3678">
    <cfRule type="expression" priority="4580" dxfId="6434">
      <formula>$B3674="Subetapa"</formula>
    </cfRule>
    <cfRule type="expression" priority="4581" dxfId="6433">
      <formula>$B3674="Serviço"</formula>
    </cfRule>
  </conditionalFormatting>
  <conditionalFormatting sqref="K3684:K3688">
    <cfRule type="expression" priority="4578" dxfId="6434">
      <formula>$B3684="Subetapa"</formula>
    </cfRule>
    <cfRule type="expression" priority="4579" dxfId="6433">
      <formula>$B3684="Serviço"</formula>
    </cfRule>
  </conditionalFormatting>
  <conditionalFormatting sqref="K3699:K3708">
    <cfRule type="expression" priority="4576" dxfId="6434">
      <formula>$B3699="Subetapa"</formula>
    </cfRule>
    <cfRule type="expression" priority="4577" dxfId="6433">
      <formula>$B3699="Serviço"</formula>
    </cfRule>
  </conditionalFormatting>
  <conditionalFormatting sqref="K3722:K3724">
    <cfRule type="expression" priority="4574" dxfId="6434">
      <formula>$B3722="Subetapa"</formula>
    </cfRule>
    <cfRule type="expression" priority="4575" dxfId="6433">
      <formula>$B3722="Serviço"</formula>
    </cfRule>
  </conditionalFormatting>
  <conditionalFormatting sqref="K3808:K3815">
    <cfRule type="expression" priority="4572" dxfId="6434">
      <formula>$B3808="Subetapa"</formula>
    </cfRule>
    <cfRule type="expression" priority="4573" dxfId="6433">
      <formula>$B3808="Serviço"</formula>
    </cfRule>
  </conditionalFormatting>
  <conditionalFormatting sqref="I3858:K3858">
    <cfRule type="expression" priority="4947" dxfId="6424">
      <formula>$B3858="Subetapa"</formula>
    </cfRule>
  </conditionalFormatting>
  <conditionalFormatting sqref="K3859:K3884">
    <cfRule type="expression" priority="4703" dxfId="6424">
      <formula>$B3859="Subetapa"</formula>
    </cfRule>
  </conditionalFormatting>
  <conditionalFormatting sqref="I3863:K3863">
    <cfRule type="expression" priority="4946" dxfId="6424">
      <formula>$B3863="Subetapa"</formula>
    </cfRule>
  </conditionalFormatting>
  <conditionalFormatting sqref="K3890:K3891">
    <cfRule type="expression" priority="4716" dxfId="6424">
      <formula>$B3890="Subetapa"</formula>
    </cfRule>
  </conditionalFormatting>
  <conditionalFormatting sqref="K3891:K3892">
    <cfRule type="expression" priority="4714" dxfId="6424">
      <formula>$B3891="Subetapa"</formula>
    </cfRule>
  </conditionalFormatting>
  <conditionalFormatting sqref="K3901:K3902">
    <cfRule type="expression" priority="4725" dxfId="6424">
      <formula>$B3901="Subetapa"</formula>
    </cfRule>
  </conditionalFormatting>
  <conditionalFormatting sqref="K3902:K3903">
    <cfRule type="expression" priority="4723" dxfId="6424">
      <formula>$B3902="Subetapa"</formula>
    </cfRule>
  </conditionalFormatting>
  <conditionalFormatting sqref="K3912:K3913">
    <cfRule type="expression" priority="4734" dxfId="6424">
      <formula>$B3912="Subetapa"</formula>
    </cfRule>
  </conditionalFormatting>
  <conditionalFormatting sqref="K3913:K3914">
    <cfRule type="expression" priority="4732" dxfId="6424">
      <formula>$B3913="Subetapa"</formula>
    </cfRule>
  </conditionalFormatting>
  <conditionalFormatting sqref="K3923:K3924">
    <cfRule type="expression" priority="4743" dxfId="6424">
      <formula>$B3923="Subetapa"</formula>
    </cfRule>
  </conditionalFormatting>
  <conditionalFormatting sqref="K3924:K3925">
    <cfRule type="expression" priority="4741" dxfId="6424">
      <formula>$B3924="Subetapa"</formula>
    </cfRule>
  </conditionalFormatting>
  <conditionalFormatting sqref="K3933:K3934">
    <cfRule type="expression" priority="4754" dxfId="6424">
      <formula>$B3933="Subetapa"</formula>
    </cfRule>
  </conditionalFormatting>
  <conditionalFormatting sqref="K3934:K3935">
    <cfRule type="expression" priority="4752" dxfId="6424">
      <formula>$B3934="Subetapa"</formula>
    </cfRule>
  </conditionalFormatting>
  <conditionalFormatting sqref="K3935:K3936">
    <cfRule type="expression" priority="4750" dxfId="6424">
      <formula>$B3935="Subetapa"</formula>
    </cfRule>
  </conditionalFormatting>
  <conditionalFormatting sqref="K3939:K3941">
    <cfRule type="expression" priority="5129" dxfId="6424">
      <formula>$B3939="Subetapa"</formula>
    </cfRule>
  </conditionalFormatting>
  <conditionalFormatting sqref="K3953:K3954">
    <cfRule type="expression" priority="4697" dxfId="6424">
      <formula>$B3953="Subetapa"</formula>
    </cfRule>
  </conditionalFormatting>
  <conditionalFormatting sqref="K3954:K3955">
    <cfRule type="expression" priority="4695" dxfId="6424">
      <formula>$B3954="Subetapa"</formula>
    </cfRule>
  </conditionalFormatting>
  <conditionalFormatting sqref="K4041:K4043 K4051:K4056">
    <cfRule type="expression" priority="4570" dxfId="6434">
      <formula>$B4041="Subetapa"</formula>
    </cfRule>
    <cfRule type="expression" priority="4571" dxfId="6433">
      <formula>$B4041="Serviço"</formula>
    </cfRule>
  </conditionalFormatting>
  <conditionalFormatting sqref="K4068:K4077">
    <cfRule type="expression" priority="4942" dxfId="6424">
      <formula>$B4068="Subetapa"</formula>
    </cfRule>
  </conditionalFormatting>
  <conditionalFormatting sqref="K4122:K4124">
    <cfRule type="expression" priority="4566" dxfId="6434">
      <formula>$B4122="Subetapa"</formula>
    </cfRule>
    <cfRule type="expression" priority="4567" dxfId="6433">
      <formula>$B4122="Serviço"</formula>
    </cfRule>
  </conditionalFormatting>
  <conditionalFormatting sqref="K4125:K4132">
    <cfRule type="expression" priority="4959" dxfId="6424">
      <formula>$B4125="Subetapa"</formula>
    </cfRule>
  </conditionalFormatting>
  <conditionalFormatting sqref="K4152:K4155">
    <cfRule type="expression" priority="5130" dxfId="6424">
      <formula>$B4152="Subetapa"</formula>
    </cfRule>
  </conditionalFormatting>
  <conditionalFormatting sqref="K4156:K4161">
    <cfRule type="expression" priority="4564" dxfId="6434">
      <formula>$B4156="Subetapa"</formula>
    </cfRule>
    <cfRule type="expression" priority="4565" dxfId="6433">
      <formula>$B4156="Serviço"</formula>
    </cfRule>
  </conditionalFormatting>
  <conditionalFormatting sqref="K4187:K4201">
    <cfRule type="expression" priority="5072" dxfId="6424">
      <formula>$B4187="Subetapa"</formula>
    </cfRule>
  </conditionalFormatting>
  <conditionalFormatting sqref="K4245:K4248">
    <cfRule type="expression" priority="4562" dxfId="6434">
      <formula>$B4245="Subetapa"</formula>
    </cfRule>
    <cfRule type="expression" priority="4563" dxfId="6433">
      <formula>$B4245="Serviço"</formula>
    </cfRule>
  </conditionalFormatting>
  <conditionalFormatting sqref="K4279:K4282">
    <cfRule type="expression" priority="4926" dxfId="6424">
      <formula>$B4279="Subetapa"</formula>
    </cfRule>
  </conditionalFormatting>
  <conditionalFormatting sqref="K4328:K4333">
    <cfRule type="expression" priority="5121" dxfId="6424">
      <formula>$B4328="Subetapa"</formula>
    </cfRule>
  </conditionalFormatting>
  <conditionalFormatting sqref="K4334:K4370">
    <cfRule type="expression" priority="4934" dxfId="6424">
      <formula>$B4334="Subetapa"</formula>
    </cfRule>
  </conditionalFormatting>
  <conditionalFormatting sqref="K4434:K4436">
    <cfRule type="expression" priority="5131" dxfId="6424">
      <formula>$B4434="Subetapa"</formula>
    </cfRule>
  </conditionalFormatting>
  <conditionalFormatting sqref="K4459:K4460">
    <cfRule type="expression" priority="5122" dxfId="6424">
      <formula>$B4459="Subetapa"</formula>
    </cfRule>
  </conditionalFormatting>
  <conditionalFormatting sqref="I4463:K4463">
    <cfRule type="expression" priority="5132" dxfId="6424">
      <formula>$B4463="Subetapa"</formula>
    </cfRule>
  </conditionalFormatting>
  <conditionalFormatting sqref="I4482:K4482">
    <cfRule type="expression" priority="5133" dxfId="6424">
      <formula>$B4482="Subetapa"</formula>
    </cfRule>
  </conditionalFormatting>
  <conditionalFormatting sqref="I4572:K4572">
    <cfRule type="expression" priority="4557" dxfId="6433">
      <formula>$B4572="Serviço"</formula>
    </cfRule>
  </conditionalFormatting>
  <conditionalFormatting sqref="K4791:K4800 K4811:K4830">
    <cfRule type="expression" priority="5135" dxfId="6424">
      <formula>$B4791="Subetapa"</formula>
    </cfRule>
  </conditionalFormatting>
  <conditionalFormatting sqref="K4801:K4810">
    <cfRule type="expression" priority="4555" dxfId="6433">
      <formula>$B4801="Serviço"</formula>
    </cfRule>
    <cfRule type="expression" priority="4556" dxfId="6434">
      <formula>$B4801="Subetapa"</formula>
    </cfRule>
  </conditionalFormatting>
  <conditionalFormatting sqref="K4832:K4834">
    <cfRule type="expression" priority="5136" dxfId="6424">
      <formula>$B4832="Subetapa"</formula>
    </cfRule>
  </conditionalFormatting>
  <conditionalFormatting sqref="K4918:K4922">
    <cfRule type="expression" priority="4551" dxfId="6433">
      <formula>$B4918="Serviço"</formula>
    </cfRule>
    <cfRule type="expression" priority="4552" dxfId="6434">
      <formula>$B4918="Subetapa"</formula>
    </cfRule>
  </conditionalFormatting>
  <conditionalFormatting sqref="K4976:K4983">
    <cfRule type="expression" priority="4568" dxfId="6434">
      <formula>$B4976="Subetapa"</formula>
    </cfRule>
    <cfRule type="expression" priority="4569" dxfId="6433">
      <formula>$B4976="Serviço"</formula>
    </cfRule>
  </conditionalFormatting>
  <conditionalFormatting sqref="K345:K360 K370:K383 K385:K460">
    <cfRule type="expression" priority="4871" dxfId="6424">
      <formula>$B345="Subetapa"</formula>
    </cfRule>
  </conditionalFormatting>
  <conditionalFormatting sqref="I1018:K1018 I1168:K1168">
    <cfRule type="expression" priority="4859" dxfId="6424">
      <formula>$B1018="Subetapa"</formula>
    </cfRule>
  </conditionalFormatting>
  <conditionalFormatting sqref="K1186:K1197">
    <cfRule type="expression" priority="4550" dxfId="6424">
      <formula>$B1186="Subetapa"</formula>
    </cfRule>
  </conditionalFormatting>
  <conditionalFormatting sqref="K2053:K2119">
    <cfRule type="expression" priority="4848" dxfId="6424">
      <formula>$B2053="Subetapa"</formula>
    </cfRule>
  </conditionalFormatting>
  <conditionalFormatting sqref="K2755:K2756">
    <cfRule type="expression" priority="4836" dxfId="6424">
      <formula>$B2755="Subetapa"</formula>
    </cfRule>
  </conditionalFormatting>
  <conditionalFormatting sqref="K2770:K2771">
    <cfRule type="expression" priority="4692" dxfId="6424">
      <formula>$B2770="Subetapa"</formula>
    </cfRule>
  </conditionalFormatting>
  <conditionalFormatting sqref="I2760:K2760 I2773:K2805">
    <cfRule type="expression" priority="4909" dxfId="6424">
      <formula>$B2760="Subetapa"</formula>
    </cfRule>
  </conditionalFormatting>
  <conditionalFormatting sqref="K3048:K3055">
    <cfRule type="expression" priority="4542" dxfId="6424">
      <formula>$B3048="Subetapa"</formula>
    </cfRule>
  </conditionalFormatting>
  <conditionalFormatting sqref="I3238:K3238">
    <cfRule type="expression" priority="4818" dxfId="6424">
      <formula>$B3238="Subetapa"</formula>
    </cfRule>
  </conditionalFormatting>
  <conditionalFormatting sqref="K3623:K3673">
    <cfRule type="expression" priority="4812" dxfId="6424">
      <formula>$B3623="Subetapa"</formula>
    </cfRule>
  </conditionalFormatting>
  <conditionalFormatting sqref="K3679:K3683">
    <cfRule type="expression" priority="4541" dxfId="6424">
      <formula>$B3679="Subetapa"</formula>
    </cfRule>
  </conditionalFormatting>
  <conditionalFormatting sqref="K3885:K3889">
    <cfRule type="expression" priority="4772" dxfId="6424">
      <formula>$B3885="Subetapa"</formula>
    </cfRule>
  </conditionalFormatting>
  <conditionalFormatting sqref="I3893:K3893">
    <cfRule type="expression" priority="4719" dxfId="6424">
      <formula>$B3893="Subetapa"</formula>
    </cfRule>
  </conditionalFormatting>
  <conditionalFormatting sqref="K3894:K3900">
    <cfRule type="expression" priority="4769" dxfId="6424">
      <formula>$B3894="Subetapa"</formula>
    </cfRule>
  </conditionalFormatting>
  <conditionalFormatting sqref="I3895:K3895">
    <cfRule type="expression" priority="4804" dxfId="6424">
      <formula>$B3895="Subetapa"</formula>
    </cfRule>
  </conditionalFormatting>
  <conditionalFormatting sqref="I3904:K3904">
    <cfRule type="expression" priority="4728" dxfId="6424">
      <formula>$B3904="Subetapa"</formula>
    </cfRule>
  </conditionalFormatting>
  <conditionalFormatting sqref="K3905:K3911">
    <cfRule type="expression" priority="4766" dxfId="6424">
      <formula>$B3905="Subetapa"</formula>
    </cfRule>
  </conditionalFormatting>
  <conditionalFormatting sqref="I3906:K3906">
    <cfRule type="expression" priority="4803" dxfId="6424">
      <formula>$B3906="Subetapa"</formula>
    </cfRule>
  </conditionalFormatting>
  <conditionalFormatting sqref="I3915:K3915">
    <cfRule type="expression" priority="4737" dxfId="6424">
      <formula>$B3915="Subetapa"</formula>
    </cfRule>
  </conditionalFormatting>
  <conditionalFormatting sqref="K3916:K3922">
    <cfRule type="expression" priority="4763" dxfId="6424">
      <formula>$B3916="Subetapa"</formula>
    </cfRule>
  </conditionalFormatting>
  <conditionalFormatting sqref="I3917:K3917">
    <cfRule type="expression" priority="4802" dxfId="6424">
      <formula>$B3917="Subetapa"</formula>
    </cfRule>
  </conditionalFormatting>
  <conditionalFormatting sqref="I3926:K3926">
    <cfRule type="expression" priority="4746" dxfId="6424">
      <formula>$B3926="Subetapa"</formula>
    </cfRule>
  </conditionalFormatting>
  <conditionalFormatting sqref="K3927:K3932 K3937:K3947">
    <cfRule type="expression" priority="4760" dxfId="6424">
      <formula>$B3927="Subetapa"</formula>
    </cfRule>
  </conditionalFormatting>
  <conditionalFormatting sqref="I3928:K3928">
    <cfRule type="expression" priority="4801" dxfId="6424">
      <formula>$B3928="Subetapa"</formula>
    </cfRule>
  </conditionalFormatting>
  <conditionalFormatting sqref="K3948:K3952">
    <cfRule type="expression" priority="4757" dxfId="6424">
      <formula>$B3948="Subetapa"</formula>
    </cfRule>
  </conditionalFormatting>
  <conditionalFormatting sqref="K3956:K3959 K3962:K3979">
    <cfRule type="expression" priority="4700" dxfId="6424">
      <formula>$B3956="Subetapa"</formula>
    </cfRule>
  </conditionalFormatting>
  <conditionalFormatting sqref="K4283:K4301 K4304:K4321">
    <cfRule type="expression" priority="4789" dxfId="6424">
      <formula>$B4283="Subetapa"</formula>
    </cfRule>
  </conditionalFormatting>
  <conditionalFormatting sqref="K4703:K4720">
    <cfRule type="expression" priority="4874" dxfId="6424">
      <formula>$B4703="Subetapa"</formula>
    </cfRule>
  </conditionalFormatting>
  <conditionalFormatting sqref="K4721:K4724">
    <cfRule type="expression" priority="4790" dxfId="6424">
      <formula>$B4721="Subetapa"</formula>
    </cfRule>
  </conditionalFormatting>
  <conditionalFormatting sqref="K4835:K4836 K4840:K4842 K4971:K4974 K4992:K4997 K5009:K5010">
    <cfRule type="expression" priority="4885" dxfId="6424">
      <formula>$B4835="Subetapa"</formula>
    </cfRule>
  </conditionalFormatting>
  <conditionalFormatting sqref="I4860:K4860">
    <cfRule type="expression" priority="4893" dxfId="6424">
      <formula>$B4860="Subetapa"</formula>
    </cfRule>
  </conditionalFormatting>
  <conditionalFormatting sqref="K4941:K4957">
    <cfRule type="expression" priority="4883" dxfId="6424">
      <formula>$B4941="Subetapa"</formula>
    </cfRule>
  </conditionalFormatting>
  <conditionalFormatting sqref="K4974:K4975 K4984:K4991">
    <cfRule type="expression" priority="4916" dxfId="6424">
      <formula>$B4974="Subetapa"</formula>
    </cfRule>
  </conditionalFormatting>
  <conditionalFormatting sqref="I2736:K2736">
    <cfRule type="expression" priority="4876" dxfId="6424">
      <formula>$B2736="Subetapa"</formula>
    </cfRule>
  </conditionalFormatting>
  <conditionalFormatting sqref="I2192:K2192 I4831:K4831">
    <cfRule type="expression" priority="4880" dxfId="6424">
      <formula>$B2192="Subetapa"</formula>
    </cfRule>
  </conditionalFormatting>
  <conditionalFormatting sqref="K3108:K3128 K3137:K3138">
    <cfRule type="expression" priority="4910" dxfId="6424">
      <formula>$B3108="Subetapa"</formula>
    </cfRule>
  </conditionalFormatting>
  <conditionalFormatting sqref="K4460:K4503">
    <cfRule type="expression" priority="4793" dxfId="6424">
      <formula>$B4460="Subetapa"</formula>
    </cfRule>
  </conditionalFormatting>
  <conditionalFormatting sqref="A195:A212">
    <cfRule type="expression" priority="4457" dxfId="6424">
      <formula>$B195="Subetapa"</formula>
    </cfRule>
  </conditionalFormatting>
  <conditionalFormatting sqref="A4976:A4983">
    <cfRule type="expression" priority="3729" dxfId="6434">
      <formula>$B4976="Subetapa"</formula>
    </cfRule>
    <cfRule type="expression" priority="3730" dxfId="6433">
      <formula>$B4976="Serviço"</formula>
    </cfRule>
  </conditionalFormatting>
  <conditionalFormatting sqref="A4:A151 A153:A194">
    <cfRule type="expression" priority="4406" dxfId="6424">
      <formula>$B4="Subetapa"</formula>
    </cfRule>
  </conditionalFormatting>
  <conditionalFormatting sqref="A271 A273">
    <cfRule type="expression" priority="3826" dxfId="6433">
      <formula>$B271="Serviço"</formula>
    </cfRule>
    <cfRule type="expression" priority="3827" dxfId="6434">
      <formula>$B271="Subetapa"</formula>
    </cfRule>
  </conditionalFormatting>
  <conditionalFormatting sqref="A287:A289 A291 A293 A295">
    <cfRule type="expression" priority="3830" dxfId="6433">
      <formula>$B287="Serviço"</formula>
    </cfRule>
    <cfRule type="expression" priority="3831" dxfId="6434">
      <formula>$B287="Subetapa"</formula>
    </cfRule>
  </conditionalFormatting>
  <conditionalFormatting sqref="A297">
    <cfRule type="expression" priority="3824" dxfId="6433">
      <formula>$B297="Serviço"</formula>
    </cfRule>
    <cfRule type="expression" priority="3825" dxfId="6434">
      <formula>$B297="Subetapa"</formula>
    </cfRule>
  </conditionalFormatting>
  <conditionalFormatting sqref="A345:A360">
    <cfRule type="expression" priority="4481" dxfId="6424">
      <formula>$B345="Subetapa"</formula>
    </cfRule>
  </conditionalFormatting>
  <conditionalFormatting sqref="A461:A463">
    <cfRule type="expression" priority="3822" dxfId="6433">
      <formula>$B461="Serviço"</formula>
    </cfRule>
    <cfRule type="expression" priority="3823" dxfId="6434">
      <formula>$B461="Subetapa"</formula>
    </cfRule>
  </conditionalFormatting>
  <conditionalFormatting sqref="A473:A476">
    <cfRule type="expression" priority="3820" dxfId="6433">
      <formula>$B473="Serviço"</formula>
    </cfRule>
    <cfRule type="expression" priority="3821" dxfId="6434">
      <formula>$B473="Subetapa"</formula>
    </cfRule>
  </conditionalFormatting>
  <conditionalFormatting sqref="A500:A501">
    <cfRule type="expression" priority="3818" dxfId="6433">
      <formula>$B500="Serviço"</formula>
    </cfRule>
    <cfRule type="expression" priority="3819" dxfId="6434">
      <formula>$B500="Subetapa"</formula>
    </cfRule>
  </conditionalFormatting>
  <conditionalFormatting sqref="A621:A639">
    <cfRule type="expression" priority="3816" dxfId="6433">
      <formula>$B621="Serviço"</formula>
    </cfRule>
    <cfRule type="expression" priority="3817" dxfId="6434">
      <formula>$B621="Subetapa"</formula>
    </cfRule>
  </conditionalFormatting>
  <conditionalFormatting sqref="A661:A663">
    <cfRule type="expression" priority="3813" dxfId="6433">
      <formula>$B661="Serviço"</formula>
    </cfRule>
  </conditionalFormatting>
  <conditionalFormatting sqref="A661:A664">
    <cfRule type="expression" priority="3814" dxfId="6434">
      <formula>$B661="Subetapa"</formula>
    </cfRule>
  </conditionalFormatting>
  <conditionalFormatting sqref="A787:A791 A793:A809">
    <cfRule type="expression" priority="4400" dxfId="6424">
      <formula>$B787="Subetapa"</formula>
    </cfRule>
  </conditionalFormatting>
  <conditionalFormatting sqref="A814:A834">
    <cfRule type="expression" priority="3807" dxfId="6433">
      <formula>$B814="Serviço"</formula>
    </cfRule>
    <cfRule type="expression" priority="3808" dxfId="6434">
      <formula>$B814="Subetapa"</formula>
    </cfRule>
  </conditionalFormatting>
  <conditionalFormatting sqref="A835:A838">
    <cfRule type="expression" priority="3805" dxfId="6433">
      <formula>$B835="Serviço"</formula>
    </cfRule>
    <cfRule type="expression" priority="3806" dxfId="6434">
      <formula>$B835="Subetapa"</formula>
    </cfRule>
  </conditionalFormatting>
  <conditionalFormatting sqref="A843:A847">
    <cfRule type="expression" priority="4458" dxfId="6424">
      <formula>$B843="Subetapa"</formula>
    </cfRule>
  </conditionalFormatting>
  <conditionalFormatting sqref="A848:A850">
    <cfRule type="expression" priority="4486" dxfId="6424">
      <formula>$B848="Subetapa"</formula>
    </cfRule>
  </conditionalFormatting>
  <conditionalFormatting sqref="A852:A860">
    <cfRule type="expression" priority="4438" dxfId="6424">
      <formula>$B852="Subetapa"</formula>
    </cfRule>
  </conditionalFormatting>
  <conditionalFormatting sqref="A860:A862">
    <cfRule type="expression" priority="4434" dxfId="6424">
      <formula>$B860="Subetapa"</formula>
    </cfRule>
  </conditionalFormatting>
  <conditionalFormatting sqref="A879:A882">
    <cfRule type="expression" priority="3795" dxfId="6433">
      <formula>$B879="Serviço"</formula>
    </cfRule>
    <cfRule type="expression" priority="3796" dxfId="6434">
      <formula>$B879="Subetapa"</formula>
    </cfRule>
  </conditionalFormatting>
  <conditionalFormatting sqref="A883:A884">
    <cfRule type="expression" priority="3791" dxfId="6433">
      <formula>$B883="Serviço"</formula>
    </cfRule>
    <cfRule type="expression" priority="3792" dxfId="6434">
      <formula>$B883="Subetapa"</formula>
    </cfRule>
  </conditionalFormatting>
  <conditionalFormatting sqref="A895:A896">
    <cfRule type="expression" priority="3803" dxfId="6433">
      <formula>$B895="Serviço"</formula>
    </cfRule>
    <cfRule type="expression" priority="3804" dxfId="6434">
      <formula>$B895="Subetapa"</formula>
    </cfRule>
  </conditionalFormatting>
  <conditionalFormatting sqref="A918:A929">
    <cfRule type="expression" priority="3870" dxfId="6433">
      <formula>$B918="Serviço"</formula>
    </cfRule>
    <cfRule type="expression" priority="3871" dxfId="6434">
      <formula>$B918="Subetapa"</formula>
    </cfRule>
  </conditionalFormatting>
  <conditionalFormatting sqref="A931:A942">
    <cfRule type="expression" priority="3882" dxfId="6433">
      <formula>$B931="Serviço"</formula>
    </cfRule>
    <cfRule type="expression" priority="3883" dxfId="6434">
      <formula>$B931="Subetapa"</formula>
    </cfRule>
  </conditionalFormatting>
  <conditionalFormatting sqref="A943:A956">
    <cfRule type="expression" priority="4074" dxfId="6424">
      <formula>$B943="Subetapa"</formula>
    </cfRule>
  </conditionalFormatting>
  <conditionalFormatting sqref="A957:A962 A1169:A1172">
    <cfRule type="expression" priority="4464" dxfId="6424">
      <formula>$B957="Subetapa"</formula>
    </cfRule>
  </conditionalFormatting>
  <conditionalFormatting sqref="A963:A989">
    <cfRule type="expression" priority="4072" dxfId="6424">
      <formula>$B963="Subetapa"</formula>
    </cfRule>
  </conditionalFormatting>
  <conditionalFormatting sqref="A979:A980">
    <cfRule type="expression" priority="4423" dxfId="6424">
      <formula>$B979="Subetapa"</formula>
    </cfRule>
  </conditionalFormatting>
  <conditionalFormatting sqref="A1175:A1185">
    <cfRule type="expression" priority="3790" dxfId="6434">
      <formula>$B1175="Subetapa"</formula>
    </cfRule>
    <cfRule type="expression" priority="3789" dxfId="6433">
      <formula>$B1175="Serviço"</formula>
    </cfRule>
  </conditionalFormatting>
  <conditionalFormatting sqref="A1290:A1299">
    <cfRule type="expression" priority="3778" dxfId="6433">
      <formula>$B1290="Serviço"</formula>
    </cfRule>
  </conditionalFormatting>
  <conditionalFormatting sqref="A1301:A1310 A1312:A1321 A1323:A1332 A1334:A1343 A1345:A1346">
    <cfRule type="expression" priority="3787" dxfId="6434">
      <formula>$B1301="Subetapa"</formula>
    </cfRule>
  </conditionalFormatting>
  <conditionalFormatting sqref="A1302:A1310 A1313:A1321 A1324:A1332 A1335:A1343 A1356:A1373">
    <cfRule type="expression" priority="3785" dxfId="6434">
      <formula>$B1302="Subetapa"</formula>
    </cfRule>
  </conditionalFormatting>
  <conditionalFormatting sqref="A1257:A1265 A1268:A1276 A1279:A1287 A1302:A1310 A1313:A1321 A1324:A1332 A1335:A1343 A1357:A1361 A1363:A1367 A1369:A1373">
    <cfRule type="expression" priority="3784" dxfId="6433">
      <formula>$B1257="Serviço"</formula>
    </cfRule>
  </conditionalFormatting>
  <conditionalFormatting sqref="A1376:A1385">
    <cfRule type="expression" priority="3786" dxfId="6433">
      <formula>$B1376="Serviço"</formula>
    </cfRule>
  </conditionalFormatting>
  <conditionalFormatting sqref="A1549:A1624">
    <cfRule type="expression" priority="4377" dxfId="6424">
      <formula>$B1549="Subetapa"</formula>
    </cfRule>
  </conditionalFormatting>
  <conditionalFormatting sqref="A1627:A1636">
    <cfRule type="expression" priority="4375" dxfId="6424">
      <formula>$B1627="Subetapa"</formula>
    </cfRule>
  </conditionalFormatting>
  <conditionalFormatting sqref="A1639:A1648">
    <cfRule type="expression" priority="4372" dxfId="6424">
      <formula>$B1639="Subetapa"</formula>
    </cfRule>
  </conditionalFormatting>
  <conditionalFormatting sqref="A1814:A1822">
    <cfRule type="expression" priority="4426" dxfId="6424">
      <formula>$B1814="Subetapa"</formula>
    </cfRule>
  </conditionalFormatting>
  <conditionalFormatting sqref="A1868:A1891">
    <cfRule type="expression" priority="4352" dxfId="6424">
      <formula>$B1868="Subetapa"</formula>
    </cfRule>
  </conditionalFormatting>
  <conditionalFormatting sqref="A1882:A1892">
    <cfRule type="expression" priority="4357" dxfId="6424">
      <formula>$B1882="Subetapa"</formula>
    </cfRule>
  </conditionalFormatting>
  <conditionalFormatting sqref="A1893:A1904">
    <cfRule type="expression" priority="4346" dxfId="6424">
      <formula>$B1893="Subetapa"</formula>
    </cfRule>
  </conditionalFormatting>
  <conditionalFormatting sqref="A1907:A1916">
    <cfRule type="expression" priority="4334" dxfId="6424">
      <formula>$B1907="Subetapa"</formula>
    </cfRule>
  </conditionalFormatting>
  <conditionalFormatting sqref="A1908:A1916">
    <cfRule type="expression" priority="4336" dxfId="6424">
      <formula>$B1908="Subetapa"</formula>
    </cfRule>
  </conditionalFormatting>
  <conditionalFormatting sqref="A1918:A1928">
    <cfRule type="expression" priority="4327" dxfId="6424">
      <formula>$B1918="Subetapa"</formula>
    </cfRule>
  </conditionalFormatting>
  <conditionalFormatting sqref="A1920:A1928">
    <cfRule type="expression" priority="4329" dxfId="6424">
      <formula>$B1920="Subetapa"</formula>
    </cfRule>
  </conditionalFormatting>
  <conditionalFormatting sqref="A1930:A1941">
    <cfRule type="expression" priority="4321" dxfId="6424">
      <formula>$B1930="Subetapa"</formula>
    </cfRule>
  </conditionalFormatting>
  <conditionalFormatting sqref="A1943:A1954">
    <cfRule type="expression" priority="4315" dxfId="6424">
      <formula>$B1943="Subetapa"</formula>
    </cfRule>
  </conditionalFormatting>
  <conditionalFormatting sqref="A1956:A1967">
    <cfRule type="expression" priority="4309" dxfId="6424">
      <formula>$B1956="Subetapa"</formula>
    </cfRule>
  </conditionalFormatting>
  <conditionalFormatting sqref="A1969:A1980">
    <cfRule type="expression" priority="4303" dxfId="6424">
      <formula>$B1969="Subetapa"</formula>
    </cfRule>
  </conditionalFormatting>
  <conditionalFormatting sqref="A1982:A1992">
    <cfRule type="expression" priority="4296" dxfId="6424">
      <formula>$B1982="Subetapa"</formula>
    </cfRule>
  </conditionalFormatting>
  <conditionalFormatting sqref="A1994:A2004">
    <cfRule type="expression" priority="4289" dxfId="6424">
      <formula>$B1994="Subetapa"</formula>
    </cfRule>
  </conditionalFormatting>
  <conditionalFormatting sqref="A2006:A2016">
    <cfRule type="expression" priority="4340" dxfId="6424">
      <formula>$B2006="Subetapa"</formula>
    </cfRule>
  </conditionalFormatting>
  <conditionalFormatting sqref="A2008:A2017">
    <cfRule type="expression" priority="4342" dxfId="6424">
      <formula>$B2008="Subetapa"</formula>
    </cfRule>
  </conditionalFormatting>
  <conditionalFormatting sqref="A2018:A2019 A2021:A2028">
    <cfRule type="expression" priority="4285" dxfId="6424">
      <formula>$B2018="Subetapa"</formula>
    </cfRule>
  </conditionalFormatting>
  <conditionalFormatting sqref="A2031:A2040">
    <cfRule type="expression" priority="4283" dxfId="6424">
      <formula>$B2031="Subetapa"</formula>
    </cfRule>
  </conditionalFormatting>
  <conditionalFormatting sqref="A2043:A2052">
    <cfRule type="expression" priority="4280" dxfId="6424">
      <formula>$B2043="Subetapa"</formula>
    </cfRule>
  </conditionalFormatting>
  <conditionalFormatting sqref="A2054:A2055">
    <cfRule type="expression" priority="4274" dxfId="6424">
      <formula>$B2054="Subetapa"</formula>
    </cfRule>
  </conditionalFormatting>
  <conditionalFormatting sqref="A2055:A2065">
    <cfRule type="expression" priority="4272" dxfId="6424">
      <formula>$B2055="Subetapa"</formula>
    </cfRule>
  </conditionalFormatting>
  <conditionalFormatting sqref="A2056:A2066">
    <cfRule type="expression" priority="4277" dxfId="6424">
      <formula>$B2056="Subetapa"</formula>
    </cfRule>
  </conditionalFormatting>
  <conditionalFormatting sqref="A2105:A2112">
    <cfRule type="expression" priority="4251" dxfId="6424">
      <formula>$B2105="Subetapa"</formula>
    </cfRule>
  </conditionalFormatting>
  <conditionalFormatting sqref="A2113:A2118">
    <cfRule type="expression" priority="4244" dxfId="6424">
      <formula>$B2113="Subetapa"</formula>
    </cfRule>
  </conditionalFormatting>
  <conditionalFormatting sqref="A2120:A2125">
    <cfRule type="expression" priority="4237" dxfId="6424">
      <formula>$B2120="Subetapa"</formula>
    </cfRule>
  </conditionalFormatting>
  <conditionalFormatting sqref="A2127:A2132">
    <cfRule type="expression" priority="4230" dxfId="6424">
      <formula>$B2127="Subetapa"</formula>
    </cfRule>
  </conditionalFormatting>
  <conditionalFormatting sqref="A2134:A2139">
    <cfRule type="expression" priority="4223" dxfId="6424">
      <formula>$B2134="Subetapa"</formula>
    </cfRule>
  </conditionalFormatting>
  <conditionalFormatting sqref="A2179:A2180">
    <cfRule type="expression" priority="4466" dxfId="6424">
      <formula>$B2179="Subetapa"</formula>
    </cfRule>
  </conditionalFormatting>
  <conditionalFormatting sqref="A2181:A2207 A2317:A2330">
    <cfRule type="expression" priority="4411" dxfId="6424">
      <formula>$B2181="Subetapa"</formula>
    </cfRule>
  </conditionalFormatting>
  <conditionalFormatting sqref="A2212:A2223">
    <cfRule type="expression" priority="3895" dxfId="6434">
      <formula>$B2212="Subetapa"</formula>
    </cfRule>
  </conditionalFormatting>
  <conditionalFormatting sqref="A2224:A2243">
    <cfRule type="expression" priority="3896" dxfId="6434">
      <formula>$B2224="Subetapa"</formula>
    </cfRule>
  </conditionalFormatting>
  <conditionalFormatting sqref="A2338:A2341">
    <cfRule type="expression" priority="3771" dxfId="6433">
      <formula>$B2338="Serviço"</formula>
    </cfRule>
    <cfRule type="expression" priority="3772" dxfId="6434">
      <formula>$B2338="Subetapa"</formula>
    </cfRule>
  </conditionalFormatting>
  <conditionalFormatting sqref="A2347:A2348">
    <cfRule type="expression" priority="3769" dxfId="6433">
      <formula>$B2347="Serviço"</formula>
    </cfRule>
    <cfRule type="expression" priority="3770" dxfId="6434">
      <formula>$B2347="Subetapa"</formula>
    </cfRule>
  </conditionalFormatting>
  <conditionalFormatting sqref="A2349:A2350">
    <cfRule type="expression" priority="3767" dxfId="6433">
      <formula>$B2349="Serviço"</formula>
    </cfRule>
    <cfRule type="expression" priority="3768" dxfId="6434">
      <formula>$B2349="Subetapa"</formula>
    </cfRule>
  </conditionalFormatting>
  <conditionalFormatting sqref="A2356:A2357">
    <cfRule type="expression" priority="4210" dxfId="6424">
      <formula>$B2356="Subetapa"</formula>
    </cfRule>
  </conditionalFormatting>
  <conditionalFormatting sqref="A2344:A2345 A2359:A2367 A2369:A2373 A2390:A2434">
    <cfRule type="expression" priority="4430" dxfId="6424">
      <formula>$B2344="Subetapa"</formula>
    </cfRule>
  </conditionalFormatting>
  <conditionalFormatting sqref="A2374:A2378">
    <cfRule type="expression" priority="3765" dxfId="6433">
      <formula>$B2374="Serviço"</formula>
    </cfRule>
    <cfRule type="expression" priority="3766" dxfId="6434">
      <formula>$B2374="Subetapa"</formula>
    </cfRule>
  </conditionalFormatting>
  <conditionalFormatting sqref="A2379:A2388">
    <cfRule type="expression" priority="3763" dxfId="6434">
      <formula>$B2379="Subetapa"</formula>
    </cfRule>
  </conditionalFormatting>
  <conditionalFormatting sqref="A2380:A2383 A2385:A2388">
    <cfRule type="expression" priority="3764" dxfId="6433">
      <formula>$B2380="Serviço"</formula>
    </cfRule>
  </conditionalFormatting>
  <conditionalFormatting sqref="A2435:A2469">
    <cfRule type="expression" priority="4206" dxfId="6424">
      <formula>$B2435="Subetapa"</formula>
    </cfRule>
  </conditionalFormatting>
  <conditionalFormatting sqref="A2470:A2474">
    <cfRule type="expression" priority="3761" dxfId="6433">
      <formula>$B2470="Serviço"</formula>
    </cfRule>
  </conditionalFormatting>
  <conditionalFormatting sqref="A2637:A2661">
    <cfRule type="expression" priority="4059" dxfId="6424">
      <formula>$B2637="Subetapa"</formula>
    </cfRule>
  </conditionalFormatting>
  <conditionalFormatting sqref="A2662:A2669">
    <cfRule type="expression" priority="4051" dxfId="6424">
      <formula>$B2662="Subetapa"</formula>
    </cfRule>
  </conditionalFormatting>
  <conditionalFormatting sqref="A2670:A2672">
    <cfRule type="expression" priority="4053" dxfId="6424">
      <formula>$B2670="Subetapa"</formula>
    </cfRule>
  </conditionalFormatting>
  <conditionalFormatting sqref="A2673:A2674 A2682 A2684:A2685 A2687:A2688 A2690">
    <cfRule type="expression" priority="3760" dxfId="6433">
      <formula>$B2673="Serviço"</formula>
    </cfRule>
    <cfRule type="expression" priority="3759" dxfId="6434">
      <formula>$B2673="Subetapa"</formula>
    </cfRule>
  </conditionalFormatting>
  <conditionalFormatting sqref="A2731:A2735">
    <cfRule type="expression" priority="4057" dxfId="6424">
      <formula>$B2731="Subetapa"</formula>
    </cfRule>
  </conditionalFormatting>
  <conditionalFormatting sqref="A2737:A2753">
    <cfRule type="expression" priority="4055" dxfId="6424">
      <formula>$B2737="Subetapa"</formula>
    </cfRule>
  </conditionalFormatting>
  <conditionalFormatting sqref="A2765:A2767">
    <cfRule type="expression" priority="3757" dxfId="6433">
      <formula>$B2765="Serviço"</formula>
    </cfRule>
    <cfRule type="expression" priority="3758" dxfId="6434">
      <formula>$B2765="Subetapa"</formula>
    </cfRule>
  </conditionalFormatting>
  <conditionalFormatting sqref="A2772:A2787">
    <cfRule type="expression" priority="4203" dxfId="6424">
      <formula>$B2772="Subetapa"</formula>
    </cfRule>
  </conditionalFormatting>
  <conditionalFormatting sqref="A2806:A2816">
    <cfRule type="expression" priority="3756" dxfId="6434">
      <formula>$B2806="Subetapa"</formula>
    </cfRule>
    <cfRule type="expression" priority="3755" dxfId="6433">
      <formula>$B2806="Serviço"</formula>
    </cfRule>
  </conditionalFormatting>
  <conditionalFormatting sqref="A2883:A2884 A3177:A3188 A3247:A3249">
    <cfRule type="expression" priority="3753" dxfId="6434">
      <formula>$B2883="Subetapa"</formula>
    </cfRule>
    <cfRule type="expression" priority="3754" dxfId="6433">
      <formula>$B2883="Serviço"</formula>
    </cfRule>
  </conditionalFormatting>
  <conditionalFormatting sqref="A2911:A2918">
    <cfRule type="expression" priority="4197" dxfId="6424">
      <formula>$B2911="Subetapa"</formula>
    </cfRule>
  </conditionalFormatting>
  <conditionalFormatting sqref="A2937:A2960">
    <cfRule type="expression" priority="4404" dxfId="6424">
      <formula>$B2937="Subetapa"</formula>
    </cfRule>
  </conditionalFormatting>
  <conditionalFormatting sqref="A3023:A3046 A3048:A3055">
    <cfRule type="expression" priority="4489" dxfId="6424">
      <formula>$B3023="Subetapa"</formula>
    </cfRule>
  </conditionalFormatting>
  <conditionalFormatting sqref="A3056:A3063">
    <cfRule type="expression" priority="3751" dxfId="6434">
      <formula>$B3056="Subetapa"</formula>
    </cfRule>
    <cfRule type="expression" priority="3752" dxfId="6433">
      <formula>$B3056="Serviço"</formula>
    </cfRule>
  </conditionalFormatting>
  <conditionalFormatting sqref="A3097:A3098">
    <cfRule type="expression" priority="3750" dxfId="6433">
      <formula>$B3097="Serviço"</formula>
    </cfRule>
    <cfRule type="expression" priority="3749" dxfId="6434">
      <formula>$B3097="Subetapa"</formula>
    </cfRule>
  </conditionalFormatting>
  <conditionalFormatting sqref="A3099:A3106 A3108:A3128 A3137:A3138">
    <cfRule type="expression" priority="4431" dxfId="6424">
      <formula>$B3099="Subetapa"</formula>
    </cfRule>
  </conditionalFormatting>
  <conditionalFormatting sqref="A3129:A3136">
    <cfRule type="expression" priority="3747" dxfId="6434">
      <formula>$B3129="Subetapa"</formula>
    </cfRule>
    <cfRule type="expression" priority="3748" dxfId="6433">
      <formula>$B3129="Serviço"</formula>
    </cfRule>
  </conditionalFormatting>
  <conditionalFormatting sqref="A3350:A3379">
    <cfRule type="expression" priority="4183" dxfId="6424">
      <formula>$B3350="Subetapa"</formula>
    </cfRule>
  </conditionalFormatting>
  <conditionalFormatting sqref="A3380:A3463">
    <cfRule type="expression" priority="4187" dxfId="6424">
      <formula>$B3380="Subetapa"</formula>
    </cfRule>
  </conditionalFormatting>
  <conditionalFormatting sqref="A3464:A3475">
    <cfRule type="expression" priority="4185" dxfId="6424">
      <formula>$B3464="Subetapa"</formula>
    </cfRule>
  </conditionalFormatting>
  <conditionalFormatting sqref="A3623:A3625">
    <cfRule type="expression" priority="4168" dxfId="6424">
      <formula>$B3623="Subetapa"</formula>
    </cfRule>
  </conditionalFormatting>
  <conditionalFormatting sqref="A3626:A3628">
    <cfRule type="expression" priority="4176" dxfId="6424">
      <formula>$B3626="Subetapa"</formula>
    </cfRule>
  </conditionalFormatting>
  <conditionalFormatting sqref="A3640:A3643">
    <cfRule type="expression" priority="4172" dxfId="6424">
      <formula>$B3640="Subetapa"</formula>
    </cfRule>
  </conditionalFormatting>
  <conditionalFormatting sqref="A3662:A3673">
    <cfRule type="expression" priority="4174" dxfId="6424">
      <formula>$B3662="Subetapa"</formula>
    </cfRule>
  </conditionalFormatting>
  <conditionalFormatting sqref="A3674:A3678">
    <cfRule type="expression" priority="3743" dxfId="6433">
      <formula>$B3674="Serviço"</formula>
    </cfRule>
    <cfRule type="expression" priority="3744" dxfId="6434">
      <formula>$B3674="Subetapa"</formula>
    </cfRule>
  </conditionalFormatting>
  <conditionalFormatting sqref="A3679:A3683">
    <cfRule type="expression" priority="4170" dxfId="6424">
      <formula>$B3679="Subetapa"</formula>
    </cfRule>
  </conditionalFormatting>
  <conditionalFormatting sqref="A3684:A3688">
    <cfRule type="expression" priority="3741" dxfId="6433">
      <formula>$B3684="Serviço"</formula>
    </cfRule>
    <cfRule type="expression" priority="3742" dxfId="6434">
      <formula>$B3684="Subetapa"</formula>
    </cfRule>
  </conditionalFormatting>
  <conditionalFormatting sqref="A3699:A3708">
    <cfRule type="expression" priority="3739" dxfId="6433">
      <formula>$B3699="Serviço"</formula>
    </cfRule>
    <cfRule type="expression" priority="3740" dxfId="6434">
      <formula>$B3699="Subetapa"</formula>
    </cfRule>
  </conditionalFormatting>
  <conditionalFormatting sqref="A3722:A3724">
    <cfRule type="expression" priority="3737" dxfId="6433">
      <formula>$B3722="Serviço"</formula>
    </cfRule>
    <cfRule type="expression" priority="3738" dxfId="6434">
      <formula>$B3722="Subetapa"</formula>
    </cfRule>
  </conditionalFormatting>
  <conditionalFormatting sqref="A3731:A3758">
    <cfRule type="expression" priority="4042" dxfId="6424">
      <formula>$B3731="Subetapa"</formula>
    </cfRule>
  </conditionalFormatting>
  <conditionalFormatting sqref="A3767:A3787">
    <cfRule type="expression" priority="4190" dxfId="6424">
      <formula>$B3767="Subetapa"</formula>
    </cfRule>
  </conditionalFormatting>
  <conditionalFormatting sqref="A3788:A3793">
    <cfRule type="expression" priority="4034" dxfId="6424">
      <formula>$B3788="Subetapa"</formula>
    </cfRule>
  </conditionalFormatting>
  <conditionalFormatting sqref="A3794:A3807">
    <cfRule type="expression" priority="4156" dxfId="6424">
      <formula>$B3794="Subetapa"</formula>
    </cfRule>
  </conditionalFormatting>
  <conditionalFormatting sqref="A3808:A3815">
    <cfRule type="expression" priority="3736" dxfId="6433">
      <formula>$B3808="Serviço"</formula>
    </cfRule>
    <cfRule type="expression" priority="3735" dxfId="6434">
      <formula>$B3808="Subetapa"</formula>
    </cfRule>
  </conditionalFormatting>
  <conditionalFormatting sqref="A3846:A3847">
    <cfRule type="expression" priority="4110" dxfId="6424">
      <formula>$B3846="Subetapa"</formula>
    </cfRule>
  </conditionalFormatting>
  <conditionalFormatting sqref="A3858:A3859">
    <cfRule type="expression" priority="4152" dxfId="6424">
      <formula>$B3858="Subetapa"</formula>
    </cfRule>
  </conditionalFormatting>
  <conditionalFormatting sqref="A3861:A3862">
    <cfRule type="expression" priority="4150" dxfId="6424">
      <formula>$B3861="Subetapa"</formula>
    </cfRule>
  </conditionalFormatting>
  <conditionalFormatting sqref="A3864:A3865">
    <cfRule type="expression" priority="4142" dxfId="6424">
      <formula>$B3864="Subetapa"</formula>
    </cfRule>
  </conditionalFormatting>
  <conditionalFormatting sqref="A3883:A3884">
    <cfRule type="expression" priority="4137" dxfId="6424">
      <formula>$B3883="Subetapa"</formula>
    </cfRule>
  </conditionalFormatting>
  <conditionalFormatting sqref="A3894:A3895">
    <cfRule type="expression" priority="4132" dxfId="6424">
      <formula>$B3894="Subetapa"</formula>
    </cfRule>
  </conditionalFormatting>
  <conditionalFormatting sqref="A3905:A3906">
    <cfRule type="expression" priority="4127" dxfId="6424">
      <formula>$B3905="Subetapa"</formula>
    </cfRule>
  </conditionalFormatting>
  <conditionalFormatting sqref="A3916:A3917">
    <cfRule type="expression" priority="4122" dxfId="6424">
      <formula>$B3916="Subetapa"</formula>
    </cfRule>
  </conditionalFormatting>
  <conditionalFormatting sqref="A3927:A3928">
    <cfRule type="expression" priority="4117" dxfId="6424">
      <formula>$B3927="Subetapa"</formula>
    </cfRule>
  </conditionalFormatting>
  <conditionalFormatting sqref="A3929:A3932">
    <cfRule type="expression" priority="3996" dxfId="6424">
      <formula>$B3929="Subetapa"</formula>
    </cfRule>
  </conditionalFormatting>
  <conditionalFormatting sqref="A3938:A3943">
    <cfRule type="expression" priority="4468" dxfId="6424">
      <formula>$B3938="Subetapa"</formula>
    </cfRule>
  </conditionalFormatting>
  <conditionalFormatting sqref="A3944:A3952">
    <cfRule type="expression" priority="3993" dxfId="6424">
      <formula>$B3944="Subetapa"</formula>
    </cfRule>
  </conditionalFormatting>
  <conditionalFormatting sqref="A3956:A3959">
    <cfRule type="expression" priority="3918" dxfId="6424">
      <formula>$B3956="Subetapa"</formula>
    </cfRule>
  </conditionalFormatting>
  <conditionalFormatting sqref="A3983:A3986">
    <cfRule type="expression" priority="3733" dxfId="6433">
      <formula>$B3983="Serviço"</formula>
    </cfRule>
  </conditionalFormatting>
  <conditionalFormatting sqref="A4041:A4043 A4051:A4056">
    <cfRule type="expression" priority="3732" dxfId="6433">
      <formula>$B4041="Serviço"</formula>
    </cfRule>
    <cfRule type="expression" priority="3731" dxfId="6434">
      <formula>$B4041="Subetapa"</formula>
    </cfRule>
  </conditionalFormatting>
  <conditionalFormatting sqref="A4058:A4067">
    <cfRule type="expression" priority="4412" dxfId="6424">
      <formula>$B4058="Subetapa"</formula>
    </cfRule>
  </conditionalFormatting>
  <conditionalFormatting sqref="A4069:A4076">
    <cfRule type="expression" priority="4112" dxfId="6424">
      <formula>$B4069="Subetapa"</formula>
    </cfRule>
  </conditionalFormatting>
  <conditionalFormatting sqref="A4078:A4086 A4152:A4155">
    <cfRule type="expression" priority="4405" dxfId="6424">
      <formula>$B4078="Subetapa"</formula>
    </cfRule>
  </conditionalFormatting>
  <conditionalFormatting sqref="A4088:A4098 A4110:A4113">
    <cfRule type="expression" priority="4476" dxfId="6424">
      <formula>$B4088="Subetapa"</formula>
    </cfRule>
  </conditionalFormatting>
  <conditionalFormatting sqref="A4114:A4115">
    <cfRule type="expression" priority="3723" dxfId="6434">
      <formula>$B4114="Subetapa"</formula>
    </cfRule>
  </conditionalFormatting>
  <conditionalFormatting sqref="A4122:A4124">
    <cfRule type="expression" priority="3726" dxfId="6433">
      <formula>$B4122="Serviço"</formula>
    </cfRule>
    <cfRule type="expression" priority="3727" dxfId="6434">
      <formula>$B4122="Subetapa"</formula>
    </cfRule>
  </conditionalFormatting>
  <conditionalFormatting sqref="A4125:A4134">
    <cfRule type="expression" priority="4162" dxfId="6424">
      <formula>$B4125="Subetapa"</formula>
    </cfRule>
  </conditionalFormatting>
  <conditionalFormatting sqref="A4156:A4161">
    <cfRule type="expression" priority="3721" dxfId="6433">
      <formula>$B4156="Serviço"</formula>
    </cfRule>
    <cfRule type="expression" priority="3722" dxfId="6434">
      <formula>$B4156="Subetapa"</formula>
    </cfRule>
  </conditionalFormatting>
  <conditionalFormatting sqref="A4187:A4201">
    <cfRule type="expression" priority="4443" dxfId="6424">
      <formula>$B4187="Subetapa"</formula>
    </cfRule>
  </conditionalFormatting>
  <conditionalFormatting sqref="A4245:A4248">
    <cfRule type="expression" priority="3719" dxfId="6433">
      <formula>$B4245="Serviço"</formula>
    </cfRule>
    <cfRule type="expression" priority="3720" dxfId="6434">
      <formula>$B4245="Subetapa"</formula>
    </cfRule>
  </conditionalFormatting>
  <conditionalFormatting sqref="A4296:A4301">
    <cfRule type="expression" priority="4105" dxfId="6424">
      <formula>$B4296="Subetapa"</formula>
    </cfRule>
  </conditionalFormatting>
  <conditionalFormatting sqref="A4323:A4372">
    <cfRule type="expression" priority="4103" dxfId="6424">
      <formula>$B4323="Subetapa"</formula>
    </cfRule>
  </conditionalFormatting>
  <conditionalFormatting sqref="A4373:A4402">
    <cfRule type="expression" priority="3717" dxfId="6434">
      <formula>$B4373="Subetapa"</formula>
    </cfRule>
    <cfRule type="expression" priority="3718" dxfId="6433">
      <formula>$B4373="Serviço"</formula>
    </cfRule>
  </conditionalFormatting>
  <conditionalFormatting sqref="A4403:A4427">
    <cfRule type="expression" priority="4108" dxfId="6424">
      <formula>$B4403="Subetapa"</formula>
    </cfRule>
  </conditionalFormatting>
  <conditionalFormatting sqref="A4456:A4457">
    <cfRule type="expression" priority="4519" dxfId="6424">
      <formula>$B4456="Subetapa"</formula>
    </cfRule>
  </conditionalFormatting>
  <conditionalFormatting sqref="A4462:A4463">
    <cfRule type="expression" priority="4469" dxfId="6424">
      <formula>$B4462="Subetapa"</formula>
    </cfRule>
  </conditionalFormatting>
  <conditionalFormatting sqref="A4573:A4585 A4598:A4609">
    <cfRule type="expression" priority="4100" dxfId="6424">
      <formula>$B4573="Subetapa"</formula>
    </cfRule>
  </conditionalFormatting>
  <conditionalFormatting sqref="A4686:A4699">
    <cfRule type="expression" priority="3715" dxfId="6434">
      <formula>$B4686="Subetapa"</formula>
    </cfRule>
    <cfRule type="expression" priority="3716" dxfId="6433">
      <formula>$B4686="Serviço"</formula>
    </cfRule>
  </conditionalFormatting>
  <conditionalFormatting sqref="A3759:A3766 A3962:A3969 A4723:A4726 A4984:A5027">
    <cfRule type="expression" priority="4494" dxfId="6424">
      <formula>$B3759="Subetapa"</formula>
    </cfRule>
  </conditionalFormatting>
  <conditionalFormatting sqref="A4727:A4790">
    <cfRule type="expression" priority="4419" dxfId="6424">
      <formula>$B4727="Subetapa"</formula>
    </cfRule>
  </conditionalFormatting>
  <conditionalFormatting sqref="A4801:A4810">
    <cfRule type="expression" priority="3713" dxfId="6433">
      <formula>$B4801="Serviço"</formula>
    </cfRule>
    <cfRule type="expression" priority="3714" dxfId="6434">
      <formula>$B4801="Subetapa"</formula>
    </cfRule>
  </conditionalFormatting>
  <conditionalFormatting sqref="A4872:A4917 A4923:A4931">
    <cfRule type="expression" priority="4470" dxfId="6424">
      <formula>$B4872="Subetapa"</formula>
    </cfRule>
  </conditionalFormatting>
  <conditionalFormatting sqref="A4918:A4922">
    <cfRule type="expression" priority="3711" dxfId="6433">
      <formula>$B4918="Serviço"</formula>
    </cfRule>
    <cfRule type="expression" priority="3712" dxfId="6434">
      <formula>$B4918="Subetapa"</formula>
    </cfRule>
  </conditionalFormatting>
  <conditionalFormatting sqref="A4933:A4975">
    <cfRule type="expression" priority="4471" dxfId="6424">
      <formula>$B4933="Subetapa"</formula>
    </cfRule>
  </conditionalFormatting>
  <conditionalFormatting sqref="A303">
    <cfRule type="expression" priority="3837" dxfId="6424">
      <formula>$B303="Subetapa"</formula>
    </cfRule>
  </conditionalFormatting>
  <conditionalFormatting sqref="A810:A813 A839:A842">
    <cfRule type="expression" priority="3709" dxfId="6424">
      <formula>$B810="Subetapa"</formula>
    </cfRule>
  </conditionalFormatting>
  <conditionalFormatting sqref="A881">
    <cfRule type="expression" priority="3793" dxfId="6433">
      <formula>$B881="Serviço"</formula>
    </cfRule>
    <cfRule type="expression" priority="3794" dxfId="6434">
      <formula>$B881="Subetapa"</formula>
    </cfRule>
  </conditionalFormatting>
  <conditionalFormatting sqref="A894">
    <cfRule type="expression" priority="3797" dxfId="6433">
      <formula>$B894="Serviço"</formula>
    </cfRule>
    <cfRule type="expression" priority="3798" dxfId="6434">
      <formula>$B894="Subetapa"</formula>
    </cfRule>
  </conditionalFormatting>
  <conditionalFormatting sqref="A896">
    <cfRule type="expression" priority="3799" dxfId="6433">
      <formula>$B896="Serviço"</formula>
    </cfRule>
    <cfRule type="expression" priority="3800" dxfId="6434">
      <formula>$B896="Subetapa"</formula>
    </cfRule>
  </conditionalFormatting>
  <conditionalFormatting sqref="A923">
    <cfRule type="expression" priority="3860" dxfId="6433">
      <formula>$B923="Serviço"</formula>
    </cfRule>
    <cfRule type="expression" priority="3861" dxfId="6434">
      <formula>$B923="Subetapa"</formula>
    </cfRule>
  </conditionalFormatting>
  <conditionalFormatting sqref="A926">
    <cfRule type="expression" priority="3864" dxfId="6433">
      <formula>$B926="Serviço"</formula>
    </cfRule>
    <cfRule type="expression" priority="3865" dxfId="6434">
      <formula>$B926="Subetapa"</formula>
    </cfRule>
  </conditionalFormatting>
  <conditionalFormatting sqref="A929">
    <cfRule type="expression" priority="3866" dxfId="6433">
      <formula>$B929="Serviço"</formula>
    </cfRule>
    <cfRule type="expression" priority="3867" dxfId="6434">
      <formula>$B929="Subetapa"</formula>
    </cfRule>
  </conditionalFormatting>
  <conditionalFormatting sqref="A933">
    <cfRule type="expression" priority="3876" dxfId="6433">
      <formula>$B933="Serviço"</formula>
    </cfRule>
    <cfRule type="expression" priority="3877" dxfId="6434">
      <formula>$B933="Subetapa"</formula>
    </cfRule>
  </conditionalFormatting>
  <conditionalFormatting sqref="A936">
    <cfRule type="expression" priority="3874" dxfId="6433">
      <formula>$B936="Serviço"</formula>
    </cfRule>
    <cfRule type="expression" priority="3875" dxfId="6434">
      <formula>$B936="Subetapa"</formula>
    </cfRule>
  </conditionalFormatting>
  <conditionalFormatting sqref="A939">
    <cfRule type="expression" priority="3878" dxfId="6433">
      <formula>$B939="Serviço"</formula>
    </cfRule>
    <cfRule type="expression" priority="3879" dxfId="6434">
      <formula>$B939="Subetapa"</formula>
    </cfRule>
  </conditionalFormatting>
  <conditionalFormatting sqref="A942">
    <cfRule type="expression" priority="3880" dxfId="6433">
      <formula>$B942="Serviço"</formula>
    </cfRule>
    <cfRule type="expression" priority="3881" dxfId="6434">
      <formula>$B942="Subetapa"</formula>
    </cfRule>
  </conditionalFormatting>
  <conditionalFormatting sqref="A959 A962">
    <cfRule type="expression" priority="4508" dxfId="6424">
      <formula>$B959="Subetapa"</formula>
    </cfRule>
  </conditionalFormatting>
  <conditionalFormatting sqref="A1186:A1197 A2612:A2636 A2962:A2963 A3215:A3226 A3229:A3230 A3235:A3242 A3251:A3264 A3285:A3289 A3311:A3324 A3340:A3349 A3550:A3555 A3689:A3698 A4206:A4207 A4211:A4216 A4249:A4263 A4268:A4271 A4457:A4461">
    <cfRule type="expression" priority="4393" dxfId="6424">
      <formula>$B1186="Subetapa"</formula>
    </cfRule>
  </conditionalFormatting>
  <conditionalFormatting sqref="A1290">
    <cfRule type="expression" priority="3779" dxfId="6434">
      <formula>$B1290="Subetapa"</formula>
    </cfRule>
  </conditionalFormatting>
  <conditionalFormatting sqref="A1300">
    <cfRule type="expression" priority="3774" dxfId="6434">
      <formula>$B1300="Subetapa"</formula>
    </cfRule>
  </conditionalFormatting>
  <conditionalFormatting sqref="A1311">
    <cfRule type="expression" priority="3775" dxfId="6434">
      <formula>$B1311="Subetapa"</formula>
    </cfRule>
  </conditionalFormatting>
  <conditionalFormatting sqref="A1322">
    <cfRule type="expression" priority="3776" dxfId="6434">
      <formula>$B1322="Subetapa"</formula>
    </cfRule>
  </conditionalFormatting>
  <conditionalFormatting sqref="A1333">
    <cfRule type="expression" priority="3777" dxfId="6434">
      <formula>$B1333="Subetapa"</formula>
    </cfRule>
  </conditionalFormatting>
  <conditionalFormatting sqref="A1344">
    <cfRule type="expression" priority="3773" dxfId="6434">
      <formula>$B1344="Subetapa"</formula>
    </cfRule>
  </conditionalFormatting>
  <conditionalFormatting sqref="A1386:A1396 A1535 A1541 A1548 A1626 A1638">
    <cfRule type="expression" priority="4379" dxfId="6424">
      <formula>$B1386="Subetapa"</formula>
    </cfRule>
  </conditionalFormatting>
  <conditionalFormatting sqref="A1542:A1546">
    <cfRule type="expression" priority="3699" dxfId="6424">
      <formula>$B1542="Subetapa"</formula>
    </cfRule>
  </conditionalFormatting>
  <conditionalFormatting sqref="A1650:A1842">
    <cfRule type="expression" priority="3708" dxfId="6424">
      <formula>$B1650="Subetapa"</formula>
    </cfRule>
  </conditionalFormatting>
  <conditionalFormatting sqref="A1844:A1854">
    <cfRule type="expression" priority="3707" dxfId="6424">
      <formula>$B1844="Subetapa"</formula>
    </cfRule>
  </conditionalFormatting>
  <conditionalFormatting sqref="A1856:A1866">
    <cfRule type="expression" priority="3706" dxfId="6424">
      <formula>$B1856="Subetapa"</formula>
    </cfRule>
  </conditionalFormatting>
  <conditionalFormatting sqref="A1869 A1871:A1879">
    <cfRule type="expression" priority="4354" dxfId="6424">
      <formula>$B1869="Subetapa"</formula>
    </cfRule>
  </conditionalFormatting>
  <conditionalFormatting sqref="A1870">
    <cfRule type="expression" priority="4350" dxfId="6424">
      <formula>$B1870="Subetapa"</formula>
    </cfRule>
  </conditionalFormatting>
  <conditionalFormatting sqref="A1894 A1896:A1906">
    <cfRule type="expression" priority="4348" dxfId="6424">
      <formula>$B1894="Subetapa"</formula>
    </cfRule>
  </conditionalFormatting>
  <conditionalFormatting sqref="A1931 A1933:A1941">
    <cfRule type="expression" priority="4323" dxfId="6424">
      <formula>$B1931="Subetapa"</formula>
    </cfRule>
  </conditionalFormatting>
  <conditionalFormatting sqref="A1944 A1946:A1954">
    <cfRule type="expression" priority="4317" dxfId="6424">
      <formula>$B1944="Subetapa"</formula>
    </cfRule>
  </conditionalFormatting>
  <conditionalFormatting sqref="A1957 A1959:A1967">
    <cfRule type="expression" priority="4311" dxfId="6424">
      <formula>$B1957="Subetapa"</formula>
    </cfRule>
  </conditionalFormatting>
  <conditionalFormatting sqref="A1970 A1972:A1980">
    <cfRule type="expression" priority="4305" dxfId="6424">
      <formula>$B1970="Subetapa"</formula>
    </cfRule>
  </conditionalFormatting>
  <conditionalFormatting sqref="A2020">
    <cfRule type="expression" priority="4090" dxfId="6424">
      <formula>$B2020="Subetapa"</formula>
    </cfRule>
  </conditionalFormatting>
  <conditionalFormatting sqref="A2042:A2052">
    <cfRule type="expression" priority="3705" dxfId="6424">
      <formula>$B2042="Subetapa"</formula>
    </cfRule>
  </conditionalFormatting>
  <conditionalFormatting sqref="A2068">
    <cfRule type="expression" priority="4266" dxfId="6424">
      <formula>$B2068="Subetapa"</formula>
    </cfRule>
  </conditionalFormatting>
  <conditionalFormatting sqref="A2081">
    <cfRule type="expression" priority="4260" dxfId="6424">
      <formula>$B2081="Subetapa"</formula>
    </cfRule>
  </conditionalFormatting>
  <conditionalFormatting sqref="A2094">
    <cfRule type="expression" priority="4254" dxfId="6424">
      <formula>$B2094="Subetapa"</formula>
    </cfRule>
  </conditionalFormatting>
  <conditionalFormatting sqref="A2331:A2336">
    <cfRule type="expression" priority="3704" dxfId="6424">
      <formula>$B2331="Subetapa"</formula>
    </cfRule>
  </conditionalFormatting>
  <conditionalFormatting sqref="A2346">
    <cfRule type="expression" priority="4208" dxfId="6424">
      <formula>$B2346="Subetapa"</formula>
    </cfRule>
  </conditionalFormatting>
  <conditionalFormatting sqref="A2379 A2384">
    <cfRule type="expression" priority="3762" dxfId="6433">
      <formula>$B2379="Serviço"</formula>
    </cfRule>
  </conditionalFormatting>
  <conditionalFormatting sqref="A2692:A2718">
    <cfRule type="expression" priority="3698" dxfId="6424">
      <formula>$B2692="Subetapa"</formula>
    </cfRule>
  </conditionalFormatting>
  <conditionalFormatting sqref="A2756:A2764">
    <cfRule type="expression" priority="3694" dxfId="6424">
      <formula>$B2756="Subetapa"</formula>
    </cfRule>
  </conditionalFormatting>
  <conditionalFormatting sqref="A2768">
    <cfRule type="expression" priority="4202" dxfId="6424">
      <formula>$B2768="Subetapa"</formula>
    </cfRule>
  </conditionalFormatting>
  <conditionalFormatting sqref="A2876">
    <cfRule type="expression" priority="4200" dxfId="6424">
      <formula>$B2876="Subetapa"</formula>
    </cfRule>
  </conditionalFormatting>
  <conditionalFormatting sqref="A2885:A2889 A2905:A2910">
    <cfRule type="expression" priority="3697" dxfId="6424">
      <formula>$B2885="Subetapa"</formula>
    </cfRule>
  </conditionalFormatting>
  <conditionalFormatting sqref="A3107">
    <cfRule type="expression" priority="4192" dxfId="6424">
      <formula>$B3107="Subetapa"</formula>
    </cfRule>
  </conditionalFormatting>
  <conditionalFormatting sqref="A3561:A3575">
    <cfRule type="expression" priority="3703" dxfId="6424">
      <formula>$B3561="Subetapa"</formula>
    </cfRule>
  </conditionalFormatting>
  <conditionalFormatting sqref="A3577:A3588 A3618:A3621">
    <cfRule type="expression" priority="3702" dxfId="6424">
      <formula>$B3577="Subetapa"</formula>
    </cfRule>
  </conditionalFormatting>
  <conditionalFormatting sqref="A3816:A3845">
    <cfRule type="expression" priority="3696" dxfId="6424">
      <formula>$B3816="Subetapa"</formula>
    </cfRule>
  </conditionalFormatting>
  <conditionalFormatting sqref="A3848:A3850">
    <cfRule type="expression" priority="3700" dxfId="6424">
      <formula>$B3848="Subetapa"</formula>
    </cfRule>
  </conditionalFormatting>
  <conditionalFormatting sqref="A3937">
    <cfRule type="expression" priority="3997" dxfId="6424">
      <formula>$B3937="Subetapa"</formula>
    </cfRule>
  </conditionalFormatting>
  <conditionalFormatting sqref="A3991">
    <cfRule type="expression" priority="3734" dxfId="6433">
      <formula>$B3991="Serviço"</formula>
    </cfRule>
  </conditionalFormatting>
  <conditionalFormatting sqref="A4124">
    <cfRule type="expression" priority="3724" dxfId="6433">
      <formula>$B4124="Serviço"</formula>
    </cfRule>
    <cfRule type="expression" priority="3725" dxfId="6434">
      <formula>$B4124="Subetapa"</formula>
    </cfRule>
  </conditionalFormatting>
  <conditionalFormatting sqref="A4460">
    <cfRule type="expression" priority="4417" dxfId="6424">
      <formula>$B4460="Subetapa"</formula>
    </cfRule>
  </conditionalFormatting>
  <conditionalFormatting sqref="A4482">
    <cfRule type="expression" priority="4418" dxfId="6424">
      <formula>$B4482="Subetapa"</formula>
    </cfRule>
  </conditionalFormatting>
  <conditionalFormatting sqref="A4701:A4702">
    <cfRule type="expression" priority="3695" dxfId="6424">
      <formula>$B4701="Subetapa"</formula>
    </cfRule>
  </conditionalFormatting>
  <conditionalFormatting sqref="A323">
    <cfRule type="expression" priority="4507" dxfId="6424">
      <formula>$B323="Subetapa"</formula>
    </cfRule>
  </conditionalFormatting>
  <conditionalFormatting sqref="A1842">
    <cfRule type="expression" priority="4366" dxfId="6424">
      <formula>$B1842="Subetapa"</formula>
    </cfRule>
  </conditionalFormatting>
  <conditionalFormatting sqref="A2769">
    <cfRule type="expression" priority="3901" dxfId="6424">
      <formula>$B2769="Subetapa"</formula>
    </cfRule>
  </conditionalFormatting>
  <conditionalFormatting sqref="A2770">
    <cfRule type="expression" priority="3905" dxfId="6424">
      <formula>$B2770="Subetapa"</formula>
    </cfRule>
  </conditionalFormatting>
  <conditionalFormatting sqref="A2771">
    <cfRule type="expression" priority="3903" dxfId="6424">
      <formula>$B2771="Subetapa"</formula>
    </cfRule>
  </conditionalFormatting>
  <conditionalFormatting sqref="A4932">
    <cfRule type="expression" priority="4496" dxfId="6424">
      <formula>$B4932="Subetapa"</formula>
    </cfRule>
  </conditionalFormatting>
  <conditionalFormatting sqref="A2007">
    <cfRule type="expression" priority="4338" dxfId="6424">
      <formula>$B2007="Subetapa"</formula>
    </cfRule>
  </conditionalFormatting>
  <conditionalFormatting sqref="A3865">
    <cfRule type="expression" priority="4141" dxfId="6424">
      <formula>$B3865="Subetapa"</formula>
    </cfRule>
  </conditionalFormatting>
  <conditionalFormatting sqref="A3871">
    <cfRule type="expression" priority="3927" dxfId="6424">
      <formula>$B3871="Subetapa"</formula>
    </cfRule>
  </conditionalFormatting>
  <conditionalFormatting sqref="A3872">
    <cfRule type="expression" priority="3924" dxfId="6424">
      <formula>$B3872="Subetapa"</formula>
    </cfRule>
  </conditionalFormatting>
  <conditionalFormatting sqref="A3873">
    <cfRule type="expression" priority="3921" dxfId="6424">
      <formula>$B3873="Subetapa"</formula>
    </cfRule>
  </conditionalFormatting>
  <conditionalFormatting sqref="A3884">
    <cfRule type="expression" priority="4136" dxfId="6424">
      <formula>$B3884="Subetapa"</formula>
    </cfRule>
  </conditionalFormatting>
  <conditionalFormatting sqref="A3890">
    <cfRule type="expression" priority="3939" dxfId="6424">
      <formula>$B3890="Subetapa"</formula>
    </cfRule>
  </conditionalFormatting>
  <conditionalFormatting sqref="A3891">
    <cfRule type="expression" priority="3936" dxfId="6424">
      <formula>$B3891="Subetapa"</formula>
    </cfRule>
  </conditionalFormatting>
  <conditionalFormatting sqref="A3892">
    <cfRule type="expression" priority="3933" dxfId="6424">
      <formula>$B3892="Subetapa"</formula>
    </cfRule>
  </conditionalFormatting>
  <conditionalFormatting sqref="A3895">
    <cfRule type="expression" priority="4131" dxfId="6424">
      <formula>$B3895="Subetapa"</formula>
    </cfRule>
  </conditionalFormatting>
  <conditionalFormatting sqref="A3901">
    <cfRule type="expression" priority="3951" dxfId="6424">
      <formula>$B3901="Subetapa"</formula>
    </cfRule>
  </conditionalFormatting>
  <conditionalFormatting sqref="A3902">
    <cfRule type="expression" priority="3948" dxfId="6424">
      <formula>$B3902="Subetapa"</formula>
    </cfRule>
  </conditionalFormatting>
  <conditionalFormatting sqref="A3903">
    <cfRule type="expression" priority="3945" dxfId="6424">
      <formula>$B3903="Subetapa"</formula>
    </cfRule>
  </conditionalFormatting>
  <conditionalFormatting sqref="A3906">
    <cfRule type="expression" priority="4126" dxfId="6424">
      <formula>$B3906="Subetapa"</formula>
    </cfRule>
  </conditionalFormatting>
  <conditionalFormatting sqref="A3912">
    <cfRule type="expression" priority="3963" dxfId="6424">
      <formula>$B3912="Subetapa"</formula>
    </cfRule>
  </conditionalFormatting>
  <conditionalFormatting sqref="A3913">
    <cfRule type="expression" priority="3960" dxfId="6424">
      <formula>$B3913="Subetapa"</formula>
    </cfRule>
  </conditionalFormatting>
  <conditionalFormatting sqref="A3914">
    <cfRule type="expression" priority="3957" dxfId="6424">
      <formula>$B3914="Subetapa"</formula>
    </cfRule>
  </conditionalFormatting>
  <conditionalFormatting sqref="A3917">
    <cfRule type="expression" priority="4121" dxfId="6424">
      <formula>$B3917="Subetapa"</formula>
    </cfRule>
  </conditionalFormatting>
  <conditionalFormatting sqref="A3923">
    <cfRule type="expression" priority="3975" dxfId="6424">
      <formula>$B3923="Subetapa"</formula>
    </cfRule>
  </conditionalFormatting>
  <conditionalFormatting sqref="A3924">
    <cfRule type="expression" priority="3972" dxfId="6424">
      <formula>$B3924="Subetapa"</formula>
    </cfRule>
  </conditionalFormatting>
  <conditionalFormatting sqref="A3925">
    <cfRule type="expression" priority="3969" dxfId="6424">
      <formula>$B3925="Subetapa"</formula>
    </cfRule>
  </conditionalFormatting>
  <conditionalFormatting sqref="A3933">
    <cfRule type="expression" priority="3990" dxfId="6424">
      <formula>$B3933="Subetapa"</formula>
    </cfRule>
  </conditionalFormatting>
  <conditionalFormatting sqref="A3934">
    <cfRule type="expression" priority="3987" dxfId="6424">
      <formula>$B3934="Subetapa"</formula>
    </cfRule>
  </conditionalFormatting>
  <conditionalFormatting sqref="A3935">
    <cfRule type="expression" priority="3984" dxfId="6424">
      <formula>$B3935="Subetapa"</formula>
    </cfRule>
  </conditionalFormatting>
  <conditionalFormatting sqref="A3936">
    <cfRule type="expression" priority="3981" dxfId="6424">
      <formula>$B3936="Subetapa"</formula>
    </cfRule>
  </conditionalFormatting>
  <conditionalFormatting sqref="A3953">
    <cfRule type="expression" priority="3914" dxfId="6424">
      <formula>$B3953="Subetapa"</formula>
    </cfRule>
  </conditionalFormatting>
  <conditionalFormatting sqref="A3954">
    <cfRule type="expression" priority="3911" dxfId="6424">
      <formula>$B3954="Subetapa"</formula>
    </cfRule>
  </conditionalFormatting>
  <conditionalFormatting sqref="A3955">
    <cfRule type="expression" priority="3908" dxfId="6424">
      <formula>$B3955="Subetapa"</formula>
    </cfRule>
  </conditionalFormatting>
  <conditionalFormatting sqref="A1547">
    <cfRule type="expression" priority="4378" dxfId="6424">
      <formula>$B1547="Subetapa"</formula>
    </cfRule>
  </conditionalFormatting>
  <conditionalFormatting sqref="A1625">
    <cfRule type="expression" priority="4376" dxfId="6424">
      <formula>$B1625="Subetapa"</formula>
    </cfRule>
  </conditionalFormatting>
  <conditionalFormatting sqref="A1637">
    <cfRule type="expression" priority="4374" dxfId="6424">
      <formula>$B1637="Subetapa"</formula>
    </cfRule>
  </conditionalFormatting>
  <conditionalFormatting sqref="A1649">
    <cfRule type="expression" priority="4370" dxfId="6424">
      <formula>$B1649="Subetapa"</formula>
    </cfRule>
  </conditionalFormatting>
  <conditionalFormatting sqref="A1895">
    <cfRule type="expression" priority="4344" dxfId="6424">
      <formula>$B1895="Subetapa"</formula>
    </cfRule>
  </conditionalFormatting>
  <conditionalFormatting sqref="A3243">
    <cfRule type="expression" priority="3745" dxfId="6433">
      <formula>$B3243="Serviço"</formula>
    </cfRule>
  </conditionalFormatting>
  <conditionalFormatting sqref="A3622">
    <cfRule type="expression" priority="4189" dxfId="6424">
      <formula>$B3622="Subetapa"</formula>
    </cfRule>
  </conditionalFormatting>
  <conditionalFormatting sqref="A3860">
    <cfRule type="expression" priority="4148" dxfId="6424">
      <formula>$B3860="Subetapa"</formula>
    </cfRule>
  </conditionalFormatting>
  <conditionalFormatting sqref="A3970:A3979">
    <cfRule type="expression" priority="4028" dxfId="6424">
      <formula>$B3970="Subetapa"</formula>
    </cfRule>
  </conditionalFormatting>
  <conditionalFormatting sqref="A4068">
    <cfRule type="expression" priority="4153" dxfId="6424">
      <formula>$B4068="Subetapa"</formula>
    </cfRule>
  </conditionalFormatting>
  <conditionalFormatting sqref="A4077">
    <cfRule type="expression" priority="4154" dxfId="6424">
      <formula>$B4077="Subetapa"</formula>
    </cfRule>
  </conditionalFormatting>
  <conditionalFormatting sqref="A4087">
    <cfRule type="expression" priority="4166" dxfId="6424">
      <formula>$B4087="Subetapa"</formula>
    </cfRule>
  </conditionalFormatting>
  <conditionalFormatting sqref="A4205 A4235:A4244">
    <cfRule type="expression" priority="4095" dxfId="6424">
      <formula>$B4205="Subetapa"</formula>
    </cfRule>
  </conditionalFormatting>
  <conditionalFormatting sqref="A1016 A1536:A1540 A2877:A2882 A4135:A4138 A4283:A4290">
    <cfRule type="expression" priority="4077" dxfId="6424">
      <formula>$B1016="Subetapa"</formula>
    </cfRule>
  </conditionalFormatting>
  <conditionalFormatting sqref="A1843 A1855 A1867 A1917 A1929 A1942 A1955 A1968 A1981 A1993 A2005">
    <cfRule type="expression" priority="4065" dxfId="6424">
      <formula>$B1843="Subetapa"</formula>
    </cfRule>
  </conditionalFormatting>
  <conditionalFormatting sqref="A2041 A2053">
    <cfRule type="expression" priority="4063" dxfId="6424">
      <formula>$B2041="Subetapa"</formula>
    </cfRule>
  </conditionalFormatting>
  <conditionalFormatting sqref="A2168">
    <cfRule type="expression" priority="4082" dxfId="6424">
      <formula>$B2168="Subetapa"</formula>
    </cfRule>
  </conditionalFormatting>
  <conditionalFormatting sqref="A2208:A2211 A2277:A2278">
    <cfRule type="expression" priority="3690" dxfId="6424">
      <formula>$B2208="Subetapa"</formula>
    </cfRule>
  </conditionalFormatting>
  <conditionalFormatting sqref="A2525">
    <cfRule type="expression" priority="4213" dxfId="6424">
      <formula>$B2525="Subetapa"</formula>
    </cfRule>
  </conditionalFormatting>
  <conditionalFormatting sqref="A2755">
    <cfRule type="expression" priority="4204" dxfId="6424">
      <formula>$B2755="Subetapa"</formula>
    </cfRule>
  </conditionalFormatting>
  <conditionalFormatting sqref="A2875">
    <cfRule type="expression" priority="4019" dxfId="6424">
      <formula>$B2875="Subetapa"</formula>
    </cfRule>
  </conditionalFormatting>
  <conditionalFormatting sqref="A2936">
    <cfRule type="expression" priority="4195" dxfId="6424">
      <formula>$B2936="Subetapa"</formula>
    </cfRule>
  </conditionalFormatting>
  <conditionalFormatting sqref="A2961">
    <cfRule type="expression" priority="4194" dxfId="6424">
      <formula>$B2961="Subetapa"</formula>
    </cfRule>
  </conditionalFormatting>
  <conditionalFormatting sqref="A2964:A3021">
    <cfRule type="expression" priority="3689" dxfId="6424">
      <formula>$B2964="Subetapa"</formula>
    </cfRule>
  </conditionalFormatting>
  <conditionalFormatting sqref="A3022">
    <cfRule type="expression" priority="4193" dxfId="6424">
      <formula>$B3022="Subetapa"</formula>
    </cfRule>
  </conditionalFormatting>
  <conditionalFormatting sqref="A3709:A3713">
    <cfRule type="expression" priority="3693" dxfId="6424">
      <formula>$B3709="Subetapa"</formula>
    </cfRule>
  </conditionalFormatting>
  <conditionalFormatting sqref="A3715:A3721 A3725:A3730">
    <cfRule type="expression" priority="3692" dxfId="6424">
      <formula>$B3715="Subetapa"</formula>
    </cfRule>
  </conditionalFormatting>
  <conditionalFormatting sqref="A4023:A4028">
    <cfRule type="expression" priority="3691" dxfId="6424">
      <formula>$B4023="Subetapa"</formula>
    </cfRule>
  </conditionalFormatting>
  <conditionalFormatting sqref="A4272:A4277">
    <cfRule type="expression" priority="4032" dxfId="6424">
      <formula>$B4272="Subetapa"</formula>
    </cfRule>
  </conditionalFormatting>
  <conditionalFormatting sqref="A4700">
    <cfRule type="expression" priority="4107" dxfId="6424">
      <formula>$B4700="Subetapa"</formula>
    </cfRule>
  </conditionalFormatting>
  <conditionalFormatting sqref="A4722">
    <cfRule type="expression" priority="4096" dxfId="6424">
      <formula>$B4722="Subetapa"</formula>
    </cfRule>
  </conditionalFormatting>
  <conditionalFormatting sqref="A3089:A3092">
    <cfRule type="expression" priority="3710" dxfId="6424">
      <formula>$B3089="Subetapa"</formula>
    </cfRule>
  </conditionalFormatting>
  <conditionalFormatting sqref="A3191:A3194 A3207:A3214">
    <cfRule type="expression" priority="3701" dxfId="6424">
      <formula>$B3191="Subetapa"</formula>
    </cfRule>
  </conditionalFormatting>
  <conditionalFormatting sqref="A2019:A2040">
    <cfRule type="expression" priority="4092" dxfId="6424">
      <formula>$B2019="Subetapa"</formula>
    </cfRule>
  </conditionalFormatting>
  <conditionalFormatting sqref="A2067:A2078">
    <cfRule type="expression" priority="4268" dxfId="6424">
      <formula>$B2067="Subetapa"</formula>
    </cfRule>
  </conditionalFormatting>
  <conditionalFormatting sqref="A2069:A2079">
    <cfRule type="expression" priority="4270" dxfId="6424">
      <formula>$B2069="Subetapa"</formula>
    </cfRule>
  </conditionalFormatting>
  <conditionalFormatting sqref="A2080:A2091">
    <cfRule type="expression" priority="4262" dxfId="6424">
      <formula>$B2080="Subetapa"</formula>
    </cfRule>
  </conditionalFormatting>
  <conditionalFormatting sqref="A2082:A2092">
    <cfRule type="expression" priority="4264" dxfId="6424">
      <formula>$B2082="Subetapa"</formula>
    </cfRule>
  </conditionalFormatting>
  <conditionalFormatting sqref="A2093:A2104">
    <cfRule type="expression" priority="4256" dxfId="6424">
      <formula>$B2093="Subetapa"</formula>
    </cfRule>
  </conditionalFormatting>
  <conditionalFormatting sqref="A2095:A2104">
    <cfRule type="expression" priority="4258" dxfId="6424">
      <formula>$B2095="Subetapa"</formula>
    </cfRule>
  </conditionalFormatting>
  <conditionalFormatting sqref="A4107:A4109">
    <cfRule type="expression" priority="3728" dxfId="6434">
      <formula>$B4107="Subetapa"</formula>
    </cfRule>
  </conditionalFormatting>
  <conditionalFormatting sqref="A2 A2170:A2172">
    <cfRule type="expression" priority="4472" dxfId="6424">
      <formula>$B2="Subetapa"</formula>
    </cfRule>
  </conditionalFormatting>
  <conditionalFormatting sqref="A213 A215:A217">
    <cfRule type="expression" priority="4017" dxfId="6424">
      <formula>$B213="Subetapa"</formula>
    </cfRule>
  </conditionalFormatting>
  <conditionalFormatting sqref="A324:A343">
    <cfRule type="expression" priority="4504" dxfId="6424">
      <formula>$B324="Subetapa"</formula>
    </cfRule>
  </conditionalFormatting>
  <conditionalFormatting sqref="A738:A741">
    <cfRule type="expression" priority="3811" dxfId="6433">
      <formula>$B738="Serviço"</formula>
    </cfRule>
    <cfRule type="expression" priority="3812" dxfId="6434">
      <formula>$B738="Subetapa"</formula>
    </cfRule>
  </conditionalFormatting>
  <conditionalFormatting sqref="A759:A762">
    <cfRule type="expression" priority="3809" dxfId="6433">
      <formula>$B759="Serviço"</formula>
    </cfRule>
    <cfRule type="expression" priority="3810" dxfId="6434">
      <formula>$B759="Subetapa"</formula>
    </cfRule>
  </conditionalFormatting>
  <conditionalFormatting sqref="A779:A786">
    <cfRule type="expression" priority="3858" dxfId="6433">
      <formula>$B779="Serviço"</formula>
    </cfRule>
    <cfRule type="expression" priority="3859" dxfId="6434">
      <formula>$B779="Subetapa"</formula>
    </cfRule>
  </conditionalFormatting>
  <conditionalFormatting sqref="A884 A920">
    <cfRule type="expression" priority="3862" dxfId="6433">
      <formula>$B884="Serviço"</formula>
    </cfRule>
    <cfRule type="expression" priority="3863" dxfId="6434">
      <formula>$B884="Subetapa"</formula>
    </cfRule>
  </conditionalFormatting>
  <conditionalFormatting sqref="A906:A907">
    <cfRule type="expression" priority="3885" dxfId="6424">
      <formula>$B906="Subetapa"</formula>
    </cfRule>
  </conditionalFormatting>
  <conditionalFormatting sqref="A2119 A2126 A2133">
    <cfRule type="expression" priority="4061" dxfId="6424">
      <formula>$B2119="Subetapa"</formula>
    </cfRule>
  </conditionalFormatting>
  <conditionalFormatting sqref="A2212:A2261 A2267:A2268 A2274:A2275">
    <cfRule type="expression" priority="3897" dxfId="6433">
      <formula>$B2212="Serviço"</formula>
    </cfRule>
  </conditionalFormatting>
  <conditionalFormatting sqref="A2788:A2805">
    <cfRule type="expression" priority="4467" dxfId="6424">
      <formula>$B2788="Subetapa"</formula>
    </cfRule>
  </conditionalFormatting>
  <conditionalFormatting sqref="A2919:A2935">
    <cfRule type="expression" priority="4177" dxfId="6424">
      <formula>$B2919="Subetapa"</formula>
    </cfRule>
  </conditionalFormatting>
  <conditionalFormatting sqref="A3139:A3142">
    <cfRule type="expression" priority="3828" dxfId="6433">
      <formula>$B3139="Serviço"</formula>
    </cfRule>
    <cfRule type="expression" priority="3829" dxfId="6434">
      <formula>$B3139="Subetapa"</formula>
    </cfRule>
  </conditionalFormatting>
  <conditionalFormatting sqref="A4162">
    <cfRule type="expression" priority="4396" dxfId="6424">
      <formula>$B4162="Subetapa"</formula>
    </cfRule>
  </conditionalFormatting>
  <conditionalFormatting sqref="A3644:A3661">
    <cfRule type="expression" priority="4491" dxfId="6424">
      <formula>$B3644="Subetapa"</formula>
    </cfRule>
  </conditionalFormatting>
  <conditionalFormatting sqref="A4291:A4295">
    <cfRule type="expression" priority="4088" dxfId="6424">
      <formula>$B4291="Subetapa"</formula>
    </cfRule>
  </conditionalFormatting>
  <conditionalFormatting sqref="A263:A265 A267 A269 A304:A314 A320:A322 A3629:A3639">
    <cfRule type="expression" priority="4514" dxfId="6424">
      <formula>$B263="Subetapa"</formula>
    </cfRule>
  </conditionalFormatting>
  <conditionalFormatting sqref="A3065:A3088">
    <cfRule type="expression" priority="4500" dxfId="6424">
      <formula>$B3065="Subetapa"</formula>
    </cfRule>
  </conditionalFormatting>
  <conditionalFormatting sqref="A664">
    <cfRule type="expression" priority="3815" dxfId="6433">
      <formula>$B664="Serviço"</formula>
    </cfRule>
  </conditionalFormatting>
  <conditionalFormatting sqref="A872 A875 A878 A899 A905:A906 A990 A994 A1003:A1009 A1014 A1018 A1652:A1661 A1664:A1672 A1823 A1826:A1835 A1838:A1841 A2108:A2111 A2691 A3310 A3714 A4022 A4278 A4304:A4307 A4322">
    <cfRule type="expression" priority="4395" dxfId="6424">
      <formula>$B872="Subetapa"</formula>
    </cfRule>
  </conditionalFormatting>
  <conditionalFormatting sqref="A1374:A1385">
    <cfRule type="expression" priority="3869" dxfId="6434">
      <formula>$B1374="Subetapa"</formula>
    </cfRule>
  </conditionalFormatting>
  <conditionalFormatting sqref="A2475:A2524 A2607:A2611 A2719:A2730 A3189:A3190 A3195:A3206 A3227:A3228 A3231:A3234 A3244:A3246 A3250 A3290:A3309 A3485:A3549 A3556:A3560 A3851:A3857 A3980:A3982 A3987:A3990 A3992:A4021 A4099:A4109 A4114:A4121 A4139:A4150 A4163:A4165 A4208:A4210 A4217:A4234 A4264:A4267">
    <cfRule type="expression" priority="3801" dxfId="6433">
      <formula>$B2475="Serviço"</formula>
    </cfRule>
  </conditionalFormatting>
  <conditionalFormatting sqref="A2470:A2524 A2607:A2611 A2719:A2730 A3189:A3190 A3195:A3206 A3227:A3228 A3231:A3234 A3243:A3246 A3250 A3290:A3309 A3485:A3549 A3556:A3560 A3851:A3857 A3980:A4021 A4099:A4106 A4116:A4121 A4139:A4150 A4163:A4165 A4208:A4210 A4217:A4234 A4264:A4267">
    <cfRule type="expression" priority="3802" dxfId="6434">
      <formula>$B2470="Subetapa"</formula>
    </cfRule>
  </conditionalFormatting>
  <conditionalFormatting sqref="A867:A878 A897:A905 A991:A993 A995:A1013 A1015:A1018 A1173:A1174 A2140:A2143 A2337 A2342:A2343 A2754 A3476:A3484 A4306:A4321 A4463:A4494">
    <cfRule type="expression" priority="4391" dxfId="6424">
      <formula>$B867="Subetapa"</formula>
    </cfRule>
  </conditionalFormatting>
  <conditionalFormatting sqref="A2351:A2355">
    <cfRule type="expression" priority="4220" dxfId="6424">
      <formula>$B2351="Subetapa"</formula>
    </cfRule>
  </conditionalFormatting>
  <conditionalFormatting sqref="A1168">
    <cfRule type="expression" priority="4070" dxfId="6424">
      <formula>$B1168="Subetapa"</formula>
    </cfRule>
  </conditionalFormatting>
  <conditionalFormatting sqref="A2736">
    <cfRule type="expression" priority="4079" dxfId="6424">
      <formula>$B2736="Subetapa"</formula>
    </cfRule>
  </conditionalFormatting>
  <conditionalFormatting sqref="E290">
    <cfRule type="expression" priority="3489" dxfId="6424">
      <formula>$B290="Subetapa"</formula>
    </cfRule>
  </conditionalFormatting>
  <conditionalFormatting sqref="B290:D290 F290">
    <cfRule type="expression" priority="3490" dxfId="6424">
      <formula>$B290="Subetapa"</formula>
    </cfRule>
  </conditionalFormatting>
  <conditionalFormatting sqref="I290:K290">
    <cfRule type="expression" priority="3480" dxfId="6424">
      <formula>$B290="Subetapa"</formula>
    </cfRule>
  </conditionalFormatting>
  <conditionalFormatting sqref="A290">
    <cfRule type="expression" priority="3478" dxfId="6424">
      <formula>$B290="Subetapa"</formula>
    </cfRule>
  </conditionalFormatting>
  <conditionalFormatting sqref="E300">
    <cfRule type="expression" priority="3559" dxfId="6424">
      <formula>$B300="Subetapa"</formula>
    </cfRule>
  </conditionalFormatting>
  <conditionalFormatting sqref="B300:D300 F300">
    <cfRule type="expression" priority="3560" dxfId="6424">
      <formula>$B300="Subetapa"</formula>
    </cfRule>
  </conditionalFormatting>
  <conditionalFormatting sqref="I300:K300">
    <cfRule type="expression" priority="3550" dxfId="6424">
      <formula>$B300="Subetapa"</formula>
    </cfRule>
  </conditionalFormatting>
  <conditionalFormatting sqref="A300">
    <cfRule type="expression" priority="3548" dxfId="6424">
      <formula>$B300="Subetapa"</formula>
    </cfRule>
  </conditionalFormatting>
  <conditionalFormatting sqref="E274">
    <cfRule type="expression" priority="3643" dxfId="6424">
      <formula>$B274="Subetapa"</formula>
    </cfRule>
  </conditionalFormatting>
  <conditionalFormatting sqref="B274:D274 F274">
    <cfRule type="expression" priority="3644" dxfId="6424">
      <formula>$B274="Subetapa"</formula>
    </cfRule>
  </conditionalFormatting>
  <conditionalFormatting sqref="I274:K274">
    <cfRule type="expression" priority="3634" dxfId="6424">
      <formula>$B274="Subetapa"</formula>
    </cfRule>
  </conditionalFormatting>
  <conditionalFormatting sqref="A274">
    <cfRule type="expression" priority="3632" dxfId="6424">
      <formula>$B274="Subetapa"</formula>
    </cfRule>
  </conditionalFormatting>
  <conditionalFormatting sqref="E266">
    <cfRule type="expression" priority="3629" dxfId="6424">
      <formula>$B266="Subetapa"</formula>
    </cfRule>
  </conditionalFormatting>
  <conditionalFormatting sqref="B266:D266 F266">
    <cfRule type="expression" priority="3630" dxfId="6424">
      <formula>$B266="Subetapa"</formula>
    </cfRule>
  </conditionalFormatting>
  <conditionalFormatting sqref="I266:K266">
    <cfRule type="expression" priority="3620" dxfId="6424">
      <formula>$B266="Subetapa"</formula>
    </cfRule>
  </conditionalFormatting>
  <conditionalFormatting sqref="A266">
    <cfRule type="expression" priority="3618" dxfId="6424">
      <formula>$B266="Subetapa"</formula>
    </cfRule>
  </conditionalFormatting>
  <conditionalFormatting sqref="E268">
    <cfRule type="expression" priority="3615" dxfId="6424">
      <formula>$B268="Subetapa"</formula>
    </cfRule>
  </conditionalFormatting>
  <conditionalFormatting sqref="B268:D268 F268">
    <cfRule type="expression" priority="3616" dxfId="6424">
      <formula>$B268="Subetapa"</formula>
    </cfRule>
  </conditionalFormatting>
  <conditionalFormatting sqref="I268:K268">
    <cfRule type="expression" priority="3606" dxfId="6424">
      <formula>$B268="Subetapa"</formula>
    </cfRule>
  </conditionalFormatting>
  <conditionalFormatting sqref="A268">
    <cfRule type="expression" priority="3604" dxfId="6424">
      <formula>$B268="Subetapa"</formula>
    </cfRule>
  </conditionalFormatting>
  <conditionalFormatting sqref="E270">
    <cfRule type="expression" priority="3601" dxfId="6424">
      <formula>$B270="Subetapa"</formula>
    </cfRule>
  </conditionalFormatting>
  <conditionalFormatting sqref="B270:D270 F270">
    <cfRule type="expression" priority="3602" dxfId="6424">
      <formula>$B270="Subetapa"</formula>
    </cfRule>
  </conditionalFormatting>
  <conditionalFormatting sqref="I270:K270">
    <cfRule type="expression" priority="3592" dxfId="6424">
      <formula>$B270="Subetapa"</formula>
    </cfRule>
  </conditionalFormatting>
  <conditionalFormatting sqref="A270">
    <cfRule type="expression" priority="3590" dxfId="6424">
      <formula>$B270="Subetapa"</formula>
    </cfRule>
  </conditionalFormatting>
  <conditionalFormatting sqref="E272">
    <cfRule type="expression" priority="3587" dxfId="6424">
      <formula>$B272="Subetapa"</formula>
    </cfRule>
  </conditionalFormatting>
  <conditionalFormatting sqref="B272:D272 F272">
    <cfRule type="expression" priority="3588" dxfId="6424">
      <formula>$B272="Subetapa"</formula>
    </cfRule>
  </conditionalFormatting>
  <conditionalFormatting sqref="I272:K272">
    <cfRule type="expression" priority="3578" dxfId="6424">
      <formula>$B272="Subetapa"</formula>
    </cfRule>
  </conditionalFormatting>
  <conditionalFormatting sqref="A272">
    <cfRule type="expression" priority="3576" dxfId="6424">
      <formula>$B272="Subetapa"</formula>
    </cfRule>
  </conditionalFormatting>
  <conditionalFormatting sqref="E302">
    <cfRule type="expression" priority="3573" dxfId="6424">
      <formula>$B302="Subetapa"</formula>
    </cfRule>
  </conditionalFormatting>
  <conditionalFormatting sqref="B302:D302 F302">
    <cfRule type="expression" priority="3574" dxfId="6424">
      <formula>$B302="Subetapa"</formula>
    </cfRule>
  </conditionalFormatting>
  <conditionalFormatting sqref="I302:K302">
    <cfRule type="expression" priority="3564" dxfId="6424">
      <formula>$B302="Subetapa"</formula>
    </cfRule>
  </conditionalFormatting>
  <conditionalFormatting sqref="A302">
    <cfRule type="expression" priority="3562" dxfId="6424">
      <formula>$B302="Subetapa"</formula>
    </cfRule>
  </conditionalFormatting>
  <conditionalFormatting sqref="E298">
    <cfRule type="expression" priority="3545" dxfId="6424">
      <formula>$B298="Subetapa"</formula>
    </cfRule>
  </conditionalFormatting>
  <conditionalFormatting sqref="B298:D298 F298">
    <cfRule type="expression" priority="3546" dxfId="6424">
      <formula>$B298="Subetapa"</formula>
    </cfRule>
  </conditionalFormatting>
  <conditionalFormatting sqref="I298:K298">
    <cfRule type="expression" priority="3536" dxfId="6424">
      <formula>$B298="Subetapa"</formula>
    </cfRule>
  </conditionalFormatting>
  <conditionalFormatting sqref="A298">
    <cfRule type="expression" priority="3534" dxfId="6424">
      <formula>$B298="Subetapa"</formula>
    </cfRule>
  </conditionalFormatting>
  <conditionalFormatting sqref="E296">
    <cfRule type="expression" priority="3531" dxfId="6424">
      <formula>$B296="Subetapa"</formula>
    </cfRule>
  </conditionalFormatting>
  <conditionalFormatting sqref="B296:D296 F296">
    <cfRule type="expression" priority="3532" dxfId="6424">
      <formula>$B296="Subetapa"</formula>
    </cfRule>
  </conditionalFormatting>
  <conditionalFormatting sqref="I296:K296">
    <cfRule type="expression" priority="3522" dxfId="6424">
      <formula>$B296="Subetapa"</formula>
    </cfRule>
  </conditionalFormatting>
  <conditionalFormatting sqref="A296">
    <cfRule type="expression" priority="3520" dxfId="6424">
      <formula>$B296="Subetapa"</formula>
    </cfRule>
  </conditionalFormatting>
  <conditionalFormatting sqref="E294">
    <cfRule type="expression" priority="3517" dxfId="6424">
      <formula>$B294="Subetapa"</formula>
    </cfRule>
  </conditionalFormatting>
  <conditionalFormatting sqref="B294:D294 F294">
    <cfRule type="expression" priority="3518" dxfId="6424">
      <formula>$B294="Subetapa"</formula>
    </cfRule>
  </conditionalFormatting>
  <conditionalFormatting sqref="I294:K294">
    <cfRule type="expression" priority="3508" dxfId="6424">
      <formula>$B294="Subetapa"</formula>
    </cfRule>
  </conditionalFormatting>
  <conditionalFormatting sqref="A294">
    <cfRule type="expression" priority="3506" dxfId="6424">
      <formula>$B294="Subetapa"</formula>
    </cfRule>
  </conditionalFormatting>
  <conditionalFormatting sqref="E292">
    <cfRule type="expression" priority="3503" dxfId="6424">
      <formula>$B292="Subetapa"</formula>
    </cfRule>
  </conditionalFormatting>
  <conditionalFormatting sqref="B292:D292 F292">
    <cfRule type="expression" priority="3504" dxfId="6424">
      <formula>$B292="Subetapa"</formula>
    </cfRule>
  </conditionalFormatting>
  <conditionalFormatting sqref="I292:K292">
    <cfRule type="expression" priority="3494" dxfId="6424">
      <formula>$B292="Subetapa"</formula>
    </cfRule>
  </conditionalFormatting>
  <conditionalFormatting sqref="A292">
    <cfRule type="expression" priority="3492" dxfId="6424">
      <formula>$B292="Subetapa"</formula>
    </cfRule>
  </conditionalFormatting>
  <conditionalFormatting sqref="B2276:F2276">
    <cfRule type="expression" priority="3406" dxfId="6424">
      <formula>$B2276="Subetapa"</formula>
    </cfRule>
  </conditionalFormatting>
  <conditionalFormatting sqref="I2276:K2276">
    <cfRule type="expression" priority="3399" dxfId="6424">
      <formula>$B2276="Subetapa"</formula>
    </cfRule>
  </conditionalFormatting>
  <conditionalFormatting sqref="A2276">
    <cfRule type="expression" priority="3397" dxfId="6424">
      <formula>$B2276="Subetapa"</formula>
    </cfRule>
  </conditionalFormatting>
  <conditionalFormatting sqref="B2169:F2169">
    <cfRule type="expression" priority="3393" dxfId="6424">
      <formula>$B2169="Subetapa"</formula>
    </cfRule>
  </conditionalFormatting>
  <conditionalFormatting sqref="I2169:K2169">
    <cfRule type="expression" priority="3386" dxfId="6424">
      <formula>$B2169="Subetapa"</formula>
    </cfRule>
  </conditionalFormatting>
  <conditionalFormatting sqref="A2169">
    <cfRule type="expression" priority="3384" dxfId="6424">
      <formula>$B2169="Subetapa"</formula>
    </cfRule>
  </conditionalFormatting>
  <conditionalFormatting sqref="B2161:F2161">
    <cfRule type="expression" priority="3380" dxfId="6424">
      <formula>$B2161="Subetapa"</formula>
    </cfRule>
  </conditionalFormatting>
  <conditionalFormatting sqref="I2161:K2161">
    <cfRule type="expression" priority="3373" dxfId="6424">
      <formula>$B2161="Subetapa"</formula>
    </cfRule>
  </conditionalFormatting>
  <conditionalFormatting sqref="A2161">
    <cfRule type="expression" priority="3371" dxfId="6424">
      <formula>$B2161="Subetapa"</formula>
    </cfRule>
  </conditionalFormatting>
  <conditionalFormatting sqref="B892:B893">
    <cfRule type="expression" priority="3310" dxfId="6433">
      <formula>$B892="Serviço"</formula>
    </cfRule>
    <cfRule type="expression" priority="3311" dxfId="6434">
      <formula>$B892="Subetapa"</formula>
    </cfRule>
  </conditionalFormatting>
  <conditionalFormatting sqref="B891">
    <cfRule type="expression" priority="3306" dxfId="6433">
      <formula>$B891="Serviço"</formula>
    </cfRule>
    <cfRule type="expression" priority="3307" dxfId="6434">
      <formula>$B891="Subetapa"</formula>
    </cfRule>
  </conditionalFormatting>
  <conditionalFormatting sqref="B893">
    <cfRule type="expression" priority="3308" dxfId="6433">
      <formula>$B893="Serviço"</formula>
    </cfRule>
    <cfRule type="expression" priority="3309" dxfId="6434">
      <formula>$B893="Subetapa"</formula>
    </cfRule>
  </conditionalFormatting>
  <conditionalFormatting sqref="C891:C893 D891:F891 D892:D893 F892:F893">
    <cfRule type="expression" priority="3304" dxfId="6433">
      <formula>$B891="Serviço"</formula>
    </cfRule>
    <cfRule type="expression" priority="3305" dxfId="6434">
      <formula>$B891="Subetapa"</formula>
    </cfRule>
  </conditionalFormatting>
  <conditionalFormatting sqref="G891:H891">
    <cfRule type="expression" priority="3300" dxfId="6433">
      <formula>$B891="Serviço"</formula>
    </cfRule>
    <cfRule type="expression" priority="3301" dxfId="6434">
      <formula>$B891="Subetapa"</formula>
    </cfRule>
  </conditionalFormatting>
  <conditionalFormatting sqref="A892:A893">
    <cfRule type="expression" priority="3298" dxfId="6433">
      <formula>$B892="Serviço"</formula>
    </cfRule>
    <cfRule type="expression" priority="3299" dxfId="6434">
      <formula>$B892="Subetapa"</formula>
    </cfRule>
  </conditionalFormatting>
  <conditionalFormatting sqref="A891">
    <cfRule type="expression" priority="3294" dxfId="6433">
      <formula>$B891="Serviço"</formula>
    </cfRule>
    <cfRule type="expression" priority="3295" dxfId="6434">
      <formula>$B891="Subetapa"</formula>
    </cfRule>
  </conditionalFormatting>
  <conditionalFormatting sqref="A893">
    <cfRule type="expression" priority="3296" dxfId="6433">
      <formula>$B893="Serviço"</formula>
    </cfRule>
    <cfRule type="expression" priority="3297" dxfId="6434">
      <formula>$B893="Subetapa"</formula>
    </cfRule>
  </conditionalFormatting>
  <conditionalFormatting sqref="B889:B890">
    <cfRule type="expression" priority="3292" dxfId="6433">
      <formula>$B889="Serviço"</formula>
    </cfRule>
    <cfRule type="expression" priority="3293" dxfId="6434">
      <formula>$B889="Subetapa"</formula>
    </cfRule>
  </conditionalFormatting>
  <conditionalFormatting sqref="B888">
    <cfRule type="expression" priority="3288" dxfId="6433">
      <formula>$B888="Serviço"</formula>
    </cfRule>
    <cfRule type="expression" priority="3289" dxfId="6434">
      <formula>$B888="Subetapa"</formula>
    </cfRule>
  </conditionalFormatting>
  <conditionalFormatting sqref="B890">
    <cfRule type="expression" priority="3290" dxfId="6433">
      <formula>$B890="Serviço"</formula>
    </cfRule>
    <cfRule type="expression" priority="3291" dxfId="6434">
      <formula>$B890="Subetapa"</formula>
    </cfRule>
  </conditionalFormatting>
  <conditionalFormatting sqref="C888:C890 D888:F888 D889:D890 F889:F890">
    <cfRule type="expression" priority="3286" dxfId="6433">
      <formula>$B888="Serviço"</formula>
    </cfRule>
    <cfRule type="expression" priority="3287" dxfId="6434">
      <formula>$B888="Subetapa"</formula>
    </cfRule>
  </conditionalFormatting>
  <conditionalFormatting sqref="G888:H888">
    <cfRule type="expression" priority="3282" dxfId="6433">
      <formula>$B888="Serviço"</formula>
    </cfRule>
    <cfRule type="expression" priority="3283" dxfId="6434">
      <formula>$B888="Subetapa"</formula>
    </cfRule>
  </conditionalFormatting>
  <conditionalFormatting sqref="A889:A890">
    <cfRule type="expression" priority="3280" dxfId="6433">
      <formula>$B889="Serviço"</formula>
    </cfRule>
    <cfRule type="expression" priority="3281" dxfId="6434">
      <formula>$B889="Subetapa"</formula>
    </cfRule>
  </conditionalFormatting>
  <conditionalFormatting sqref="A888">
    <cfRule type="expression" priority="3276" dxfId="6433">
      <formula>$B888="Serviço"</formula>
    </cfRule>
    <cfRule type="expression" priority="3277" dxfId="6434">
      <formula>$B888="Subetapa"</formula>
    </cfRule>
  </conditionalFormatting>
  <conditionalFormatting sqref="A890">
    <cfRule type="expression" priority="3278" dxfId="6433">
      <formula>$B890="Serviço"</formula>
    </cfRule>
    <cfRule type="expression" priority="3279" dxfId="6434">
      <formula>$B890="Subetapa"</formula>
    </cfRule>
  </conditionalFormatting>
  <conditionalFormatting sqref="B886:B887">
    <cfRule type="expression" priority="3274" dxfId="6433">
      <formula>$B886="Serviço"</formula>
    </cfRule>
    <cfRule type="expression" priority="3275" dxfId="6434">
      <formula>$B886="Subetapa"</formula>
    </cfRule>
  </conditionalFormatting>
  <conditionalFormatting sqref="B885">
    <cfRule type="expression" priority="3270" dxfId="6433">
      <formula>$B885="Serviço"</formula>
    </cfRule>
    <cfRule type="expression" priority="3271" dxfId="6434">
      <formula>$B885="Subetapa"</formula>
    </cfRule>
  </conditionalFormatting>
  <conditionalFormatting sqref="B887">
    <cfRule type="expression" priority="3272" dxfId="6433">
      <formula>$B887="Serviço"</formula>
    </cfRule>
    <cfRule type="expression" priority="3273" dxfId="6434">
      <formula>$B887="Subetapa"</formula>
    </cfRule>
  </conditionalFormatting>
  <conditionalFormatting sqref="C885:C887 D885:F885 D886:D887 F886:F887">
    <cfRule type="expression" priority="3268" dxfId="6433">
      <formula>$B885="Serviço"</formula>
    </cfRule>
    <cfRule type="expression" priority="3269" dxfId="6434">
      <formula>$B885="Subetapa"</formula>
    </cfRule>
  </conditionalFormatting>
  <conditionalFormatting sqref="G885:H885">
    <cfRule type="expression" priority="3264" dxfId="6433">
      <formula>$B885="Serviço"</formula>
    </cfRule>
    <cfRule type="expression" priority="3265" dxfId="6434">
      <formula>$B885="Subetapa"</formula>
    </cfRule>
  </conditionalFormatting>
  <conditionalFormatting sqref="A886:A887">
    <cfRule type="expression" priority="3262" dxfId="6433">
      <formula>$B886="Serviço"</formula>
    </cfRule>
    <cfRule type="expression" priority="3263" dxfId="6434">
      <formula>$B886="Subetapa"</formula>
    </cfRule>
  </conditionalFormatting>
  <conditionalFormatting sqref="A885">
    <cfRule type="expression" priority="3258" dxfId="6433">
      <formula>$B885="Serviço"</formula>
    </cfRule>
    <cfRule type="expression" priority="3259" dxfId="6434">
      <formula>$B885="Subetapa"</formula>
    </cfRule>
  </conditionalFormatting>
  <conditionalFormatting sqref="A887">
    <cfRule type="expression" priority="3260" dxfId="6433">
      <formula>$B887="Serviço"</formula>
    </cfRule>
    <cfRule type="expression" priority="3261" dxfId="6434">
      <formula>$B887="Subetapa"</formula>
    </cfRule>
  </conditionalFormatting>
  <conditionalFormatting sqref="B1397:B1418">
    <cfRule type="expression" priority="3257" dxfId="6424">
      <formula>$B1397="Subetapa"</formula>
    </cfRule>
  </conditionalFormatting>
  <conditionalFormatting sqref="C1408:C1418 D1408:F1408 D1409:D1418 F1409:F1418">
    <cfRule type="expression" priority="3256" dxfId="6424">
      <formula>$B1408="Subetapa"</formula>
    </cfRule>
  </conditionalFormatting>
  <conditionalFormatting sqref="G1408:H1408">
    <cfRule type="expression" priority="3253" dxfId="6424">
      <formula>$B1408="Subetapa"</formula>
    </cfRule>
  </conditionalFormatting>
  <conditionalFormatting sqref="A1397:A1418">
    <cfRule type="expression" priority="3251" dxfId="6424">
      <formula>$B1397="Subetapa"</formula>
    </cfRule>
  </conditionalFormatting>
  <conditionalFormatting sqref="C1397:C1407 D1397:F1397 D1398:D1407 F1398:F1407">
    <cfRule type="expression" priority="3250" dxfId="6424">
      <formula>$B1397="Subetapa"</formula>
    </cfRule>
  </conditionalFormatting>
  <conditionalFormatting sqref="G1397:H1397">
    <cfRule type="expression" priority="3249" dxfId="6424">
      <formula>$B1397="Subetapa"</formula>
    </cfRule>
  </conditionalFormatting>
  <conditionalFormatting sqref="C1410:D1410">
    <cfRule type="expression" priority="3247" dxfId="6424">
      <formula>$B1410="Subetapa"</formula>
    </cfRule>
  </conditionalFormatting>
  <conditionalFormatting sqref="B1421:B1429 B1432:B1440 B1443:B1451 B1454:B1462 B1465:B1473 D1419:D1420 D1422:D1442 D1444:D1464 D1466:D1473">
    <cfRule type="expression" priority="3245" dxfId="6424">
      <formula>$B1419="Subetapa"</formula>
    </cfRule>
  </conditionalFormatting>
  <conditionalFormatting sqref="G1419:H1419">
    <cfRule type="expression" priority="3241" dxfId="6424">
      <formula>$B1419="Subetapa"</formula>
    </cfRule>
  </conditionalFormatting>
  <conditionalFormatting sqref="E1419:F1419">
    <cfRule type="expression" priority="3243" dxfId="6424">
      <formula>$B1419="Subetapa"</formula>
    </cfRule>
  </conditionalFormatting>
  <conditionalFormatting sqref="A1421:A1429 A1432:A1440 A1443:A1451 A1454:A1462 A1465:A1473">
    <cfRule type="expression" priority="3237" dxfId="6424">
      <formula>$B1421="Subetapa"</formula>
    </cfRule>
  </conditionalFormatting>
  <conditionalFormatting sqref="G1430:H1430">
    <cfRule type="expression" priority="3232" dxfId="6424">
      <formula>$B1430="Subetapa"</formula>
    </cfRule>
  </conditionalFormatting>
  <conditionalFormatting sqref="E1430:F1430">
    <cfRule type="expression" priority="3233" dxfId="6424">
      <formula>$B1430="Subetapa"</formula>
    </cfRule>
  </conditionalFormatting>
  <conditionalFormatting sqref="C1421:D1421">
    <cfRule type="expression" priority="3230" dxfId="6424">
      <formula>$B1421="Subetapa"</formula>
    </cfRule>
    <cfRule type="expression" priority="3229" dxfId="6424">
      <formula>$B1421="Subetapa"</formula>
    </cfRule>
  </conditionalFormatting>
  <conditionalFormatting sqref="G1452:H1452">
    <cfRule type="expression" priority="3226" dxfId="6424">
      <formula>$B1452="Subetapa"</formula>
    </cfRule>
  </conditionalFormatting>
  <conditionalFormatting sqref="E1452:F1452">
    <cfRule type="expression" priority="3227" dxfId="6424">
      <formula>$B1452="Subetapa"</formula>
    </cfRule>
  </conditionalFormatting>
  <conditionalFormatting sqref="G1463:H1463">
    <cfRule type="expression" priority="3223" dxfId="6424">
      <formula>$B1463="Subetapa"</formula>
    </cfRule>
  </conditionalFormatting>
  <conditionalFormatting sqref="E1463:F1463">
    <cfRule type="expression" priority="3224" dxfId="6424">
      <formula>$B1463="Subetapa"</formula>
    </cfRule>
  </conditionalFormatting>
  <conditionalFormatting sqref="C1465:D1465">
    <cfRule type="expression" priority="3221" dxfId="6424">
      <formula>$B1465="Subetapa"</formula>
    </cfRule>
    <cfRule type="expression" priority="3220" dxfId="6424">
      <formula>$B1465="Subetapa"</formula>
    </cfRule>
  </conditionalFormatting>
  <conditionalFormatting sqref="G1441:H1441">
    <cfRule type="expression" priority="3217" dxfId="6424">
      <formula>$B1441="Subetapa"</formula>
    </cfRule>
  </conditionalFormatting>
  <conditionalFormatting sqref="E1441:F1441">
    <cfRule type="expression" priority="3218" dxfId="6424">
      <formula>$B1441="Subetapa"</formula>
    </cfRule>
  </conditionalFormatting>
  <conditionalFormatting sqref="C1443:D1443">
    <cfRule type="expression" priority="3215" dxfId="6424">
      <formula>$B1443="Subetapa"</formula>
    </cfRule>
    <cfRule type="expression" priority="3214" dxfId="6424">
      <formula>$B1443="Subetapa"</formula>
    </cfRule>
  </conditionalFormatting>
  <conditionalFormatting sqref="B1475:B1485 B1487:B1497 B1499:B1510 B1512:B1523">
    <cfRule type="expression" priority="3208" dxfId="6424">
      <formula>$B1475="Subetapa"</formula>
    </cfRule>
  </conditionalFormatting>
  <conditionalFormatting sqref="B1476 B1478:B1485 B1488 B1490:B1497 B1501 B1503:B1510 B1514 B1516:B1523 C1475:D1475 C1487:D1487 C1499:D1499 C1512:D1512">
    <cfRule type="expression" priority="3210" dxfId="6424">
      <formula>$B1475="Subetapa"</formula>
    </cfRule>
  </conditionalFormatting>
  <conditionalFormatting sqref="B1474:H1474">
    <cfRule type="expression" priority="3202" dxfId="6424">
      <formula>$B1474="Subetapa"</formula>
    </cfRule>
  </conditionalFormatting>
  <conditionalFormatting sqref="E1475 E1477">
    <cfRule type="expression" priority="3213" dxfId="6424">
      <formula>$B1475="Subetapa"</formula>
    </cfRule>
  </conditionalFormatting>
  <conditionalFormatting sqref="C1477:D1477 F1477">
    <cfRule type="expression" priority="3206" dxfId="6424">
      <formula>$B1477="Subetapa"</formula>
    </cfRule>
  </conditionalFormatting>
  <conditionalFormatting sqref="F1475">
    <cfRule type="expression" priority="3201" dxfId="6424">
      <formula>$B1475="Subetapa"</formula>
    </cfRule>
  </conditionalFormatting>
  <conditionalFormatting sqref="A1475:A1485 A1487:A1497 A1499:A1510 A1512:A1523">
    <cfRule type="expression" priority="3188" dxfId="6424">
      <formula>$B1475="Subetapa"</formula>
    </cfRule>
  </conditionalFormatting>
  <conditionalFormatting sqref="A1476 A1478:A1485 A1488 A1490:A1497 A1500:A1501 A1503:A1510 A1513:A1514 A1516:A1523">
    <cfRule type="expression" priority="3190" dxfId="6424">
      <formula>$B1476="Subetapa"</formula>
    </cfRule>
  </conditionalFormatting>
  <conditionalFormatting sqref="A1474">
    <cfRule type="expression" priority="3184" dxfId="6424">
      <formula>$B1474="Subetapa"</formula>
    </cfRule>
  </conditionalFormatting>
  <conditionalFormatting sqref="E1476:F1476">
    <cfRule type="expression" priority="3182" dxfId="6424">
      <formula>$B1476="Subetapa"</formula>
    </cfRule>
  </conditionalFormatting>
  <conditionalFormatting sqref="C1476:D1476">
    <cfRule type="expression" priority="3180" dxfId="6424">
      <formula>$B1476="Subetapa"</formula>
    </cfRule>
    <cfRule type="expression" priority="3179" dxfId="6424">
      <formula>$B1476="Subetapa"</formula>
    </cfRule>
  </conditionalFormatting>
  <conditionalFormatting sqref="E1478:F1485 E1490:F1497 E1503:F1510 E1516:F1523">
    <cfRule type="expression" priority="3177" dxfId="6424">
      <formula>$B1478="Subetapa"</formula>
    </cfRule>
  </conditionalFormatting>
  <conditionalFormatting sqref="D1478:D1485 D1490:D1497 D1503:D1510 D1516:D1523">
    <cfRule type="expression" priority="3176" dxfId="6424">
      <formula>$B1478="Subetapa"</formula>
    </cfRule>
  </conditionalFormatting>
  <conditionalFormatting sqref="B1486:H1486">
    <cfRule type="expression" priority="3169" dxfId="6424">
      <formula>$B1486="Subetapa"</formula>
    </cfRule>
  </conditionalFormatting>
  <conditionalFormatting sqref="E1487 E1489">
    <cfRule type="expression" priority="3175" dxfId="6424">
      <formula>$B1487="Subetapa"</formula>
    </cfRule>
  </conditionalFormatting>
  <conditionalFormatting sqref="C1489:D1489 F1489">
    <cfRule type="expression" priority="3172" dxfId="6424">
      <formula>$B1489="Subetapa"</formula>
    </cfRule>
  </conditionalFormatting>
  <conditionalFormatting sqref="F1487">
    <cfRule type="expression" priority="3168" dxfId="6424">
      <formula>$B1487="Subetapa"</formula>
    </cfRule>
  </conditionalFormatting>
  <conditionalFormatting sqref="A1486">
    <cfRule type="expression" priority="3162" dxfId="6424">
      <formula>$B1486="Subetapa"</formula>
    </cfRule>
  </conditionalFormatting>
  <conditionalFormatting sqref="E1488:F1488">
    <cfRule type="expression" priority="3160" dxfId="6424">
      <formula>$B1488="Subetapa"</formula>
    </cfRule>
  </conditionalFormatting>
  <conditionalFormatting sqref="C1488:D1488">
    <cfRule type="expression" priority="3158" dxfId="6424">
      <formula>$B1488="Subetapa"</formula>
    </cfRule>
    <cfRule type="expression" priority="3157" dxfId="6424">
      <formula>$B1488="Subetapa"</formula>
    </cfRule>
  </conditionalFormatting>
  <conditionalFormatting sqref="B1511:H1511">
    <cfRule type="expression" priority="3150" dxfId="6424">
      <formula>$B1511="Subetapa"</formula>
    </cfRule>
  </conditionalFormatting>
  <conditionalFormatting sqref="E1512 E1515">
    <cfRule type="expression" priority="3156" dxfId="6424">
      <formula>$B1512="Subetapa"</formula>
    </cfRule>
  </conditionalFormatting>
  <conditionalFormatting sqref="C1515:D1515 F1515">
    <cfRule type="expression" priority="3153" dxfId="6424">
      <formula>$B1515="Subetapa"</formula>
    </cfRule>
  </conditionalFormatting>
  <conditionalFormatting sqref="F1512">
    <cfRule type="expression" priority="3149" dxfId="6424">
      <formula>$B1512="Subetapa"</formula>
    </cfRule>
  </conditionalFormatting>
  <conditionalFormatting sqref="A1511">
    <cfRule type="expression" priority="3143" dxfId="6424">
      <formula>$B1511="Subetapa"</formula>
    </cfRule>
  </conditionalFormatting>
  <conditionalFormatting sqref="E1514:F1514">
    <cfRule type="expression" priority="3141" dxfId="6424">
      <formula>$B1514="Subetapa"</formula>
    </cfRule>
  </conditionalFormatting>
  <conditionalFormatting sqref="D1513:D1514">
    <cfRule type="expression" priority="3139" dxfId="6424">
      <formula>$B1513="Subetapa"</formula>
    </cfRule>
    <cfRule type="expression" priority="3138" dxfId="6424">
      <formula>$B1513="Subetapa"</formula>
    </cfRule>
  </conditionalFormatting>
  <conditionalFormatting sqref="B1513">
    <cfRule type="expression" priority="3137" dxfId="6424">
      <formula>$B1513="Subetapa"</formula>
    </cfRule>
  </conditionalFormatting>
  <conditionalFormatting sqref="E1513:F1513">
    <cfRule type="expression" priority="3134" dxfId="6424">
      <formula>$B1513="Subetapa"</formula>
    </cfRule>
  </conditionalFormatting>
  <conditionalFormatting sqref="B1498:H1498">
    <cfRule type="expression" priority="3127" dxfId="6424">
      <formula>$B1498="Subetapa"</formula>
    </cfRule>
  </conditionalFormatting>
  <conditionalFormatting sqref="E1499 E1502">
    <cfRule type="expression" priority="3133" dxfId="6424">
      <formula>$B1499="Subetapa"</formula>
    </cfRule>
  </conditionalFormatting>
  <conditionalFormatting sqref="C1502:D1502 F1502">
    <cfRule type="expression" priority="3130" dxfId="6424">
      <formula>$B1502="Subetapa"</formula>
    </cfRule>
  </conditionalFormatting>
  <conditionalFormatting sqref="F1499">
    <cfRule type="expression" priority="3126" dxfId="6424">
      <formula>$B1499="Subetapa"</formula>
    </cfRule>
  </conditionalFormatting>
  <conditionalFormatting sqref="A1498">
    <cfRule type="expression" priority="3120" dxfId="6424">
      <formula>$B1498="Subetapa"</formula>
    </cfRule>
  </conditionalFormatting>
  <conditionalFormatting sqref="E1501:F1501">
    <cfRule type="expression" priority="3118" dxfId="6424">
      <formula>$B1501="Subetapa"</formula>
    </cfRule>
  </conditionalFormatting>
  <conditionalFormatting sqref="D1500:D1501">
    <cfRule type="expression" priority="3116" dxfId="6424">
      <formula>$B1500="Subetapa"</formula>
    </cfRule>
    <cfRule type="expression" priority="3115" dxfId="6424">
      <formula>$B1500="Subetapa"</formula>
    </cfRule>
  </conditionalFormatting>
  <conditionalFormatting sqref="B1500">
    <cfRule type="expression" priority="3114" dxfId="6424">
      <formula>$B1500="Subetapa"</formula>
    </cfRule>
  </conditionalFormatting>
  <conditionalFormatting sqref="E1500:F1500">
    <cfRule type="expression" priority="3111" dxfId="6424">
      <formula>$B1500="Subetapa"</formula>
    </cfRule>
  </conditionalFormatting>
  <conditionalFormatting sqref="B1526:B1534 D1524:D1525 D1527:D1534">
    <cfRule type="expression" priority="3108" dxfId="6424">
      <formula>$B1524="Subetapa"</formula>
    </cfRule>
  </conditionalFormatting>
  <conditionalFormatting sqref="A1526:A1534">
    <cfRule type="expression" priority="3106" dxfId="6424">
      <formula>$B1526="Subetapa"</formula>
    </cfRule>
  </conditionalFormatting>
  <conditionalFormatting sqref="G1524:H1524">
    <cfRule type="expression" priority="3102" dxfId="6424">
      <formula>$B1524="Subetapa"</formula>
    </cfRule>
  </conditionalFormatting>
  <conditionalFormatting sqref="E1524:F1524">
    <cfRule type="expression" priority="3103" dxfId="6424">
      <formula>$B1524="Subetapa"</formula>
    </cfRule>
  </conditionalFormatting>
  <conditionalFormatting sqref="C1526:D1526">
    <cfRule type="expression" priority="3100" dxfId="6424">
      <formula>$B1526="Subetapa"</formula>
    </cfRule>
    <cfRule type="expression" priority="3099" dxfId="6424">
      <formula>$B1526="Subetapa"</formula>
    </cfRule>
  </conditionalFormatting>
  <conditionalFormatting sqref="G2425:H2425">
    <cfRule type="expression" priority="3094" dxfId="6424">
      <formula>$B2425="Subetapa"</formula>
    </cfRule>
  </conditionalFormatting>
  <conditionalFormatting sqref="G2415:H2415">
    <cfRule type="expression" priority="3088" dxfId="6424">
      <formula>$B2415="Subetapa"</formula>
    </cfRule>
  </conditionalFormatting>
  <conditionalFormatting sqref="G2571:H2571">
    <cfRule type="expression" priority="3080" dxfId="6424">
      <formula>$B2571="Subetapa"</formula>
    </cfRule>
  </conditionalFormatting>
  <conditionalFormatting sqref="C2576:D2576 C2582:D2582 C2588:D2588 C2594:D2594 C2600:D2600 C2606:D2606">
    <cfRule type="expression" priority="3077" dxfId="6433">
      <formula>$B2576="Serviço"</formula>
    </cfRule>
    <cfRule type="expression" priority="3078" dxfId="6434">
      <formula>$B2576="Subetapa"</formula>
    </cfRule>
  </conditionalFormatting>
  <conditionalFormatting sqref="G2577:H2577">
    <cfRule type="expression" priority="3072" dxfId="6424">
      <formula>$B2577="Subetapa"</formula>
    </cfRule>
  </conditionalFormatting>
  <conditionalFormatting sqref="G2601:H2601">
    <cfRule type="expression" priority="3066" dxfId="6424">
      <formula>$B2601="Subetapa"</formula>
    </cfRule>
  </conditionalFormatting>
  <conditionalFormatting sqref="G2595:H2595">
    <cfRule type="expression" priority="3060" dxfId="6424">
      <formula>$B2595="Subetapa"</formula>
    </cfRule>
  </conditionalFormatting>
  <conditionalFormatting sqref="E2639:E2641">
    <cfRule type="expression" priority="3058" dxfId="6424">
      <formula>$B2639="Subetapa"</formula>
    </cfRule>
  </conditionalFormatting>
  <conditionalFormatting sqref="G2638:H2638">
    <cfRule type="expression" priority="3053" dxfId="6424">
      <formula>$B2638="Subetapa"</formula>
    </cfRule>
  </conditionalFormatting>
  <conditionalFormatting sqref="E2643:E2645">
    <cfRule type="expression" priority="3052" dxfId="6424">
      <formula>$B2643="Subetapa"</formula>
    </cfRule>
  </conditionalFormatting>
  <conditionalFormatting sqref="G2642:H2642">
    <cfRule type="expression" priority="3047" dxfId="6424">
      <formula>$B2642="Subetapa"</formula>
    </cfRule>
  </conditionalFormatting>
  <conditionalFormatting sqref="E2647:E2649">
    <cfRule type="expression" priority="3046" dxfId="6424">
      <formula>$B2647="Subetapa"</formula>
    </cfRule>
  </conditionalFormatting>
  <conditionalFormatting sqref="G2646:H2646">
    <cfRule type="expression" priority="3041" dxfId="6424">
      <formula>$B2646="Subetapa"</formula>
    </cfRule>
  </conditionalFormatting>
  <conditionalFormatting sqref="E2655:E2657">
    <cfRule type="expression" priority="3040" dxfId="6424">
      <formula>$B2655="Subetapa"</formula>
    </cfRule>
  </conditionalFormatting>
  <conditionalFormatting sqref="G2654:H2654">
    <cfRule type="expression" priority="3035" dxfId="6424">
      <formula>$B2654="Subetapa"</formula>
    </cfRule>
  </conditionalFormatting>
  <conditionalFormatting sqref="E2651:E2653">
    <cfRule type="expression" priority="3034" dxfId="6424">
      <formula>$B2651="Subetapa"</formula>
    </cfRule>
  </conditionalFormatting>
  <conditionalFormatting sqref="G2650:H2650">
    <cfRule type="expression" priority="3029" dxfId="6424">
      <formula>$B2650="Subetapa"</formula>
    </cfRule>
  </conditionalFormatting>
  <conditionalFormatting sqref="B2675:B2681 B2683 B2686 B2689 C2675:C2684 C2685:D2690 D2675:F2676 D2677:D2678 D2679:F2679 D2680:D2684 F2677:F2678 F2680:F2681 F2683 F2686 F2689">
    <cfRule type="expression" priority="3027" dxfId="6424">
      <formula>$B2675="Subetapa"</formula>
    </cfRule>
  </conditionalFormatting>
  <conditionalFormatting sqref="G2676:H2676">
    <cfRule type="expression" priority="3021" dxfId="6424">
      <formula>$B2676="Subetapa"</formula>
    </cfRule>
  </conditionalFormatting>
  <conditionalFormatting sqref="G2688:H2688">
    <cfRule type="expression" priority="3019" dxfId="6434">
      <formula>$B2688="Subetapa"</formula>
    </cfRule>
    <cfRule type="expression" priority="3020" dxfId="6433">
      <formula>$B2688="Serviço"</formula>
    </cfRule>
  </conditionalFormatting>
  <conditionalFormatting sqref="K2675:K2681">
    <cfRule type="expression" priority="3014" dxfId="6424">
      <formula>$B2675="Subetapa"</formula>
    </cfRule>
  </conditionalFormatting>
  <conditionalFormatting sqref="A2675:A2681">
    <cfRule type="expression" priority="3011" dxfId="6424">
      <formula>$B2675="Subetapa"</formula>
    </cfRule>
  </conditionalFormatting>
  <conditionalFormatting sqref="G2679:H2679">
    <cfRule type="expression" priority="3007" dxfId="6424">
      <formula>$B2679="Subetapa"</formula>
    </cfRule>
  </conditionalFormatting>
  <conditionalFormatting sqref="I2689:K2689">
    <cfRule type="expression" priority="3000" dxfId="6424">
      <formula>$B2689="Subetapa"</formula>
    </cfRule>
  </conditionalFormatting>
  <conditionalFormatting sqref="A2689">
    <cfRule type="expression" priority="2998" dxfId="6424">
      <formula>$B2689="Subetapa"</formula>
    </cfRule>
  </conditionalFormatting>
  <conditionalFormatting sqref="G2662:H2662">
    <cfRule type="expression" priority="2996" dxfId="6424">
      <formula>$B2662="Subetapa"</formula>
    </cfRule>
  </conditionalFormatting>
  <conditionalFormatting sqref="G2744:H2744">
    <cfRule type="expression" priority="2995" dxfId="6424">
      <formula>$B2744="Subetapa"</formula>
    </cfRule>
  </conditionalFormatting>
  <conditionalFormatting sqref="B2835:B2840 D2826:F2827 D2835:F2840">
    <cfRule type="expression" priority="2991" dxfId="6433">
      <formula>$B2826="Serviço"</formula>
    </cfRule>
    <cfRule type="expression" priority="2992" dxfId="6434">
      <formula>$B2826="Subetapa"</formula>
    </cfRule>
  </conditionalFormatting>
  <conditionalFormatting sqref="B2822:B2825">
    <cfRule type="expression" priority="2987" dxfId="6434">
      <formula>$B2822="Subetapa"</formula>
    </cfRule>
    <cfRule type="expression" priority="2986" dxfId="6433">
      <formula>$B2822="Serviço"</formula>
    </cfRule>
  </conditionalFormatting>
  <conditionalFormatting sqref="C2822:D2822">
    <cfRule type="expression" priority="2976" dxfId="6433">
      <formula>$B2822="Serviço"</formula>
    </cfRule>
    <cfRule type="expression" priority="2977" dxfId="6434">
      <formula>$B2822="Subetapa"</formula>
    </cfRule>
  </conditionalFormatting>
  <conditionalFormatting sqref="C2823:D2823">
    <cfRule type="expression" priority="2978" dxfId="6425">
      <formula>$A2823=2</formula>
    </cfRule>
  </conditionalFormatting>
  <conditionalFormatting sqref="C2824:D2824">
    <cfRule type="expression" priority="2981" dxfId="6433">
      <formula>$B2824="Serviço"</formula>
    </cfRule>
    <cfRule type="expression" priority="2982" dxfId="6434">
      <formula>$B2824="Subetapa"</formula>
    </cfRule>
  </conditionalFormatting>
  <conditionalFormatting sqref="C2825:D2825">
    <cfRule type="expression" priority="2983" dxfId="6425">
      <formula>$A2825=2</formula>
    </cfRule>
  </conditionalFormatting>
  <conditionalFormatting sqref="E2823">
    <cfRule type="expression" priority="2979" dxfId="6433">
      <formula>$B2823="Serviço"</formula>
    </cfRule>
  </conditionalFormatting>
  <conditionalFormatting sqref="E2825">
    <cfRule type="expression" priority="2989" dxfId="6433">
      <formula>$B2825="Serviço"</formula>
    </cfRule>
  </conditionalFormatting>
  <conditionalFormatting sqref="E2822:F2825">
    <cfRule type="expression" priority="2988" dxfId="6433">
      <formula>$B2822="Serviço"</formula>
    </cfRule>
  </conditionalFormatting>
  <conditionalFormatting sqref="E2822:F2823">
    <cfRule type="expression" priority="2980" dxfId="6434">
      <formula>$B2822="Subetapa"</formula>
    </cfRule>
  </conditionalFormatting>
  <conditionalFormatting sqref="E2824:F2825">
    <cfRule type="expression" priority="2990" dxfId="6434">
      <formula>$B2824="Subetapa"</formula>
    </cfRule>
  </conditionalFormatting>
  <conditionalFormatting sqref="G2794:H2794">
    <cfRule type="expression" priority="2546" dxfId="6424">
      <formula>$B2794="Subetapa"</formula>
    </cfRule>
  </conditionalFormatting>
  <conditionalFormatting sqref="E2780">
    <cfRule type="expression" priority="2544" dxfId="6424">
      <formula>$B2780="Subetapa"</formula>
    </cfRule>
  </conditionalFormatting>
  <conditionalFormatting sqref="E2779:F2780">
    <cfRule type="expression" priority="2545" dxfId="6424">
      <formula>$B2779="Subetapa"</formula>
    </cfRule>
  </conditionalFormatting>
  <conditionalFormatting sqref="G2779:H2779">
    <cfRule type="expression" priority="2538" dxfId="6424">
      <formula>$B2779="Subetapa"</formula>
    </cfRule>
  </conditionalFormatting>
  <conditionalFormatting sqref="E2776">
    <cfRule type="expression" priority="2536" dxfId="6424">
      <formula>$B2776="Subetapa"</formula>
    </cfRule>
  </conditionalFormatting>
  <conditionalFormatting sqref="E2775:F2776">
    <cfRule type="expression" priority="2537" dxfId="6424">
      <formula>$B2775="Subetapa"</formula>
    </cfRule>
  </conditionalFormatting>
  <conditionalFormatting sqref="G2775:H2775">
    <cfRule type="expression" priority="2530" dxfId="6424">
      <formula>$B2775="Subetapa"</formula>
    </cfRule>
  </conditionalFormatting>
  <conditionalFormatting sqref="E2782">
    <cfRule type="expression" priority="2528" dxfId="6424">
      <formula>$B2782="Subetapa"</formula>
    </cfRule>
  </conditionalFormatting>
  <conditionalFormatting sqref="E2781:F2782">
    <cfRule type="expression" priority="2529" dxfId="6424">
      <formula>$B2781="Subetapa"</formula>
    </cfRule>
  </conditionalFormatting>
  <conditionalFormatting sqref="G2781:H2781">
    <cfRule type="expression" priority="2522" dxfId="6424">
      <formula>$B2781="Subetapa"</formula>
    </cfRule>
  </conditionalFormatting>
  <conditionalFormatting sqref="E2774">
    <cfRule type="expression" priority="2520" dxfId="6424">
      <formula>$B2774="Subetapa"</formula>
    </cfRule>
  </conditionalFormatting>
  <conditionalFormatting sqref="E2773:F2774">
    <cfRule type="expression" priority="2521" dxfId="6424">
      <formula>$B2773="Subetapa"</formula>
    </cfRule>
  </conditionalFormatting>
  <conditionalFormatting sqref="G2773:H2773">
    <cfRule type="expression" priority="2514" dxfId="6424">
      <formula>$B2773="Subetapa"</formula>
    </cfRule>
  </conditionalFormatting>
  <conditionalFormatting sqref="E2778">
    <cfRule type="expression" priority="2512" dxfId="6424">
      <formula>$B2778="Subetapa"</formula>
    </cfRule>
  </conditionalFormatting>
  <conditionalFormatting sqref="E2777:F2777 E2778">
    <cfRule type="expression" priority="2513" dxfId="6424">
      <formula>$B2777="Subetapa"</formula>
    </cfRule>
  </conditionalFormatting>
  <conditionalFormatting sqref="G2777:H2777">
    <cfRule type="expression" priority="2506" dxfId="6424">
      <formula>$B2777="Subetapa"</formula>
    </cfRule>
  </conditionalFormatting>
  <conditionalFormatting sqref="G2796:H2796">
    <cfRule type="expression" priority="2505" dxfId="6424">
      <formula>$B2796="Subetapa"</formula>
    </cfRule>
  </conditionalFormatting>
  <conditionalFormatting sqref="C2843:C2844 D2843:F2843 D2844">
    <cfRule type="expression" priority="2496" dxfId="6424">
      <formula>$B2843="Subetapa"</formula>
    </cfRule>
  </conditionalFormatting>
  <conditionalFormatting sqref="E2833:E2834">
    <cfRule type="expression" priority="2495" dxfId="6424">
      <formula>$B2833="Subetapa"</formula>
    </cfRule>
  </conditionalFormatting>
  <conditionalFormatting sqref="B2832:C2834 D2832:F2832 D2833:D2834 F2833:F2834">
    <cfRule type="expression" priority="2490" dxfId="6424">
      <formula>$B2832="Subetapa"</formula>
    </cfRule>
  </conditionalFormatting>
  <conditionalFormatting sqref="K2832:K2834">
    <cfRule type="expression" priority="2486" dxfId="6424">
      <formula>$B2832="Subetapa"</formula>
    </cfRule>
  </conditionalFormatting>
  <conditionalFormatting sqref="A2832:A2834">
    <cfRule type="expression" priority="2484" dxfId="6424">
      <formula>$B2832="Subetapa"</formula>
    </cfRule>
  </conditionalFormatting>
  <conditionalFormatting sqref="G2832:H2832">
    <cfRule type="expression" priority="2483" dxfId="6424">
      <formula>$B2832="Subetapa"</formula>
    </cfRule>
  </conditionalFormatting>
  <conditionalFormatting sqref="B2682 B2684">
    <cfRule type="expression" priority="2481" dxfId="6434">
      <formula>$B2682="Subetapa"</formula>
    </cfRule>
  </conditionalFormatting>
  <conditionalFormatting sqref="E2682:F2682 F2684">
    <cfRule type="expression" priority="2480" dxfId="6434">
      <formula>$B2682="Subetapa"</formula>
    </cfRule>
    <cfRule type="expression" priority="2482" dxfId="6433">
      <formula>$B2682="Serviço"</formula>
    </cfRule>
  </conditionalFormatting>
  <conditionalFormatting sqref="G2682:H2682">
    <cfRule type="expression" priority="2478" dxfId="6434">
      <formula>$B2682="Subetapa"</formula>
    </cfRule>
    <cfRule type="expression" priority="2479" dxfId="6433">
      <formula>$B2682="Serviço"</formula>
    </cfRule>
  </conditionalFormatting>
  <conditionalFormatting sqref="I2683:K2683">
    <cfRule type="expression" priority="2473" dxfId="6424">
      <formula>$B2683="Subetapa"</formula>
    </cfRule>
  </conditionalFormatting>
  <conditionalFormatting sqref="A2683">
    <cfRule type="expression" priority="2471" dxfId="6424">
      <formula>$B2683="Subetapa"</formula>
    </cfRule>
  </conditionalFormatting>
  <conditionalFormatting sqref="B2890:B2894">
    <cfRule type="expression" priority="2465" dxfId="6433">
      <formula>$B2890="Serviço"</formula>
    </cfRule>
    <cfRule type="expression" priority="2469" dxfId="6434">
      <formula>$B2890="Subetapa"</formula>
    </cfRule>
  </conditionalFormatting>
  <conditionalFormatting sqref="B2895:B2904">
    <cfRule type="expression" priority="2461" dxfId="6434">
      <formula>$B2895="Subetapa"</formula>
    </cfRule>
  </conditionalFormatting>
  <conditionalFormatting sqref="B2896:B2899 B2901:B2904">
    <cfRule type="expression" priority="2462" dxfId="6433">
      <formula>$B2896="Serviço"</formula>
    </cfRule>
  </conditionalFormatting>
  <conditionalFormatting sqref="B2895 B2900">
    <cfRule type="expression" priority="2457" dxfId="6433">
      <formula>$B2895="Serviço"</formula>
    </cfRule>
  </conditionalFormatting>
  <conditionalFormatting sqref="C2890:C2894 D2890:F2890 D2891:D2894">
    <cfRule type="expression" priority="2466" dxfId="6433">
      <formula>$B2890="Serviço"</formula>
    </cfRule>
    <cfRule type="expression" priority="2467" dxfId="6434">
      <formula>$B2890="Subetapa"</formula>
    </cfRule>
  </conditionalFormatting>
  <conditionalFormatting sqref="C2895:C2904 D2895:F2895 D2896:D2899 D2900:F2900 D2901:D2904 F2896:F2899 F2901:F2904">
    <cfRule type="expression" priority="2459" dxfId="6433">
      <formula>$B2895="Serviço"</formula>
    </cfRule>
    <cfRule type="expression" priority="2460" dxfId="6434">
      <formula>$B2895="Subetapa"</formula>
    </cfRule>
  </conditionalFormatting>
  <conditionalFormatting sqref="F2891:F2894">
    <cfRule type="expression" priority="2463" dxfId="6433">
      <formula>$A2891="Serviço"</formula>
    </cfRule>
    <cfRule type="expression" priority="2464" dxfId="6434">
      <formula>$A2891="Subetapa"</formula>
    </cfRule>
  </conditionalFormatting>
  <conditionalFormatting sqref="G2890:H2890">
    <cfRule type="expression" priority="2452" dxfId="6433">
      <formula>$B2890="Serviço"</formula>
    </cfRule>
    <cfRule type="expression" priority="2453" dxfId="6434">
      <formula>$B2890="Subetapa"</formula>
    </cfRule>
  </conditionalFormatting>
  <conditionalFormatting sqref="G2895:H2895 G2900:H2900">
    <cfRule type="expression" priority="2456" dxfId="6433">
      <formula>$B2895="Serviço"</formula>
    </cfRule>
    <cfRule type="expression" priority="2451" dxfId="6434">
      <formula>$B2895="Subetapa"</formula>
    </cfRule>
  </conditionalFormatting>
  <conditionalFormatting sqref="K2895:K2904">
    <cfRule type="expression" priority="2444" dxfId="6433">
      <formula>$B2895="Serviço"</formula>
    </cfRule>
    <cfRule type="expression" priority="2443" dxfId="6434">
      <formula>$B2895="Subetapa"</formula>
    </cfRule>
  </conditionalFormatting>
  <conditionalFormatting sqref="K2890:K2894">
    <cfRule type="expression" priority="2445" dxfId="6434">
      <formula>$B2890="Subetapa"</formula>
    </cfRule>
    <cfRule type="expression" priority="2446" dxfId="6433">
      <formula>$B2890="Serviço"</formula>
    </cfRule>
  </conditionalFormatting>
  <conditionalFormatting sqref="A2890:A2894">
    <cfRule type="expression" priority="2441" dxfId="6433">
      <formula>$B2890="Serviço"</formula>
    </cfRule>
    <cfRule type="expression" priority="2442" dxfId="6434">
      <formula>$B2890="Subetapa"</formula>
    </cfRule>
  </conditionalFormatting>
  <conditionalFormatting sqref="A2895:A2904">
    <cfRule type="expression" priority="2439" dxfId="6434">
      <formula>$B2895="Subetapa"</formula>
    </cfRule>
  </conditionalFormatting>
  <conditionalFormatting sqref="A2896:A2899 A2901:A2904">
    <cfRule type="expression" priority="2440" dxfId="6433">
      <formula>$B2896="Serviço"</formula>
    </cfRule>
  </conditionalFormatting>
  <conditionalFormatting sqref="A2895 A2900">
    <cfRule type="expression" priority="2438" dxfId="6433">
      <formula>$B2895="Serviço"</formula>
    </cfRule>
  </conditionalFormatting>
  <conditionalFormatting sqref="F2959:F2960">
    <cfRule type="expression" priority="2432" dxfId="6424">
      <formula>$B2959="Subetapa"</formula>
    </cfRule>
  </conditionalFormatting>
  <conditionalFormatting sqref="G3093:H3093">
    <cfRule type="expression" priority="2430" dxfId="6424">
      <formula>$B3093="Subetapa"</formula>
    </cfRule>
  </conditionalFormatting>
  <conditionalFormatting sqref="K3093:K3096">
    <cfRule type="expression" priority="2427" dxfId="6424">
      <formula>$B3093="Subetapa"</formula>
    </cfRule>
  </conditionalFormatting>
  <conditionalFormatting sqref="A3093:A3096">
    <cfRule type="expression" priority="2426" dxfId="6424">
      <formula>$B3093="Subetapa"</formula>
    </cfRule>
  </conditionalFormatting>
  <conditionalFormatting sqref="B3330:B3339">
    <cfRule type="expression" priority="2424" dxfId="6424">
      <formula>$B3330="Subetapa"</formula>
    </cfRule>
  </conditionalFormatting>
  <conditionalFormatting sqref="A3330:A3339">
    <cfRule type="expression" priority="2416" dxfId="6424">
      <formula>$B3330="Subetapa"</formula>
    </cfRule>
  </conditionalFormatting>
  <conditionalFormatting sqref="G3335:H3335">
    <cfRule type="expression" priority="2410" dxfId="6424">
      <formula>$B3335="Subetapa"</formula>
    </cfRule>
  </conditionalFormatting>
  <conditionalFormatting sqref="G3330:H3330">
    <cfRule type="expression" priority="2404" dxfId="6424">
      <formula>$B3330="Subetapa"</formula>
    </cfRule>
  </conditionalFormatting>
  <conditionalFormatting sqref="B3265:B3269">
    <cfRule type="expression" priority="2372" dxfId="6424">
      <formula>$B3265="Subetapa"</formula>
    </cfRule>
  </conditionalFormatting>
  <conditionalFormatting sqref="B3270:B3274">
    <cfRule type="expression" priority="2365" dxfId="6433">
      <formula>$B3270="Serviço"</formula>
    </cfRule>
    <cfRule type="expression" priority="2369" dxfId="6434">
      <formula>$B3270="Subetapa"</formula>
    </cfRule>
  </conditionalFormatting>
  <conditionalFormatting sqref="B3275:B3284">
    <cfRule type="expression" priority="2361" dxfId="6434">
      <formula>$B3275="Subetapa"</formula>
    </cfRule>
  </conditionalFormatting>
  <conditionalFormatting sqref="B3276:B3279 B3281:B3284">
    <cfRule type="expression" priority="2362" dxfId="6433">
      <formula>$B3276="Serviço"</formula>
    </cfRule>
  </conditionalFormatting>
  <conditionalFormatting sqref="B3275 B3280">
    <cfRule type="expression" priority="2357" dxfId="6433">
      <formula>$B3275="Serviço"</formula>
    </cfRule>
  </conditionalFormatting>
  <conditionalFormatting sqref="C3265:C3268 D3265:F3265 D3266:D3268 F3266:F3269">
    <cfRule type="expression" priority="2356" dxfId="6424">
      <formula>$B3265="Subetapa"</formula>
    </cfRule>
  </conditionalFormatting>
  <conditionalFormatting sqref="C3270:C3273 D3270:F3270 D3271:D3273">
    <cfRule type="expression" priority="2366" dxfId="6433">
      <formula>$B3270="Serviço"</formula>
    </cfRule>
    <cfRule type="expression" priority="2367" dxfId="6434">
      <formula>$B3270="Subetapa"</formula>
    </cfRule>
  </conditionalFormatting>
  <conditionalFormatting sqref="C3275:C3284 D3275:F3275 D3276:D3279 D3280:F3280 D3281:D3284 F3276:F3279 F3281:F3284">
    <cfRule type="expression" priority="2359" dxfId="6433">
      <formula>$B3275="Serviço"</formula>
    </cfRule>
    <cfRule type="expression" priority="2360" dxfId="6434">
      <formula>$B3275="Subetapa"</formula>
    </cfRule>
  </conditionalFormatting>
  <conditionalFormatting sqref="F3271:F3274">
    <cfRule type="expression" priority="2363" dxfId="6433">
      <formula>$A3271="Serviço"</formula>
    </cfRule>
    <cfRule type="expression" priority="2364" dxfId="6434">
      <formula>$A3271="Subetapa"</formula>
    </cfRule>
  </conditionalFormatting>
  <conditionalFormatting sqref="G3265:H3265">
    <cfRule type="expression" priority="2354" dxfId="6424">
      <formula>$B3265="Subetapa"</formula>
    </cfRule>
  </conditionalFormatting>
  <conditionalFormatting sqref="G3270:H3270">
    <cfRule type="expression" priority="2351" dxfId="6433">
      <formula>$B3270="Serviço"</formula>
    </cfRule>
    <cfRule type="expression" priority="2352" dxfId="6434">
      <formula>$B3270="Subetapa"</formula>
    </cfRule>
  </conditionalFormatting>
  <conditionalFormatting sqref="G3275:H3275 G3280:H3280">
    <cfRule type="expression" priority="2355" dxfId="6433">
      <formula>$B3275="Serviço"</formula>
    </cfRule>
    <cfRule type="expression" priority="2350" dxfId="6434">
      <formula>$B3275="Subetapa"</formula>
    </cfRule>
  </conditionalFormatting>
  <conditionalFormatting sqref="K3275:K3284">
    <cfRule type="expression" priority="2339" dxfId="6433">
      <formula>$B3275="Serviço"</formula>
    </cfRule>
    <cfRule type="expression" priority="2338" dxfId="6434">
      <formula>$B3275="Subetapa"</formula>
    </cfRule>
  </conditionalFormatting>
  <conditionalFormatting sqref="K3265:K3269">
    <cfRule type="expression" priority="2343" dxfId="6424">
      <formula>$B3265="Subetapa"</formula>
    </cfRule>
  </conditionalFormatting>
  <conditionalFormatting sqref="K3270:K3274">
    <cfRule type="expression" priority="2340" dxfId="6434">
      <formula>$B3270="Subetapa"</formula>
    </cfRule>
    <cfRule type="expression" priority="2341" dxfId="6433">
      <formula>$B3270="Serviço"</formula>
    </cfRule>
  </conditionalFormatting>
  <conditionalFormatting sqref="A3265:A3269">
    <cfRule type="expression" priority="2337" dxfId="6424">
      <formula>$B3265="Subetapa"</formula>
    </cfRule>
  </conditionalFormatting>
  <conditionalFormatting sqref="A3270:A3274">
    <cfRule type="expression" priority="2334" dxfId="6433">
      <formula>$B3270="Serviço"</formula>
    </cfRule>
    <cfRule type="expression" priority="2335" dxfId="6434">
      <formula>$B3270="Subetapa"</formula>
    </cfRule>
  </conditionalFormatting>
  <conditionalFormatting sqref="A3275:A3284">
    <cfRule type="expression" priority="2332" dxfId="6434">
      <formula>$B3275="Subetapa"</formula>
    </cfRule>
  </conditionalFormatting>
  <conditionalFormatting sqref="A3276:A3279 A3281:A3284">
    <cfRule type="expression" priority="2333" dxfId="6433">
      <formula>$B3276="Serviço"</formula>
    </cfRule>
  </conditionalFormatting>
  <conditionalFormatting sqref="A3275 A3280">
    <cfRule type="expression" priority="2331" dxfId="6433">
      <formula>$B3275="Serviço"</formula>
    </cfRule>
  </conditionalFormatting>
  <conditionalFormatting sqref="C3500:C3504 D3500:F3500 D3501:D3504">
    <cfRule type="expression" priority="2322" dxfId="6433">
      <formula>$B3500="Serviço"</formula>
    </cfRule>
  </conditionalFormatting>
  <conditionalFormatting sqref="F3501:F3504">
    <cfRule type="expression" priority="2320" dxfId="6433">
      <formula>$A3501="Serviço"</formula>
    </cfRule>
    <cfRule type="expression" priority="2321" dxfId="6434">
      <formula>$A3501="Subetapa"</formula>
    </cfRule>
  </conditionalFormatting>
  <conditionalFormatting sqref="G3500:H3500">
    <cfRule type="expression" priority="2319" dxfId="6434">
      <formula>$B3500="Subetapa"</formula>
    </cfRule>
    <cfRule type="expression" priority="2318" dxfId="6433">
      <formula>$B3500="Serviço"</formula>
    </cfRule>
  </conditionalFormatting>
  <conditionalFormatting sqref="C3334:D3334">
    <cfRule type="expression" priority="2317" dxfId="6434">
      <formula>$B3334="Subetapa"</formula>
    </cfRule>
    <cfRule type="expression" priority="2316" dxfId="6433">
      <formula>$B3334="Serviço"</formula>
    </cfRule>
  </conditionalFormatting>
  <conditionalFormatting sqref="C3339:D3339">
    <cfRule type="expression" priority="2315" dxfId="6434">
      <formula>$B3339="Subetapa"</formula>
    </cfRule>
    <cfRule type="expression" priority="2314" dxfId="6433">
      <formula>$B3339="Serviço"</formula>
    </cfRule>
  </conditionalFormatting>
  <conditionalFormatting sqref="C3294:D3294">
    <cfRule type="expression" priority="2313" dxfId="6434">
      <formula>$B3294="Subetapa"</formula>
    </cfRule>
    <cfRule type="expression" priority="2312" dxfId="6433">
      <formula>$B3294="Serviço"</formula>
    </cfRule>
  </conditionalFormatting>
  <conditionalFormatting sqref="C3274:D3274">
    <cfRule type="expression" priority="2311" dxfId="6434">
      <formula>$B3274="Subetapa"</formula>
    </cfRule>
    <cfRule type="expression" priority="2310" dxfId="6433">
      <formula>$B3274="Serviço"</formula>
    </cfRule>
  </conditionalFormatting>
  <conditionalFormatting sqref="C3269:D3269">
    <cfRule type="expression" priority="2309" dxfId="6434">
      <formula>$B3269="Subetapa"</formula>
    </cfRule>
    <cfRule type="expression" priority="2308" dxfId="6433">
      <formula>$B3269="Serviço"</formula>
    </cfRule>
  </conditionalFormatting>
  <conditionalFormatting sqref="C2378:D2378">
    <cfRule type="expression" priority="2307" dxfId="6434">
      <formula>$B2378="Subetapa"</formula>
    </cfRule>
    <cfRule type="expression" priority="2306" dxfId="6433">
      <formula>$B2378="Serviço"</formula>
    </cfRule>
  </conditionalFormatting>
  <conditionalFormatting sqref="C2388:D2388">
    <cfRule type="expression" priority="2305" dxfId="6434">
      <formula>$B2388="Subetapa"</formula>
    </cfRule>
    <cfRule type="expression" priority="2304" dxfId="6433">
      <formula>$B2388="Serviço"</formula>
    </cfRule>
  </conditionalFormatting>
  <conditionalFormatting sqref="C2419:D2419">
    <cfRule type="expression" priority="2303" dxfId="6434">
      <formula>$B2419="Subetapa"</formula>
    </cfRule>
    <cfRule type="expression" priority="2302" dxfId="6433">
      <formula>$B2419="Serviço"</formula>
    </cfRule>
  </conditionalFormatting>
  <conditionalFormatting sqref="C2429:D2429">
    <cfRule type="expression" priority="2301" dxfId="6434">
      <formula>$B2429="Subetapa"</formula>
    </cfRule>
    <cfRule type="expression" priority="2300" dxfId="6433">
      <formula>$B2429="Serviço"</formula>
    </cfRule>
  </conditionalFormatting>
  <conditionalFormatting sqref="G2566:H2566">
    <cfRule type="expression" priority="2293" dxfId="6424">
      <formula>$B2566="Subetapa"</formula>
    </cfRule>
  </conditionalFormatting>
  <conditionalFormatting sqref="C2570:D2570">
    <cfRule type="expression" priority="2290" dxfId="6433">
      <formula>$B2570="Serviço"</formula>
    </cfRule>
    <cfRule type="expression" priority="2291" dxfId="6434">
      <formula>$B2570="Subetapa"</formula>
    </cfRule>
  </conditionalFormatting>
  <conditionalFormatting sqref="G2561:H2561">
    <cfRule type="expression" priority="2281" dxfId="6424">
      <formula>$B2561="Subetapa"</formula>
    </cfRule>
  </conditionalFormatting>
  <conditionalFormatting sqref="C2565:D2565">
    <cfRule type="expression" priority="2278" dxfId="6433">
      <formula>$B2565="Serviço"</formula>
    </cfRule>
    <cfRule type="expression" priority="2279" dxfId="6434">
      <formula>$B2565="Subetapa"</formula>
    </cfRule>
  </conditionalFormatting>
  <conditionalFormatting sqref="G2546:H2546">
    <cfRule type="expression" priority="2269" dxfId="6424">
      <formula>$B2546="Subetapa"</formula>
    </cfRule>
  </conditionalFormatting>
  <conditionalFormatting sqref="C2550:D2550">
    <cfRule type="expression" priority="2266" dxfId="6433">
      <formula>$B2550="Serviço"</formula>
    </cfRule>
    <cfRule type="expression" priority="2267" dxfId="6434">
      <formula>$B2550="Subetapa"</formula>
    </cfRule>
  </conditionalFormatting>
  <conditionalFormatting sqref="G2541:H2541">
    <cfRule type="expression" priority="2257" dxfId="6424">
      <formula>$B2541="Subetapa"</formula>
    </cfRule>
  </conditionalFormatting>
  <conditionalFormatting sqref="C2545:D2545">
    <cfRule type="expression" priority="2254" dxfId="6433">
      <formula>$B2545="Serviço"</formula>
    </cfRule>
    <cfRule type="expression" priority="2255" dxfId="6434">
      <formula>$B2545="Subetapa"</formula>
    </cfRule>
  </conditionalFormatting>
  <conditionalFormatting sqref="G2536:H2536">
    <cfRule type="expression" priority="2245" dxfId="6424">
      <formula>$B2536="Subetapa"</formula>
    </cfRule>
  </conditionalFormatting>
  <conditionalFormatting sqref="C2540:D2540">
    <cfRule type="expression" priority="2242" dxfId="6433">
      <formula>$B2540="Serviço"</formula>
    </cfRule>
    <cfRule type="expression" priority="2243" dxfId="6434">
      <formula>$B2540="Subetapa"</formula>
    </cfRule>
  </conditionalFormatting>
  <conditionalFormatting sqref="G2531:H2531">
    <cfRule type="expression" priority="2233" dxfId="6424">
      <formula>$B2531="Subetapa"</formula>
    </cfRule>
  </conditionalFormatting>
  <conditionalFormatting sqref="C2535:D2535">
    <cfRule type="expression" priority="2230" dxfId="6433">
      <formula>$B2535="Serviço"</formula>
    </cfRule>
    <cfRule type="expression" priority="2231" dxfId="6434">
      <formula>$B2535="Subetapa"</formula>
    </cfRule>
  </conditionalFormatting>
  <conditionalFormatting sqref="G2589:H2589">
    <cfRule type="expression" priority="2225" dxfId="6424">
      <formula>$B2589="Subetapa"</formula>
    </cfRule>
  </conditionalFormatting>
  <conditionalFormatting sqref="G2583:H2583">
    <cfRule type="expression" priority="2219" dxfId="6424">
      <formula>$B2583="Subetapa"</formula>
    </cfRule>
  </conditionalFormatting>
  <conditionalFormatting sqref="G2556:H2556">
    <cfRule type="expression" priority="2209" dxfId="6424">
      <formula>$B2556="Subetapa"</formula>
    </cfRule>
  </conditionalFormatting>
  <conditionalFormatting sqref="C2560:D2560">
    <cfRule type="expression" priority="2206" dxfId="6433">
      <formula>$B2560="Serviço"</formula>
    </cfRule>
    <cfRule type="expression" priority="2207" dxfId="6434">
      <formula>$B2560="Subetapa"</formula>
    </cfRule>
  </conditionalFormatting>
  <conditionalFormatting sqref="G2551:H2551">
    <cfRule type="expression" priority="2197" dxfId="6424">
      <formula>$B2551="Subetapa"</formula>
    </cfRule>
  </conditionalFormatting>
  <conditionalFormatting sqref="C2555:D2555">
    <cfRule type="expression" priority="2194" dxfId="6433">
      <formula>$B2555="Serviço"</formula>
    </cfRule>
    <cfRule type="expression" priority="2195" dxfId="6434">
      <formula>$B2555="Subetapa"</formula>
    </cfRule>
  </conditionalFormatting>
  <conditionalFormatting sqref="G2420:H2420">
    <cfRule type="expression" priority="2189" dxfId="6424">
      <formula>$B2420="Subetapa"</formula>
    </cfRule>
  </conditionalFormatting>
  <conditionalFormatting sqref="C2424:D2424">
    <cfRule type="expression" priority="2187" dxfId="6434">
      <formula>$B2424="Subetapa"</formula>
    </cfRule>
    <cfRule type="expression" priority="2186" dxfId="6433">
      <formula>$B2424="Serviço"</formula>
    </cfRule>
  </conditionalFormatting>
  <conditionalFormatting sqref="C3147:F3147">
    <cfRule type="expression" priority="2185" dxfId="6424">
      <formula>$B3147="Subetapa"</formula>
    </cfRule>
  </conditionalFormatting>
  <conditionalFormatting sqref="G3147:H3147">
    <cfRule type="expression" priority="2183" dxfId="6424">
      <formula>$B3147="Subetapa"</formula>
    </cfRule>
  </conditionalFormatting>
  <conditionalFormatting sqref="E3173:E3174">
    <cfRule type="expression" priority="2181" dxfId="6424">
      <formula>$B3173="Subetapa"</formula>
    </cfRule>
  </conditionalFormatting>
  <conditionalFormatting sqref="E3172:F3172">
    <cfRule type="expression" priority="2178" dxfId="6424">
      <formula>$B3172="Subetapa"</formula>
    </cfRule>
  </conditionalFormatting>
  <conditionalFormatting sqref="D3173:D3174 F3173:F3174">
    <cfRule type="expression" priority="2182" dxfId="6424">
      <formula>$B3173="Subetapa"</formula>
    </cfRule>
  </conditionalFormatting>
  <conditionalFormatting sqref="G3172:H3172">
    <cfRule type="expression" priority="2174" dxfId="6424">
      <formula>$B3172="Subetapa"</formula>
    </cfRule>
  </conditionalFormatting>
  <conditionalFormatting sqref="E3170:E3171">
    <cfRule type="expression" priority="2172" dxfId="6424">
      <formula>$B3170="Subetapa"</formula>
    </cfRule>
  </conditionalFormatting>
  <conditionalFormatting sqref="C3169:F3169">
    <cfRule type="expression" priority="2169" dxfId="6424">
      <formula>$B3169="Subetapa"</formula>
    </cfRule>
  </conditionalFormatting>
  <conditionalFormatting sqref="D3170:D3171 F3170:F3171">
    <cfRule type="expression" priority="2173" dxfId="6424">
      <formula>$B3170="Subetapa"</formula>
    </cfRule>
  </conditionalFormatting>
  <conditionalFormatting sqref="G3169:H3169">
    <cfRule type="expression" priority="2165" dxfId="6424">
      <formula>$B3169="Subetapa"</formula>
    </cfRule>
  </conditionalFormatting>
  <conditionalFormatting sqref="E3167:E3168">
    <cfRule type="expression" priority="2163" dxfId="6424">
      <formula>$B3167="Subetapa"</formula>
    </cfRule>
  </conditionalFormatting>
  <conditionalFormatting sqref="E3166:F3166">
    <cfRule type="expression" priority="2160" dxfId="6424">
      <formula>$B3166="Subetapa"</formula>
    </cfRule>
  </conditionalFormatting>
  <conditionalFormatting sqref="D3167:D3168 F3167:F3168">
    <cfRule type="expression" priority="2164" dxfId="6424">
      <formula>$B3167="Subetapa"</formula>
    </cfRule>
  </conditionalFormatting>
  <conditionalFormatting sqref="G3166:H3166">
    <cfRule type="expression" priority="2156" dxfId="6424">
      <formula>$B3166="Subetapa"</formula>
    </cfRule>
  </conditionalFormatting>
  <conditionalFormatting sqref="E3164:E3165">
    <cfRule type="expression" priority="2154" dxfId="6424">
      <formula>$B3164="Subetapa"</formula>
    </cfRule>
  </conditionalFormatting>
  <conditionalFormatting sqref="E3163:F3163">
    <cfRule type="expression" priority="2151" dxfId="6424">
      <formula>$B3163="Subetapa"</formula>
    </cfRule>
  </conditionalFormatting>
  <conditionalFormatting sqref="D3164:D3165 F3164:F3165">
    <cfRule type="expression" priority="2155" dxfId="6424">
      <formula>$B3164="Subetapa"</formula>
    </cfRule>
  </conditionalFormatting>
  <conditionalFormatting sqref="G3163:H3163">
    <cfRule type="expression" priority="2147" dxfId="6424">
      <formula>$B3163="Subetapa"</formula>
    </cfRule>
  </conditionalFormatting>
  <conditionalFormatting sqref="E3161:E3162">
    <cfRule type="expression" priority="2145" dxfId="6424">
      <formula>$B3161="Subetapa"</formula>
    </cfRule>
  </conditionalFormatting>
  <conditionalFormatting sqref="C3160:F3160">
    <cfRule type="expression" priority="2142" dxfId="6424">
      <formula>$B3160="Subetapa"</formula>
    </cfRule>
  </conditionalFormatting>
  <conditionalFormatting sqref="D3161:D3162 F3161:F3162">
    <cfRule type="expression" priority="2146" dxfId="6424">
      <formula>$B3161="Subetapa"</formula>
    </cfRule>
  </conditionalFormatting>
  <conditionalFormatting sqref="G3160:H3160">
    <cfRule type="expression" priority="2138" dxfId="6424">
      <formula>$B3160="Subetapa"</formula>
    </cfRule>
  </conditionalFormatting>
  <conditionalFormatting sqref="E3158:E3159">
    <cfRule type="expression" priority="2136" dxfId="6424">
      <formula>$B3158="Subetapa"</formula>
    </cfRule>
  </conditionalFormatting>
  <conditionalFormatting sqref="C3157:F3157">
    <cfRule type="expression" priority="2133" dxfId="6424">
      <formula>$B3157="Subetapa"</formula>
    </cfRule>
  </conditionalFormatting>
  <conditionalFormatting sqref="D3158:D3159 F3158:F3159">
    <cfRule type="expression" priority="2137" dxfId="6424">
      <formula>$B3158="Subetapa"</formula>
    </cfRule>
  </conditionalFormatting>
  <conditionalFormatting sqref="G3157:H3157">
    <cfRule type="expression" priority="2129" dxfId="6424">
      <formula>$B3157="Subetapa"</formula>
    </cfRule>
  </conditionalFormatting>
  <conditionalFormatting sqref="C3163:D3163">
    <cfRule type="expression" priority="2128" dxfId="6424">
      <formula>$B3163="Subetapa"</formula>
    </cfRule>
  </conditionalFormatting>
  <conditionalFormatting sqref="C3166:D3166">
    <cfRule type="expression" priority="2126" dxfId="6424">
      <formula>$B3166="Subetapa"</formula>
    </cfRule>
  </conditionalFormatting>
  <conditionalFormatting sqref="C3172:D3172">
    <cfRule type="expression" priority="2125" dxfId="6424">
      <formula>$B3172="Subetapa"</formula>
    </cfRule>
  </conditionalFormatting>
  <conditionalFormatting sqref="C3155:C3156 D3155:F3155 D3156">
    <cfRule type="expression" priority="2120" dxfId="6424">
      <formula>$B3155="Subetapa"</formula>
    </cfRule>
  </conditionalFormatting>
  <conditionalFormatting sqref="G3155:H3155">
    <cfRule type="expression" priority="2116" dxfId="6424">
      <formula>$B3155="Subetapa"</formula>
    </cfRule>
  </conditionalFormatting>
  <conditionalFormatting sqref="C3153:C3154 D3153:F3153 D3154">
    <cfRule type="expression" priority="2114" dxfId="6424">
      <formula>$B3153="Subetapa"</formula>
    </cfRule>
  </conditionalFormatting>
  <conditionalFormatting sqref="G3153:H3153">
    <cfRule type="expression" priority="2112" dxfId="6424">
      <formula>$B3153="Subetapa"</formula>
    </cfRule>
  </conditionalFormatting>
  <conditionalFormatting sqref="C3151:C3152 D3151:F3151 D3152">
    <cfRule type="expression" priority="2110" dxfId="6424">
      <formula>$B3151="Subetapa"</formula>
    </cfRule>
  </conditionalFormatting>
  <conditionalFormatting sqref="G3151:H3151">
    <cfRule type="expression" priority="2108" dxfId="6424">
      <formula>$B3151="Subetapa"</formula>
    </cfRule>
  </conditionalFormatting>
  <conditionalFormatting sqref="C3149:C3150 D3149:F3149 D3150">
    <cfRule type="expression" priority="2106" dxfId="6424">
      <formula>$B3149="Subetapa"</formula>
    </cfRule>
  </conditionalFormatting>
  <conditionalFormatting sqref="G3149:H3149">
    <cfRule type="expression" priority="2104" dxfId="6424">
      <formula>$B3149="Subetapa"</formula>
    </cfRule>
  </conditionalFormatting>
  <conditionalFormatting sqref="B3589:C3613 D3589:F3589 D3590:D3593 D3594:F3594 D3595:D3597 D3598:F3598 D3599:D3601 D3602:F3602 D3603:D3605 D3606:F3606 D3607:D3609 D3610:F3610 D3611:D3613 F3590:F3593 F3595:F3597 F3599:F3601 F3603:F3605 F3607:F3609 F3611:F3613">
    <cfRule type="expression" priority="2102" dxfId="6424">
      <formula>$B3589="Subetapa"</formula>
    </cfRule>
  </conditionalFormatting>
  <conditionalFormatting sqref="B3614:C3617 D3614:F3614 D3615:D3617 F3615:F3617">
    <cfRule type="expression" priority="2100" dxfId="6424">
      <formula>$B3614="Subetapa"</formula>
    </cfRule>
  </conditionalFormatting>
  <conditionalFormatting sqref="G3610:H3610">
    <cfRule type="expression" priority="2098" dxfId="6424">
      <formula>$B3610="Subetapa"</formula>
    </cfRule>
  </conditionalFormatting>
  <conditionalFormatting sqref="K3589:K3613">
    <cfRule type="expression" priority="2092" dxfId="6424">
      <formula>$B3589="Subetapa"</formula>
    </cfRule>
  </conditionalFormatting>
  <conditionalFormatting sqref="K3614:K3617">
    <cfRule type="expression" priority="2090" dxfId="6424">
      <formula>$B3614="Subetapa"</formula>
    </cfRule>
  </conditionalFormatting>
  <conditionalFormatting sqref="A3589:A3613">
    <cfRule type="expression" priority="2088" dxfId="6424">
      <formula>$B3589="Subetapa"</formula>
    </cfRule>
  </conditionalFormatting>
  <conditionalFormatting sqref="A3614:A3617">
    <cfRule type="expression" priority="2086" dxfId="6424">
      <formula>$B3614="Subetapa"</formula>
    </cfRule>
  </conditionalFormatting>
  <conditionalFormatting sqref="E3595:E3597">
    <cfRule type="expression" priority="2085" dxfId="6424">
      <formula>$B3595="Subetapa"</formula>
    </cfRule>
  </conditionalFormatting>
  <conditionalFormatting sqref="G3594:H3594">
    <cfRule type="expression" priority="2080" dxfId="6424">
      <formula>$B3594="Subetapa"</formula>
    </cfRule>
  </conditionalFormatting>
  <conditionalFormatting sqref="E3599:E3601">
    <cfRule type="expression" priority="2079" dxfId="6424">
      <formula>$B3599="Subetapa"</formula>
    </cfRule>
  </conditionalFormatting>
  <conditionalFormatting sqref="G3598:H3598">
    <cfRule type="expression" priority="2074" dxfId="6424">
      <formula>$B3598="Subetapa"</formula>
    </cfRule>
  </conditionalFormatting>
  <conditionalFormatting sqref="E3607:E3609">
    <cfRule type="expression" priority="2073" dxfId="6424">
      <formula>$B3607="Subetapa"</formula>
    </cfRule>
  </conditionalFormatting>
  <conditionalFormatting sqref="G3606:H3606">
    <cfRule type="expression" priority="2068" dxfId="6424">
      <formula>$B3606="Subetapa"</formula>
    </cfRule>
  </conditionalFormatting>
  <conditionalFormatting sqref="E3603:E3605">
    <cfRule type="expression" priority="2067" dxfId="6424">
      <formula>$B3603="Subetapa"</formula>
    </cfRule>
  </conditionalFormatting>
  <conditionalFormatting sqref="G3602:H3602">
    <cfRule type="expression" priority="2062" dxfId="6424">
      <formula>$B3602="Subetapa"</formula>
    </cfRule>
  </conditionalFormatting>
  <conditionalFormatting sqref="G3614:H3614">
    <cfRule type="expression" priority="2060" dxfId="6424">
      <formula>$B3614="Subetapa"</formula>
    </cfRule>
  </conditionalFormatting>
  <conditionalFormatting sqref="E3590:E3593">
    <cfRule type="expression" priority="2055" dxfId="6424">
      <formula>$B3590="Subetapa"</formula>
    </cfRule>
  </conditionalFormatting>
  <conditionalFormatting sqref="G3589:H3589">
    <cfRule type="expression" priority="2050" dxfId="6424">
      <formula>$B3589="Subetapa"</formula>
    </cfRule>
  </conditionalFormatting>
  <conditionalFormatting sqref="G3221:H3221">
    <cfRule type="expression" priority="2049" dxfId="6424">
      <formula>$B3221="Subetapa"</formula>
    </cfRule>
  </conditionalFormatting>
  <conditionalFormatting sqref="G3219:H3219">
    <cfRule type="expression" priority="2047" dxfId="6424">
      <formula>$B3219="Subetapa"</formula>
    </cfRule>
  </conditionalFormatting>
  <conditionalFormatting sqref="C3177:F3177 F3178">
    <cfRule type="expression" priority="2044" dxfId="6433">
      <formula>$B3177="Serviço"</formula>
    </cfRule>
    <cfRule type="expression" priority="2045" dxfId="6434">
      <formula>$B3177="Subetapa"</formula>
    </cfRule>
  </conditionalFormatting>
  <conditionalFormatting sqref="G3177:H3177">
    <cfRule type="expression" priority="2042" dxfId="6434">
      <formula>$B3177="Subetapa"</formula>
    </cfRule>
    <cfRule type="expression" priority="2043" dxfId="6433">
      <formula>$B3177="Serviço"</formula>
    </cfRule>
  </conditionalFormatting>
  <conditionalFormatting sqref="C3178:D3178">
    <cfRule type="expression" priority="2041" dxfId="6424">
      <formula>$B3178="Subetapa"</formula>
    </cfRule>
  </conditionalFormatting>
  <conditionalFormatting sqref="E3179:F3179 F3180">
    <cfRule type="expression" priority="2038" dxfId="6433">
      <formula>$B3179="Serviço"</formula>
    </cfRule>
    <cfRule type="expression" priority="2039" dxfId="6434">
      <formula>$B3179="Subetapa"</formula>
    </cfRule>
  </conditionalFormatting>
  <conditionalFormatting sqref="G3179:H3179">
    <cfRule type="expression" priority="2036" dxfId="6434">
      <formula>$B3179="Subetapa"</formula>
    </cfRule>
    <cfRule type="expression" priority="2037" dxfId="6433">
      <formula>$B3179="Serviço"</formula>
    </cfRule>
  </conditionalFormatting>
  <conditionalFormatting sqref="C3179:D3179">
    <cfRule type="expression" priority="2034" dxfId="6433">
      <formula>$B3179="Serviço"</formula>
    </cfRule>
    <cfRule type="expression" priority="2035" dxfId="6434">
      <formula>$B3179="Subetapa"</formula>
    </cfRule>
  </conditionalFormatting>
  <conditionalFormatting sqref="C3180:D3180">
    <cfRule type="expression" priority="2033" dxfId="6424">
      <formula>$B3180="Subetapa"</formula>
    </cfRule>
  </conditionalFormatting>
  <conditionalFormatting sqref="G3217:H3217">
    <cfRule type="expression" priority="2031" dxfId="6424">
      <formula>$B3217="Subetapa"</formula>
    </cfRule>
  </conditionalFormatting>
  <conditionalFormatting sqref="G3195:H3195">
    <cfRule type="expression" priority="2029" dxfId="6434">
      <formula>$B3195="Subetapa"</formula>
    </cfRule>
    <cfRule type="expression" priority="2028" dxfId="6433">
      <formula>$B3195="Serviço"</formula>
    </cfRule>
  </conditionalFormatting>
  <conditionalFormatting sqref="C3699:C3703 D3699:F3699 D3700:D3703 F3700:F3703">
    <cfRule type="expression" priority="2026" dxfId="6434">
      <formula>$B3699="Subetapa"</formula>
    </cfRule>
    <cfRule type="expression" priority="2027" dxfId="6433">
      <formula>$B3699="Serviço"</formula>
    </cfRule>
  </conditionalFormatting>
  <conditionalFormatting sqref="G3699:H3699">
    <cfRule type="expression" priority="2024" dxfId="6433">
      <formula>$B3699="Serviço"</formula>
    </cfRule>
    <cfRule type="expression" priority="2025" dxfId="6434">
      <formula>$B3699="Subetapa"</formula>
    </cfRule>
  </conditionalFormatting>
  <conditionalFormatting sqref="D3656:D3657">
    <cfRule type="expression" priority="2023" dxfId="6424">
      <formula>$B3656="Subetapa"</formula>
    </cfRule>
  </conditionalFormatting>
  <conditionalFormatting sqref="G3654:H3654">
    <cfRule type="expression" priority="2021" dxfId="6424">
      <formula>$B3654="Subetapa"</formula>
    </cfRule>
  </conditionalFormatting>
  <conditionalFormatting sqref="F3655:F3657">
    <cfRule type="expression" priority="2020" dxfId="6424">
      <formula>$B3655="Subetapa"</formula>
    </cfRule>
  </conditionalFormatting>
  <conditionalFormatting sqref="G3790:H3790">
    <cfRule type="expression" priority="2017" dxfId="6424">
      <formula>$B3790="Subetapa"</formula>
    </cfRule>
  </conditionalFormatting>
  <conditionalFormatting sqref="B3207:B3208">
    <cfRule type="expression" priority="2013" dxfId="6424">
      <formula>$B3207="Subetapa"</formula>
    </cfRule>
  </conditionalFormatting>
  <conditionalFormatting sqref="F3208">
    <cfRule type="expression" priority="2014" dxfId="6424">
      <formula>$B3208="Subetapa"</formula>
    </cfRule>
  </conditionalFormatting>
  <conditionalFormatting sqref="C3207:F3207">
    <cfRule type="expression" priority="2016" dxfId="6424">
      <formula>$B3207="Subetapa"</formula>
    </cfRule>
  </conditionalFormatting>
  <conditionalFormatting sqref="G3207:H3207">
    <cfRule type="expression" priority="2011" dxfId="6424">
      <formula>$B3207="Subetapa"</formula>
    </cfRule>
  </conditionalFormatting>
  <conditionalFormatting sqref="C3208:D3208">
    <cfRule type="expression" priority="2009" dxfId="6433">
      <formula>$B3208="Serviço"</formula>
    </cfRule>
    <cfRule type="expression" priority="2010" dxfId="6434">
      <formula>$B3208="Subetapa"</formula>
    </cfRule>
  </conditionalFormatting>
  <conditionalFormatting sqref="B3325:B3329">
    <cfRule type="expression" priority="2008" dxfId="6424">
      <formula>$B3325="Subetapa"</formula>
    </cfRule>
  </conditionalFormatting>
  <conditionalFormatting sqref="A3325:A3329">
    <cfRule type="expression" priority="1998" dxfId="6424">
      <formula>$B3325="Subetapa"</formula>
    </cfRule>
  </conditionalFormatting>
  <conditionalFormatting sqref="G3325:H3325">
    <cfRule type="expression" priority="1992" dxfId="6424">
      <formula>$B3325="Subetapa"</formula>
    </cfRule>
  </conditionalFormatting>
  <conditionalFormatting sqref="C3329:D3329">
    <cfRule type="expression" priority="1988" dxfId="6434">
      <formula>$B3329="Subetapa"</formula>
    </cfRule>
    <cfRule type="expression" priority="1987" dxfId="6433">
      <formula>$B3329="Serviço"</formula>
    </cfRule>
  </conditionalFormatting>
  <conditionalFormatting sqref="G3779:H3779">
    <cfRule type="expression" priority="1986" dxfId="6424">
      <formula>$B3779="Subetapa"</formula>
    </cfRule>
  </conditionalFormatting>
  <conditionalFormatting sqref="E3966:F3966">
    <cfRule type="expression" priority="1983" dxfId="6424">
      <formula>$B3966="Subetapa"</formula>
    </cfRule>
  </conditionalFormatting>
  <conditionalFormatting sqref="G3966:H3966">
    <cfRule type="expression" priority="1982" dxfId="6424">
      <formula>$B3966="Subetapa"</formula>
    </cfRule>
  </conditionalFormatting>
  <conditionalFormatting sqref="C3962:F3962">
    <cfRule type="expression" priority="1979" dxfId="6424">
      <formula>$B3962="Subetapa"</formula>
    </cfRule>
  </conditionalFormatting>
  <conditionalFormatting sqref="G3962:H3962">
    <cfRule type="expression" priority="1978" dxfId="6424">
      <formula>$B3962="Subetapa"</formula>
    </cfRule>
  </conditionalFormatting>
  <conditionalFormatting sqref="B3960">
    <cfRule type="expression" priority="1974" dxfId="6424">
      <formula>$B3960="Subetapa"</formula>
    </cfRule>
  </conditionalFormatting>
  <conditionalFormatting sqref="B3961">
    <cfRule type="expression" priority="1971" dxfId="6424">
      <formula>$B3961="Subetapa"</formula>
    </cfRule>
  </conditionalFormatting>
  <conditionalFormatting sqref="C3960:D3960">
    <cfRule type="expression" priority="1975" dxfId="6424">
      <formula>$B3960="Subetapa"</formula>
    </cfRule>
  </conditionalFormatting>
  <conditionalFormatting sqref="C3961:D3961 F3961">
    <cfRule type="expression" priority="1976" dxfId="6424">
      <formula>$B3961="Subetapa"</formula>
    </cfRule>
  </conditionalFormatting>
  <conditionalFormatting sqref="F3960">
    <cfRule type="expression" priority="1977" dxfId="6424">
      <formula>$B3960="Subetapa"</formula>
    </cfRule>
  </conditionalFormatting>
  <conditionalFormatting sqref="G3960:H3960">
    <cfRule type="expression" priority="1970" dxfId="6424">
      <formula>$B3960="Subetapa"</formula>
    </cfRule>
  </conditionalFormatting>
  <conditionalFormatting sqref="E3960">
    <cfRule type="expression" priority="1973" dxfId="6424">
      <formula>$B3960="Subetapa"</formula>
    </cfRule>
  </conditionalFormatting>
  <conditionalFormatting sqref="K3960:K3961">
    <cfRule type="expression" priority="1966" dxfId="6424">
      <formula>$B3960="Subetapa"</formula>
    </cfRule>
  </conditionalFormatting>
  <conditionalFormatting sqref="A3960">
    <cfRule type="expression" priority="1965" dxfId="6424">
      <formula>$B3960="Subetapa"</formula>
    </cfRule>
  </conditionalFormatting>
  <conditionalFormatting sqref="A3961">
    <cfRule type="expression" priority="1964" dxfId="6424">
      <formula>$B3961="Subetapa"</formula>
    </cfRule>
  </conditionalFormatting>
  <conditionalFormatting sqref="C3964:F3964">
    <cfRule type="expression" priority="1959" dxfId="6424">
      <formula>$B3964="Subetapa"</formula>
    </cfRule>
  </conditionalFormatting>
  <conditionalFormatting sqref="G3964:H3964">
    <cfRule type="expression" priority="1958" dxfId="6424">
      <formula>$B3964="Subetapa"</formula>
    </cfRule>
  </conditionalFormatting>
  <conditionalFormatting sqref="D3966:D3967">
    <cfRule type="expression" priority="1955" dxfId="6424">
      <formula>$B3966="Subetapa"</formula>
    </cfRule>
  </conditionalFormatting>
  <conditionalFormatting sqref="C3967:D3967">
    <cfRule type="expression" priority="1956" dxfId="6424">
      <formula>$B3967="Subetapa"</formula>
    </cfRule>
  </conditionalFormatting>
  <conditionalFormatting sqref="F3967">
    <cfRule type="expression" priority="1953" dxfId="6424">
      <formula>$B3967="Subetapa"</formula>
    </cfRule>
  </conditionalFormatting>
  <conditionalFormatting sqref="B4031:B4040 C4032:D4032 C4034:D4034 C4038:D4038 C4040:D4040">
    <cfRule type="expression" priority="1948" dxfId="6424">
      <formula>$B4031="Subetapa"</formula>
    </cfRule>
  </conditionalFormatting>
  <conditionalFormatting sqref="C4037:F4037">
    <cfRule type="expression" priority="1950" dxfId="6424">
      <formula>$B4037="Subetapa"</formula>
    </cfRule>
  </conditionalFormatting>
  <conditionalFormatting sqref="G4037:H4037">
    <cfRule type="expression" priority="1944" dxfId="6424">
      <formula>$B4037="Subetapa"</formula>
    </cfRule>
  </conditionalFormatting>
  <conditionalFormatting sqref="K4031:K4040">
    <cfRule type="expression" priority="1940" dxfId="6424">
      <formula>$B4031="Subetapa"</formula>
    </cfRule>
  </conditionalFormatting>
  <conditionalFormatting sqref="A4031:A4040">
    <cfRule type="expression" priority="1939" dxfId="6424">
      <formula>$B4031="Subetapa"</formula>
    </cfRule>
  </conditionalFormatting>
  <conditionalFormatting sqref="E4035:F4035">
    <cfRule type="expression" priority="1936" dxfId="6424">
      <formula>$B4035="Subetapa"</formula>
    </cfRule>
  </conditionalFormatting>
  <conditionalFormatting sqref="G4035:H4035">
    <cfRule type="expression" priority="1935" dxfId="6424">
      <formula>$B4035="Subetapa"</formula>
    </cfRule>
  </conditionalFormatting>
  <conditionalFormatting sqref="C4031:F4031">
    <cfRule type="expression" priority="1932" dxfId="6424">
      <formula>$B4031="Subetapa"</formula>
    </cfRule>
  </conditionalFormatting>
  <conditionalFormatting sqref="G4031:H4031">
    <cfRule type="expression" priority="1931" dxfId="6424">
      <formula>$B4031="Subetapa"</formula>
    </cfRule>
  </conditionalFormatting>
  <conditionalFormatting sqref="B4029">
    <cfRule type="expression" priority="1927" dxfId="6424">
      <formula>$B4029="Subetapa"</formula>
    </cfRule>
  </conditionalFormatting>
  <conditionalFormatting sqref="B4030">
    <cfRule type="expression" priority="1924" dxfId="6424">
      <formula>$B4030="Subetapa"</formula>
    </cfRule>
  </conditionalFormatting>
  <conditionalFormatting sqref="C4029:D4029">
    <cfRule type="expression" priority="1928" dxfId="6424">
      <formula>$B4029="Subetapa"</formula>
    </cfRule>
  </conditionalFormatting>
  <conditionalFormatting sqref="C4030:D4030 F4030">
    <cfRule type="expression" priority="1929" dxfId="6424">
      <formula>$B4030="Subetapa"</formula>
    </cfRule>
  </conditionalFormatting>
  <conditionalFormatting sqref="F4029">
    <cfRule type="expression" priority="1930" dxfId="6424">
      <formula>$B4029="Subetapa"</formula>
    </cfRule>
  </conditionalFormatting>
  <conditionalFormatting sqref="G4029:H4029">
    <cfRule type="expression" priority="1923" dxfId="6424">
      <formula>$B4029="Subetapa"</formula>
    </cfRule>
  </conditionalFormatting>
  <conditionalFormatting sqref="E4029">
    <cfRule type="expression" priority="1926" dxfId="6424">
      <formula>$B4029="Subetapa"</formula>
    </cfRule>
  </conditionalFormatting>
  <conditionalFormatting sqref="K4029:K4030">
    <cfRule type="expression" priority="1919" dxfId="6424">
      <formula>$B4029="Subetapa"</formula>
    </cfRule>
  </conditionalFormatting>
  <conditionalFormatting sqref="A4029">
    <cfRule type="expression" priority="1918" dxfId="6424">
      <formula>$B4029="Subetapa"</formula>
    </cfRule>
  </conditionalFormatting>
  <conditionalFormatting sqref="A4030">
    <cfRule type="expression" priority="1917" dxfId="6424">
      <formula>$B4030="Subetapa"</formula>
    </cfRule>
  </conditionalFormatting>
  <conditionalFormatting sqref="C4033:F4033">
    <cfRule type="expression" priority="1912" dxfId="6424">
      <formula>$B4033="Subetapa"</formula>
    </cfRule>
  </conditionalFormatting>
  <conditionalFormatting sqref="G4033:H4033">
    <cfRule type="expression" priority="1911" dxfId="6424">
      <formula>$B4033="Subetapa"</formula>
    </cfRule>
  </conditionalFormatting>
  <conditionalFormatting sqref="D4035:D4036">
    <cfRule type="expression" priority="1908" dxfId="6424">
      <formula>$B4035="Subetapa"</formula>
    </cfRule>
  </conditionalFormatting>
  <conditionalFormatting sqref="C4036:D4036">
    <cfRule type="expression" priority="1909" dxfId="6424">
      <formula>$B4036="Subetapa"</formula>
    </cfRule>
  </conditionalFormatting>
  <conditionalFormatting sqref="F4036">
    <cfRule type="expression" priority="1906" dxfId="6424">
      <formula>$B4036="Subetapa"</formula>
    </cfRule>
  </conditionalFormatting>
  <conditionalFormatting sqref="B4049:F4049">
    <cfRule type="expression" priority="1904" dxfId="6424">
      <formula>$B4049="Subetapa"</formula>
    </cfRule>
  </conditionalFormatting>
  <conditionalFormatting sqref="B4050:D4050 F4050">
    <cfRule type="expression" priority="1902" dxfId="6424">
      <formula>$B4050="Subetapa"</formula>
    </cfRule>
  </conditionalFormatting>
  <conditionalFormatting sqref="G4049:H4049">
    <cfRule type="expression" priority="1898" dxfId="6424">
      <formula>$B4049="Subetapa"</formula>
    </cfRule>
  </conditionalFormatting>
  <conditionalFormatting sqref="K4049:K4050">
    <cfRule type="expression" priority="1893" dxfId="6424">
      <formula>$B4049="Subetapa"</formula>
    </cfRule>
  </conditionalFormatting>
  <conditionalFormatting sqref="A4049">
    <cfRule type="expression" priority="1892" dxfId="6424">
      <formula>$B4049="Subetapa"</formula>
    </cfRule>
  </conditionalFormatting>
  <conditionalFormatting sqref="A4050">
    <cfRule type="expression" priority="1890" dxfId="6424">
      <formula>$B4050="Subetapa"</formula>
    </cfRule>
  </conditionalFormatting>
  <conditionalFormatting sqref="B4044:B4048">
    <cfRule type="expression" priority="1884" dxfId="6424">
      <formula>$B4044="Subetapa"</formula>
    </cfRule>
  </conditionalFormatting>
  <conditionalFormatting sqref="C4044:C4048 D4044:F4044 D4045:D4048 F4045:F4048">
    <cfRule type="expression" priority="1885" dxfId="6424">
      <formula>$B4044="Subetapa"</formula>
    </cfRule>
  </conditionalFormatting>
  <conditionalFormatting sqref="G4044:H4044">
    <cfRule type="expression" priority="1882" dxfId="6424">
      <formula>$B4044="Subetapa"</formula>
    </cfRule>
  </conditionalFormatting>
  <conditionalFormatting sqref="K4044:K4048">
    <cfRule type="expression" priority="1878" dxfId="6424">
      <formula>$B4044="Subetapa"</formula>
    </cfRule>
  </conditionalFormatting>
  <conditionalFormatting sqref="A4044:A4048">
    <cfRule type="expression" priority="1876" dxfId="6424">
      <formula>$B4044="Subetapa"</formula>
    </cfRule>
  </conditionalFormatting>
  <conditionalFormatting sqref="C4039:C4040 D4039:F4039 D4040">
    <cfRule type="expression" priority="1875" dxfId="6424">
      <formula>$B4039="Subetapa"</formula>
    </cfRule>
  </conditionalFormatting>
  <conditionalFormatting sqref="G4039:H4039">
    <cfRule type="expression" priority="1874" dxfId="6424">
      <formula>$B4039="Subetapa"</formula>
    </cfRule>
  </conditionalFormatting>
  <conditionalFormatting sqref="E4079">
    <cfRule type="expression" priority="1873" dxfId="6424">
      <formula>$B4079="Subetapa"</formula>
    </cfRule>
  </conditionalFormatting>
  <conditionalFormatting sqref="G4078:H4078">
    <cfRule type="expression" priority="1869" dxfId="6424">
      <formula>$B4078="Subetapa"</formula>
    </cfRule>
  </conditionalFormatting>
  <conditionalFormatting sqref="G4062:H4062">
    <cfRule type="expression" priority="1868" dxfId="6424">
      <formula>$B4062="Subetapa"</formula>
    </cfRule>
  </conditionalFormatting>
  <conditionalFormatting sqref="E4081">
    <cfRule type="expression" priority="1867" dxfId="6424">
      <formula>$B4081="Subetapa"</formula>
    </cfRule>
  </conditionalFormatting>
  <conditionalFormatting sqref="G4080:H4080">
    <cfRule type="expression" priority="1863" dxfId="6424">
      <formula>$B4080="Subetapa"</formula>
    </cfRule>
  </conditionalFormatting>
  <conditionalFormatting sqref="B4302:B4303">
    <cfRule type="expression" priority="1857" dxfId="6433">
      <formula>$B4302="Serviço"</formula>
    </cfRule>
    <cfRule type="expression" priority="1861" dxfId="6434">
      <formula>$B4302="Subetapa"</formula>
    </cfRule>
  </conditionalFormatting>
  <conditionalFormatting sqref="C4302:C4303 D4302:F4302 D4303 F4303">
    <cfRule type="expression" priority="1859" dxfId="6433">
      <formula>$B4302="Serviço"</formula>
    </cfRule>
    <cfRule type="expression" priority="1860" dxfId="6434">
      <formula>$B4302="Subetapa"</formula>
    </cfRule>
  </conditionalFormatting>
  <conditionalFormatting sqref="G4302:H4302">
    <cfRule type="expression" priority="1855" dxfId="6433">
      <formula>$B4302="Serviço"</formula>
    </cfRule>
    <cfRule type="expression" priority="1856" dxfId="6434">
      <formula>$B4302="Subetapa"</formula>
    </cfRule>
  </conditionalFormatting>
  <conditionalFormatting sqref="K4302:K4303">
    <cfRule type="expression" priority="1851" dxfId="6434">
      <formula>$B4302="Subetapa"</formula>
    </cfRule>
    <cfRule type="expression" priority="1852" dxfId="6433">
      <formula>$B4302="Serviço"</formula>
    </cfRule>
  </conditionalFormatting>
  <conditionalFormatting sqref="A4302:A4303">
    <cfRule type="expression" priority="1849" dxfId="6433">
      <formula>$B4302="Serviço"</formula>
    </cfRule>
    <cfRule type="expression" priority="1850" dxfId="6434">
      <formula>$B4302="Subetapa"</formula>
    </cfRule>
  </conditionalFormatting>
  <conditionalFormatting sqref="C4679:D4679 E4676:F4676">
    <cfRule type="expression" priority="1844" dxfId="6424">
      <formula>$B4676="Subetapa"</formula>
    </cfRule>
  </conditionalFormatting>
  <conditionalFormatting sqref="G4676:H4676">
    <cfRule type="expression" priority="1845" dxfId="6424">
      <formula>$B4676="Subetapa"</formula>
    </cfRule>
  </conditionalFormatting>
  <conditionalFormatting sqref="C4680:D4680">
    <cfRule type="expression" priority="1835" dxfId="6424">
      <formula>$B4680="Subetapa"</formula>
    </cfRule>
  </conditionalFormatting>
  <conditionalFormatting sqref="C4664:C4666 C4668:D4668 D4664:F4664 D4665:D4666">
    <cfRule type="expression" priority="1830" dxfId="6424">
      <formula>$B4664="Subetapa"</formula>
    </cfRule>
  </conditionalFormatting>
  <conditionalFormatting sqref="G4664:H4664">
    <cfRule type="expression" priority="1831" dxfId="6424">
      <formula>$B4664="Subetapa"</formula>
    </cfRule>
  </conditionalFormatting>
  <conditionalFormatting sqref="D4669:D4670">
    <cfRule type="expression" priority="1828" dxfId="6424">
      <formula>$B4669="Subetapa"</formula>
    </cfRule>
  </conditionalFormatting>
  <conditionalFormatting sqref="C4625:C4628 D4625:F4625 D4626:D4628">
    <cfRule type="expression" priority="1823" dxfId="6424">
      <formula>$B4625="Subetapa"</formula>
    </cfRule>
  </conditionalFormatting>
  <conditionalFormatting sqref="G4625:H4625">
    <cfRule type="expression" priority="1824" dxfId="6424">
      <formula>$B4625="Subetapa"</formula>
    </cfRule>
  </conditionalFormatting>
  <conditionalFormatting sqref="C4629:D4629 C4634:D4634">
    <cfRule type="expression" priority="1821" dxfId="6424">
      <formula>$B4629="Subetapa"</formula>
    </cfRule>
  </conditionalFormatting>
  <conditionalFormatting sqref="C4615:C4618 D4615:F4615 D4616:D4618">
    <cfRule type="expression" priority="1816" dxfId="6424">
      <formula>$B4615="Subetapa"</formula>
    </cfRule>
  </conditionalFormatting>
  <conditionalFormatting sqref="G4615:H4615">
    <cfRule type="expression" priority="1817" dxfId="6424">
      <formula>$B4615="Subetapa"</formula>
    </cfRule>
  </conditionalFormatting>
  <conditionalFormatting sqref="C4619:D4619">
    <cfRule type="expression" priority="1814" dxfId="6424">
      <formula>$B4619="Subetapa"</formula>
    </cfRule>
  </conditionalFormatting>
  <conditionalFormatting sqref="C4610:C4613 D4610:F4610 D4611:D4613">
    <cfRule type="expression" priority="1809" dxfId="6424">
      <formula>$B4610="Subetapa"</formula>
    </cfRule>
  </conditionalFormatting>
  <conditionalFormatting sqref="G4610:H4610">
    <cfRule type="expression" priority="1810" dxfId="6424">
      <formula>$B4610="Subetapa"</formula>
    </cfRule>
  </conditionalFormatting>
  <conditionalFormatting sqref="C4614:D4614">
    <cfRule type="expression" priority="1807" dxfId="6424">
      <formula>$B4614="Subetapa"</formula>
    </cfRule>
  </conditionalFormatting>
  <conditionalFormatting sqref="C4667:D4667">
    <cfRule type="expression" priority="1805" dxfId="6424">
      <formula>$B4667="Subetapa"</formula>
    </cfRule>
  </conditionalFormatting>
  <conditionalFormatting sqref="C4678:D4678">
    <cfRule type="expression" priority="1803" dxfId="6424">
      <formula>$B4678="Subetapa"</formula>
    </cfRule>
  </conditionalFormatting>
  <conditionalFormatting sqref="C4671:C4674 D4671:F4671 D4672:D4674">
    <cfRule type="expression" priority="1798" dxfId="6424">
      <formula>$B4671="Subetapa"</formula>
    </cfRule>
  </conditionalFormatting>
  <conditionalFormatting sqref="G4671:H4671">
    <cfRule type="expression" priority="1799" dxfId="6424">
      <formula>$B4671="Subetapa"</formula>
    </cfRule>
  </conditionalFormatting>
  <conditionalFormatting sqref="C4675:D4675">
    <cfRule type="expression" priority="1796" dxfId="6424">
      <formula>$B4675="Subetapa"</formula>
    </cfRule>
  </conditionalFormatting>
  <conditionalFormatting sqref="D4676:D4677">
    <cfRule type="expression" priority="1794" dxfId="6424">
      <formula>$B4676="Subetapa"</formula>
    </cfRule>
  </conditionalFormatting>
  <conditionalFormatting sqref="C4630:C4633 D4630:F4630 D4631:D4633">
    <cfRule type="expression" priority="1792" dxfId="6424">
      <formula>$B4630="Subetapa"</formula>
    </cfRule>
  </conditionalFormatting>
  <conditionalFormatting sqref="G4630:H4630">
    <cfRule type="expression" priority="1793" dxfId="6424">
      <formula>$B4630="Subetapa"</formula>
    </cfRule>
  </conditionalFormatting>
  <conditionalFormatting sqref="C4681:C4684 D4681:F4681 D4682:D4684">
    <cfRule type="expression" priority="1787" dxfId="6424">
      <formula>$B4681="Subetapa"</formula>
    </cfRule>
  </conditionalFormatting>
  <conditionalFormatting sqref="G4681:H4681">
    <cfRule type="expression" priority="1788" dxfId="6424">
      <formula>$B4681="Subetapa"</formula>
    </cfRule>
  </conditionalFormatting>
  <conditionalFormatting sqref="C4685:D4685">
    <cfRule type="expression" priority="1785" dxfId="6424">
      <formula>$B4685="Subetapa"</formula>
    </cfRule>
  </conditionalFormatting>
  <conditionalFormatting sqref="A4586:B4597 K4586:K4597">
    <cfRule type="expression" priority="1712" dxfId="6424">
      <formula>$B4586="Subetapa"</formula>
    </cfRule>
  </conditionalFormatting>
  <conditionalFormatting sqref="G4592:H4592">
    <cfRule type="expression" priority="1705" dxfId="6424">
      <formula>$B4592="Subetapa"</formula>
    </cfRule>
  </conditionalFormatting>
  <conditionalFormatting sqref="C4597:D4597">
    <cfRule type="expression" priority="1702" dxfId="6433">
      <formula>$B4597="Serviço"</formula>
    </cfRule>
    <cfRule type="expression" priority="1703" dxfId="6434">
      <formula>$B4597="Subetapa"</formula>
    </cfRule>
  </conditionalFormatting>
  <conditionalFormatting sqref="C4720:D4720">
    <cfRule type="expression" priority="1696" dxfId="6424">
      <formula>$B4720="Subetapa"</formula>
    </cfRule>
  </conditionalFormatting>
  <conditionalFormatting sqref="C4620:C4623 D4620:F4620 D4621:D4623">
    <cfRule type="expression" priority="1690" dxfId="6424">
      <formula>$B4620="Subetapa"</formula>
    </cfRule>
  </conditionalFormatting>
  <conditionalFormatting sqref="G4620:H4620">
    <cfRule type="expression" priority="1691" dxfId="6424">
      <formula>$B4620="Subetapa"</formula>
    </cfRule>
  </conditionalFormatting>
  <conditionalFormatting sqref="C4624:D4624">
    <cfRule type="expression" priority="1688" dxfId="6424">
      <formula>$B4624="Subetapa"</formula>
    </cfRule>
  </conditionalFormatting>
  <conditionalFormatting sqref="C4156:C4157 D4156:F4156 D4157 F4157">
    <cfRule type="expression" priority="1684" dxfId="6433">
      <formula>$B4156="Serviço"</formula>
    </cfRule>
    <cfRule type="expression" priority="1685" dxfId="6434">
      <formula>$B4156="Subetapa"</formula>
    </cfRule>
  </conditionalFormatting>
  <conditionalFormatting sqref="G4156:H4156">
    <cfRule type="expression" priority="1682" dxfId="6433">
      <formula>$B4156="Serviço"</formula>
    </cfRule>
    <cfRule type="expression" priority="1683" dxfId="6434">
      <formula>$B4156="Subetapa"</formula>
    </cfRule>
  </conditionalFormatting>
  <conditionalFormatting sqref="C4158:C4161 D4158:F4158 D4159:D4161 F4159">
    <cfRule type="expression" priority="1680" dxfId="6433">
      <formula>$B4158="Serviço"</formula>
    </cfRule>
    <cfRule type="expression" priority="1681" dxfId="6434">
      <formula>$B4158="Subetapa"</formula>
    </cfRule>
  </conditionalFormatting>
  <conditionalFormatting sqref="G4158:H4158">
    <cfRule type="expression" priority="1678" dxfId="6433">
      <formula>$B4158="Serviço"</formula>
    </cfRule>
    <cfRule type="expression" priority="1679" dxfId="6434">
      <formula>$B4158="Subetapa"</formula>
    </cfRule>
  </conditionalFormatting>
  <conditionalFormatting sqref="G4264:H4264">
    <cfRule type="expression" priority="1677" dxfId="6434">
      <formula>$B4264="Subetapa"</formula>
    </cfRule>
    <cfRule type="expression" priority="1676" dxfId="6433">
      <formula>$B4264="Serviço"</formula>
    </cfRule>
  </conditionalFormatting>
  <conditionalFormatting sqref="E548:E550 E552:E554">
    <cfRule type="expression" priority="1675" dxfId="6424">
      <formula>$B548="Subetapa"</formula>
    </cfRule>
  </conditionalFormatting>
  <conditionalFormatting sqref="E564:E566">
    <cfRule type="expression" priority="1653" dxfId="6424">
      <formula>$B564="Subetapa"</formula>
    </cfRule>
  </conditionalFormatting>
  <conditionalFormatting sqref="E568:E570">
    <cfRule type="expression" priority="1631" dxfId="6424">
      <formula>$B568="Subetapa"</formula>
    </cfRule>
  </conditionalFormatting>
  <conditionalFormatting sqref="E490:E492">
    <cfRule type="expression" priority="1609" dxfId="6424">
      <formula>$B490="Subetapa"</formula>
    </cfRule>
  </conditionalFormatting>
  <conditionalFormatting sqref="E512">
    <cfRule type="expression" priority="1573" dxfId="6424">
      <formula>$B512="Subetapa"</formula>
    </cfRule>
  </conditionalFormatting>
  <conditionalFormatting sqref="E514">
    <cfRule type="expression" priority="1553" dxfId="6424">
      <formula>$B514="Subetapa"</formula>
    </cfRule>
  </conditionalFormatting>
  <conditionalFormatting sqref="B361:B364 C361:C362 C364:D364 D361:F361 D362 F362:F364">
    <cfRule type="expression" priority="1525" dxfId="6424">
      <formula>$B361="Subetapa"</formula>
    </cfRule>
  </conditionalFormatting>
  <conditionalFormatting sqref="E362:E364">
    <cfRule type="expression" priority="1527" dxfId="6424">
      <formula>$B362="Subetapa"</formula>
    </cfRule>
  </conditionalFormatting>
  <conditionalFormatting sqref="G361:H361">
    <cfRule type="expression" priority="1520" dxfId="6424">
      <formula>$B361="Subetapa"</formula>
    </cfRule>
  </conditionalFormatting>
  <conditionalFormatting sqref="K361:K364">
    <cfRule type="expression" priority="1515" dxfId="6424">
      <formula>$B361="Subetapa"</formula>
    </cfRule>
  </conditionalFormatting>
  <conditionalFormatting sqref="A361:A364">
    <cfRule type="expression" priority="1513" dxfId="6424">
      <formula>$B361="Subetapa"</formula>
    </cfRule>
  </conditionalFormatting>
  <conditionalFormatting sqref="C363:D363">
    <cfRule type="expression" priority="1511" dxfId="6424">
      <formula>$B363="Subetapa"</formula>
    </cfRule>
  </conditionalFormatting>
  <conditionalFormatting sqref="E1073 E1075:E1084 E1086 E1088:E1097 E1099:E1100 E1102:E1111 E1114:E1123 E1126:E1138 E1155:E1167">
    <cfRule type="expression" priority="1482" dxfId="6424">
      <formula>$B1073="Subetapa"</formula>
    </cfRule>
  </conditionalFormatting>
  <conditionalFormatting sqref="A1102:B1111 A1114:B1123 A1126:B1138 A1155:B1167 F1127 F1156 K1110:K1119 K1122:K1134 K1137:K1138 K1155:K1163">
    <cfRule type="expression" priority="1478" dxfId="6433">
      <formula>$B1102="Serviço"</formula>
    </cfRule>
    <cfRule type="expression" priority="1479" dxfId="6434">
      <formula>$B1102="Subetapa"</formula>
    </cfRule>
  </conditionalFormatting>
  <conditionalFormatting sqref="B1019:F1019">
    <cfRule type="expression" priority="1481" dxfId="6424">
      <formula>$B1019="Subetapa"</formula>
    </cfRule>
  </conditionalFormatting>
  <conditionalFormatting sqref="A1019">
    <cfRule type="expression" priority="1475" dxfId="6424">
      <formula>$B1019="Subetapa"</formula>
    </cfRule>
  </conditionalFormatting>
  <conditionalFormatting sqref="A1072:B1073 A1075:B1086 A1088:B1100 C1073:D1073 C1075:D1082 C1088:D1095 C1100:D1100 C1102:D1109 F1075:F1082 F1088:F1095 F1102:F1109">
    <cfRule type="expression" priority="1470" dxfId="6433">
      <formula>$B1072="Serviço"</formula>
    </cfRule>
    <cfRule type="expression" priority="1471" dxfId="6434">
      <formula>$B1072="Subetapa"</formula>
    </cfRule>
  </conditionalFormatting>
  <conditionalFormatting sqref="K1020:K1028 K1031:K1041 K1044:K1054 K1057:K1067 K1070:K1080 K1083:K1093 K1096:K1107">
    <cfRule type="expression" priority="1466" dxfId="6433">
      <formula>$B1020="Serviço"</formula>
    </cfRule>
    <cfRule type="expression" priority="1467" dxfId="6434">
      <formula>$B1020="Subetapa"</formula>
    </cfRule>
  </conditionalFormatting>
  <conditionalFormatting sqref="B1073 B1075:B1080 B1083:B1084 B1086 B1088:B1093 B1096:B1097 B1099:B1100 B1102:B1107 B1110:B1111 B1114:B1119 B1122:B1123 B1129:B1134 B1137:B1138">
    <cfRule type="expression" priority="1465" dxfId="6433">
      <formula>$B1073="Serviço"</formula>
    </cfRule>
  </conditionalFormatting>
  <conditionalFormatting sqref="C1072:F1072 C1083:C1085 C1096:C1098 C1110:C1112 C1122:C1124 C1137:D1138 D1083:D1084 D1085:F1085 D1096:D1097 D1098:F1098 D1110:D1111 D1112:F1112 D1122:D1123 D1124:F1124 F1083:F1084 F1096:F1097 F1110:F1111 F1122:F1123 F1137:F1138">
    <cfRule type="expression" priority="1463" dxfId="6433">
      <formula>$B1072="Serviço"</formula>
    </cfRule>
    <cfRule type="expression" priority="1464" dxfId="6434">
      <formula>$B1072="Subetapa"</formula>
    </cfRule>
  </conditionalFormatting>
  <conditionalFormatting sqref="A1073 A1075:A1080 A1083:A1084 A1086 A1088:A1093 A1096:A1097 A1099:A1100 A1102:A1107 A1110:A1111 A1114:A1119 A1122:A1123 A1129:A1134 A1137:A1138">
    <cfRule type="expression" priority="1462" dxfId="6433">
      <formula>$B1073="Serviço"</formula>
    </cfRule>
  </conditionalFormatting>
  <conditionalFormatting sqref="K1081:K1082">
    <cfRule type="expression" priority="1458" dxfId="6434">
      <formula>$B1081="Subetapa"</formula>
    </cfRule>
    <cfRule type="expression" priority="1459" dxfId="6433">
      <formula>$B1081="Serviço"</formula>
    </cfRule>
  </conditionalFormatting>
  <conditionalFormatting sqref="F1073">
    <cfRule type="expression" priority="1452" dxfId="6434">
      <formula>$B1073="Subetapa"</formula>
    </cfRule>
    <cfRule type="expression" priority="1453" dxfId="6433">
      <formula>$B1073="Serviço"</formula>
    </cfRule>
  </conditionalFormatting>
  <conditionalFormatting sqref="I1019:K1019">
    <cfRule type="expression" priority="1450" dxfId="6424">
      <formula>$B1019="Subetapa"</formula>
    </cfRule>
  </conditionalFormatting>
  <conditionalFormatting sqref="E1022:E1032 E1034:E1045 E1047:E1058 E1060:E1071">
    <cfRule type="expression" priority="1444" dxfId="6424">
      <formula>$B1022="Subetapa"</formula>
    </cfRule>
  </conditionalFormatting>
  <conditionalFormatting sqref="A1020:B1071 D1023:D1030 D1036:D1043 D1049:D1056 D1062:D1069 F1023:F1030 F1036:F1043 F1049:F1056 F1062:F1069">
    <cfRule type="expression" priority="1438" dxfId="6433">
      <formula>$B1020="Serviço"</formula>
    </cfRule>
    <cfRule type="expression" priority="1439" dxfId="6434">
      <formula>$B1020="Subetapa"</formula>
    </cfRule>
  </conditionalFormatting>
  <conditionalFormatting sqref="B1021:B1028 B1031:B1032 B1034:B1041 B1044:B1045 B1047:B1054 B1057:B1058 B1060:B1067 B1070:B1071">
    <cfRule type="expression" priority="1435" dxfId="6433">
      <formula>$B1021="Serviço"</formula>
    </cfRule>
  </conditionalFormatting>
  <conditionalFormatting sqref="C1020:F1020 C1031:C1033 C1044:C1046 C1057:C1059 C1070:D1071 D1031:D1032 D1033:F1033 D1044:D1045 D1046:F1046 D1057:D1058 D1059:F1059 F1031:F1032 F1044:F1045 F1057:F1058 F1070:F1071">
    <cfRule type="expression" priority="1433" dxfId="6433">
      <formula>$B1020="Serviço"</formula>
    </cfRule>
    <cfRule type="expression" priority="1434" dxfId="6434">
      <formula>$B1020="Subetapa"</formula>
    </cfRule>
  </conditionalFormatting>
  <conditionalFormatting sqref="A1021:A1028 A1031:A1032 A1034:A1041 A1044:A1045 A1047:A1054 A1057:A1058 A1060:A1067 A1070:A1071">
    <cfRule type="expression" priority="1432" dxfId="6433">
      <formula>$B1021="Serviço"</formula>
    </cfRule>
  </conditionalFormatting>
  <conditionalFormatting sqref="K1029:K1030">
    <cfRule type="expression" priority="1428" dxfId="6434">
      <formula>$B1029="Subetapa"</formula>
    </cfRule>
    <cfRule type="expression" priority="1429" dxfId="6433">
      <formula>$B1029="Serviço"</formula>
    </cfRule>
  </conditionalFormatting>
  <conditionalFormatting sqref="F1021:F1022">
    <cfRule type="expression" priority="1422" dxfId="6434">
      <formula>$B1021="Subetapa"</formula>
    </cfRule>
    <cfRule type="expression" priority="1423" dxfId="6433">
      <formula>$B1021="Serviço"</formula>
    </cfRule>
  </conditionalFormatting>
  <conditionalFormatting sqref="C1021:D1021">
    <cfRule type="expression" priority="1420" dxfId="6433">
      <formula>$B1021="Serviço"</formula>
    </cfRule>
    <cfRule type="expression" priority="1421" dxfId="6434">
      <formula>$B1021="Subetapa"</formula>
    </cfRule>
  </conditionalFormatting>
  <conditionalFormatting sqref="C1022:D1022">
    <cfRule type="expression" priority="1418" dxfId="6424">
      <formula>$B1022="Subetapa"</formula>
    </cfRule>
  </conditionalFormatting>
  <conditionalFormatting sqref="K1042:K1043">
    <cfRule type="expression" priority="1412" dxfId="6434">
      <formula>$B1042="Subetapa"</formula>
    </cfRule>
    <cfRule type="expression" priority="1413" dxfId="6433">
      <formula>$B1042="Serviço"</formula>
    </cfRule>
  </conditionalFormatting>
  <conditionalFormatting sqref="F1034:F1035">
    <cfRule type="expression" priority="1408" dxfId="6434">
      <formula>$B1034="Subetapa"</formula>
    </cfRule>
    <cfRule type="expression" priority="1409" dxfId="6433">
      <formula>$B1034="Serviço"</formula>
    </cfRule>
  </conditionalFormatting>
  <conditionalFormatting sqref="C1035:D1035">
    <cfRule type="expression" priority="1406" dxfId="6424">
      <formula>$B1035="Subetapa"</formula>
    </cfRule>
  </conditionalFormatting>
  <conditionalFormatting sqref="C1034:D1034">
    <cfRule type="expression" priority="1404" dxfId="6433">
      <formula>$B1034="Serviço"</formula>
    </cfRule>
    <cfRule type="expression" priority="1405" dxfId="6434">
      <formula>$B1034="Subetapa"</formula>
    </cfRule>
  </conditionalFormatting>
  <conditionalFormatting sqref="G1020:H1020">
    <cfRule type="expression" priority="1402" dxfId="6424">
      <formula>$B1020="Subetapa"</formula>
    </cfRule>
  </conditionalFormatting>
  <conditionalFormatting sqref="G1033:H1033">
    <cfRule type="expression" priority="1400" dxfId="6424">
      <formula>$B1033="Subetapa"</formula>
    </cfRule>
  </conditionalFormatting>
  <conditionalFormatting sqref="K1055:K1056">
    <cfRule type="expression" priority="1394" dxfId="6434">
      <formula>$B1055="Subetapa"</formula>
    </cfRule>
    <cfRule type="expression" priority="1395" dxfId="6433">
      <formula>$B1055="Serviço"</formula>
    </cfRule>
  </conditionalFormatting>
  <conditionalFormatting sqref="F1047:F1048">
    <cfRule type="expression" priority="1390" dxfId="6434">
      <formula>$B1047="Subetapa"</formula>
    </cfRule>
    <cfRule type="expression" priority="1391" dxfId="6433">
      <formula>$B1047="Serviço"</formula>
    </cfRule>
  </conditionalFormatting>
  <conditionalFormatting sqref="C1048:D1048">
    <cfRule type="expression" priority="1388" dxfId="6424">
      <formula>$B1048="Subetapa"</formula>
    </cfRule>
  </conditionalFormatting>
  <conditionalFormatting sqref="C1047:D1047">
    <cfRule type="expression" priority="1386" dxfId="6433">
      <formula>$B1047="Serviço"</formula>
    </cfRule>
    <cfRule type="expression" priority="1387" dxfId="6434">
      <formula>$B1047="Subetapa"</formula>
    </cfRule>
  </conditionalFormatting>
  <conditionalFormatting sqref="E1074">
    <cfRule type="expression" priority="1382" dxfId="6424">
      <formula>$B1074="Subetapa"</formula>
    </cfRule>
  </conditionalFormatting>
  <conditionalFormatting sqref="A1074:B1074">
    <cfRule type="expression" priority="1380" dxfId="6433">
      <formula>$B1074="Serviço"</formula>
    </cfRule>
    <cfRule type="expression" priority="1381" dxfId="6434">
      <formula>$B1074="Subetapa"</formula>
    </cfRule>
  </conditionalFormatting>
  <conditionalFormatting sqref="B1074">
    <cfRule type="expression" priority="1379" dxfId="6433">
      <formula>$B1074="Serviço"</formula>
    </cfRule>
  </conditionalFormatting>
  <conditionalFormatting sqref="A1074">
    <cfRule type="expression" priority="1378" dxfId="6433">
      <formula>$B1074="Serviço"</formula>
    </cfRule>
  </conditionalFormatting>
  <conditionalFormatting sqref="F1074">
    <cfRule type="expression" priority="1372" dxfId="6434">
      <formula>$B1074="Subetapa"</formula>
    </cfRule>
    <cfRule type="expression" priority="1373" dxfId="6433">
      <formula>$B1074="Serviço"</formula>
    </cfRule>
  </conditionalFormatting>
  <conditionalFormatting sqref="C1074:D1074">
    <cfRule type="expression" priority="1370" dxfId="6424">
      <formula>$B1074="Subetapa"</formula>
    </cfRule>
  </conditionalFormatting>
  <conditionalFormatting sqref="G1046:H1046">
    <cfRule type="expression" priority="1368" dxfId="6424">
      <formula>$B1046="Subetapa"</formula>
    </cfRule>
  </conditionalFormatting>
  <conditionalFormatting sqref="G1072:H1072">
    <cfRule type="expression" priority="1366" dxfId="6424">
      <formula>$B1072="Subetapa"</formula>
    </cfRule>
  </conditionalFormatting>
  <conditionalFormatting sqref="K1094:K1095">
    <cfRule type="expression" priority="1360" dxfId="6434">
      <formula>$B1094="Subetapa"</formula>
    </cfRule>
    <cfRule type="expression" priority="1361" dxfId="6433">
      <formula>$B1094="Serviço"</formula>
    </cfRule>
  </conditionalFormatting>
  <conditionalFormatting sqref="F1086">
    <cfRule type="expression" priority="1356" dxfId="6434">
      <formula>$B1086="Subetapa"</formula>
    </cfRule>
    <cfRule type="expression" priority="1357" dxfId="6433">
      <formula>$B1086="Serviço"</formula>
    </cfRule>
  </conditionalFormatting>
  <conditionalFormatting sqref="E1087">
    <cfRule type="expression" priority="1352" dxfId="6424">
      <formula>$B1087="Subetapa"</formula>
    </cfRule>
  </conditionalFormatting>
  <conditionalFormatting sqref="A1087:B1087">
    <cfRule type="expression" priority="1350" dxfId="6433">
      <formula>$B1087="Serviço"</formula>
    </cfRule>
    <cfRule type="expression" priority="1351" dxfId="6434">
      <formula>$B1087="Subetapa"</formula>
    </cfRule>
  </conditionalFormatting>
  <conditionalFormatting sqref="B1087">
    <cfRule type="expression" priority="1349" dxfId="6433">
      <formula>$B1087="Serviço"</formula>
    </cfRule>
  </conditionalFormatting>
  <conditionalFormatting sqref="A1087">
    <cfRule type="expression" priority="1348" dxfId="6433">
      <formula>$B1087="Serviço"</formula>
    </cfRule>
  </conditionalFormatting>
  <conditionalFormatting sqref="F1087">
    <cfRule type="expression" priority="1342" dxfId="6434">
      <formula>$B1087="Subetapa"</formula>
    </cfRule>
    <cfRule type="expression" priority="1343" dxfId="6433">
      <formula>$B1087="Serviço"</formula>
    </cfRule>
  </conditionalFormatting>
  <conditionalFormatting sqref="C1087:D1087">
    <cfRule type="expression" priority="1340" dxfId="6424">
      <formula>$B1087="Subetapa"</formula>
    </cfRule>
  </conditionalFormatting>
  <conditionalFormatting sqref="G1085:H1085">
    <cfRule type="expression" priority="1338" dxfId="6424">
      <formula>$B1085="Subetapa"</formula>
    </cfRule>
  </conditionalFormatting>
  <conditionalFormatting sqref="C1086:D1086">
    <cfRule type="expression" priority="1336" dxfId="6433">
      <formula>$B1086="Serviço"</formula>
    </cfRule>
    <cfRule type="expression" priority="1337" dxfId="6434">
      <formula>$B1086="Subetapa"</formula>
    </cfRule>
  </conditionalFormatting>
  <conditionalFormatting sqref="K1108:K1109">
    <cfRule type="expression" priority="1317" dxfId="6434">
      <formula>$B1108="Subetapa"</formula>
    </cfRule>
    <cfRule type="expression" priority="1318" dxfId="6433">
      <formula>$B1108="Serviço"</formula>
    </cfRule>
  </conditionalFormatting>
  <conditionalFormatting sqref="F1099">
    <cfRule type="expression" priority="1313" dxfId="6434">
      <formula>$B1099="Subetapa"</formula>
    </cfRule>
    <cfRule type="expression" priority="1314" dxfId="6433">
      <formula>$B1099="Serviço"</formula>
    </cfRule>
  </conditionalFormatting>
  <conditionalFormatting sqref="E1101">
    <cfRule type="expression" priority="1309" dxfId="6424">
      <formula>$B1101="Subetapa"</formula>
    </cfRule>
  </conditionalFormatting>
  <conditionalFormatting sqref="A1101:B1101">
    <cfRule type="expression" priority="1307" dxfId="6433">
      <formula>$B1101="Serviço"</formula>
    </cfRule>
    <cfRule type="expression" priority="1308" dxfId="6434">
      <formula>$B1101="Subetapa"</formula>
    </cfRule>
  </conditionalFormatting>
  <conditionalFormatting sqref="B1101">
    <cfRule type="expression" priority="1306" dxfId="6433">
      <formula>$B1101="Serviço"</formula>
    </cfRule>
  </conditionalFormatting>
  <conditionalFormatting sqref="A1101">
    <cfRule type="expression" priority="1305" dxfId="6433">
      <formula>$B1101="Serviço"</formula>
    </cfRule>
  </conditionalFormatting>
  <conditionalFormatting sqref="F1101">
    <cfRule type="expression" priority="1299" dxfId="6434">
      <formula>$B1101="Subetapa"</formula>
    </cfRule>
    <cfRule type="expression" priority="1300" dxfId="6433">
      <formula>$B1101="Serviço"</formula>
    </cfRule>
  </conditionalFormatting>
  <conditionalFormatting sqref="C1101:D1101">
    <cfRule type="expression" priority="1297" dxfId="6424">
      <formula>$B1101="Subetapa"</formula>
    </cfRule>
  </conditionalFormatting>
  <conditionalFormatting sqref="G1098:H1098">
    <cfRule type="expression" priority="1295" dxfId="6424">
      <formula>$B1098="Subetapa"</formula>
    </cfRule>
  </conditionalFormatting>
  <conditionalFormatting sqref="C1099:D1099">
    <cfRule type="expression" priority="1293" dxfId="6433">
      <formula>$B1099="Serviço"</formula>
    </cfRule>
    <cfRule type="expression" priority="1294" dxfId="6434">
      <formula>$B1099="Subetapa"</formula>
    </cfRule>
  </conditionalFormatting>
  <conditionalFormatting sqref="F1100">
    <cfRule type="expression" priority="1286" dxfId="6434">
      <formula>$B1100="Subetapa"</formula>
    </cfRule>
    <cfRule type="expression" priority="1287" dxfId="6433">
      <formula>$B1100="Serviço"</formula>
    </cfRule>
  </conditionalFormatting>
  <conditionalFormatting sqref="K1068:K1069">
    <cfRule type="expression" priority="1278" dxfId="6434">
      <formula>$B1068="Subetapa"</formula>
    </cfRule>
    <cfRule type="expression" priority="1279" dxfId="6433">
      <formula>$B1068="Serviço"</formula>
    </cfRule>
  </conditionalFormatting>
  <conditionalFormatting sqref="F1060:F1061">
    <cfRule type="expression" priority="1274" dxfId="6434">
      <formula>$B1060="Subetapa"</formula>
    </cfRule>
    <cfRule type="expression" priority="1275" dxfId="6433">
      <formula>$B1060="Serviço"</formula>
    </cfRule>
  </conditionalFormatting>
  <conditionalFormatting sqref="C1061:D1061">
    <cfRule type="expression" priority="1272" dxfId="6424">
      <formula>$B1061="Subetapa"</formula>
    </cfRule>
  </conditionalFormatting>
  <conditionalFormatting sqref="G1059:H1059">
    <cfRule type="expression" priority="1270" dxfId="6424">
      <formula>$B1059="Subetapa"</formula>
    </cfRule>
  </conditionalFormatting>
  <conditionalFormatting sqref="C1060:D1060">
    <cfRule type="expression" priority="1265" dxfId="6433">
      <formula>$B1060="Serviço"</formula>
    </cfRule>
    <cfRule type="expression" priority="1266" dxfId="6434">
      <formula>$B1060="Subetapa"</formula>
    </cfRule>
  </conditionalFormatting>
  <conditionalFormatting sqref="A1112:B1112 D1114:D1121 F1114:F1121">
    <cfRule type="expression" priority="1263" dxfId="6433">
      <formula>$B1112="Serviço"</formula>
    </cfRule>
    <cfRule type="expression" priority="1264" dxfId="6434">
      <formula>$B1112="Subetapa"</formula>
    </cfRule>
  </conditionalFormatting>
  <conditionalFormatting sqref="K1120:K1121">
    <cfRule type="expression" priority="1257" dxfId="6434">
      <formula>$B1120="Subetapa"</formula>
    </cfRule>
    <cfRule type="expression" priority="1258" dxfId="6433">
      <formula>$B1120="Serviço"</formula>
    </cfRule>
  </conditionalFormatting>
  <conditionalFormatting sqref="E1113">
    <cfRule type="expression" priority="1253" dxfId="6424">
      <formula>$B1113="Subetapa"</formula>
    </cfRule>
  </conditionalFormatting>
  <conditionalFormatting sqref="A1113:B1113">
    <cfRule type="expression" priority="1251" dxfId="6433">
      <formula>$B1113="Serviço"</formula>
    </cfRule>
    <cfRule type="expression" priority="1252" dxfId="6434">
      <formula>$B1113="Subetapa"</formula>
    </cfRule>
  </conditionalFormatting>
  <conditionalFormatting sqref="B1113">
    <cfRule type="expression" priority="1250" dxfId="6433">
      <formula>$B1113="Serviço"</formula>
    </cfRule>
  </conditionalFormatting>
  <conditionalFormatting sqref="A1113">
    <cfRule type="expression" priority="1249" dxfId="6433">
      <formula>$B1113="Serviço"</formula>
    </cfRule>
  </conditionalFormatting>
  <conditionalFormatting sqref="F1113">
    <cfRule type="expression" priority="1243" dxfId="6434">
      <formula>$B1113="Subetapa"</formula>
    </cfRule>
    <cfRule type="expression" priority="1244" dxfId="6433">
      <formula>$B1113="Serviço"</formula>
    </cfRule>
  </conditionalFormatting>
  <conditionalFormatting sqref="C1113:D1113">
    <cfRule type="expression" priority="1241" dxfId="6424">
      <formula>$B1113="Subetapa"</formula>
    </cfRule>
  </conditionalFormatting>
  <conditionalFormatting sqref="G1112:H1112">
    <cfRule type="expression" priority="1239" dxfId="6424">
      <formula>$B1112="Subetapa"</formula>
    </cfRule>
  </conditionalFormatting>
  <conditionalFormatting sqref="I1139:K1139 I1141:K1148 I1151:K1153 I1166:K1167">
    <cfRule type="expression" priority="1234" dxfId="6433">
      <formula>$B1139="Serviço"</formula>
    </cfRule>
    <cfRule type="expression" priority="1235" dxfId="6434">
      <formula>$B1139="Subetapa"</formula>
    </cfRule>
  </conditionalFormatting>
  <conditionalFormatting sqref="E1141:E1152">
    <cfRule type="expression" priority="1230" dxfId="6424">
      <formula>$B1141="Subetapa"</formula>
    </cfRule>
  </conditionalFormatting>
  <conditionalFormatting sqref="A1139:B1139 A1141:B1153 D1143:D1150 D1158:D1165 F1143:F1150 F1158:F1165">
    <cfRule type="expression" priority="1226" dxfId="6433">
      <formula>$B1139="Serviço"</formula>
    </cfRule>
    <cfRule type="expression" priority="1227" dxfId="6434">
      <formula>$B1139="Subetapa"</formula>
    </cfRule>
  </conditionalFormatting>
  <conditionalFormatting sqref="B1141:B1148 B1151:B1152 B1166:B1167">
    <cfRule type="expression" priority="1225" dxfId="6433">
      <formula>$B1141="Serviço"</formula>
    </cfRule>
  </conditionalFormatting>
  <conditionalFormatting sqref="C1139:F1139 C1151:C1153 C1166:D1167 D1151:D1152 D1153:F1153 F1151:F1152 F1166:F1167">
    <cfRule type="expression" priority="1223" dxfId="6433">
      <formula>$B1139="Serviço"</formula>
    </cfRule>
    <cfRule type="expression" priority="1224" dxfId="6434">
      <formula>$B1139="Subetapa"</formula>
    </cfRule>
  </conditionalFormatting>
  <conditionalFormatting sqref="A1141:A1148 A1151:A1152 A1166:A1167">
    <cfRule type="expression" priority="1222" dxfId="6433">
      <formula>$B1141="Serviço"</formula>
    </cfRule>
  </conditionalFormatting>
  <conditionalFormatting sqref="K1149:K1150">
    <cfRule type="expression" priority="1214" dxfId="6434">
      <formula>$B1149="Subetapa"</formula>
    </cfRule>
    <cfRule type="expression" priority="1215" dxfId="6433">
      <formula>$B1149="Serviço"</formula>
    </cfRule>
  </conditionalFormatting>
  <conditionalFormatting sqref="F1141:F1142">
    <cfRule type="expression" priority="1212" dxfId="6434">
      <formula>$B1141="Subetapa"</formula>
    </cfRule>
    <cfRule type="expression" priority="1213" dxfId="6433">
      <formula>$B1141="Serviço"</formula>
    </cfRule>
  </conditionalFormatting>
  <conditionalFormatting sqref="C1142:D1142">
    <cfRule type="expression" priority="1210" dxfId="6424">
      <formula>$B1142="Subetapa"</formula>
    </cfRule>
  </conditionalFormatting>
  <conditionalFormatting sqref="G1139:H1139">
    <cfRule type="expression" priority="1208" dxfId="6424">
      <formula>$B1139="Subetapa"</formula>
    </cfRule>
  </conditionalFormatting>
  <conditionalFormatting sqref="C1141:D1141">
    <cfRule type="expression" priority="1203" dxfId="6433">
      <formula>$B1141="Serviço"</formula>
    </cfRule>
    <cfRule type="expression" priority="1204" dxfId="6434">
      <formula>$B1141="Subetapa"</formula>
    </cfRule>
  </conditionalFormatting>
  <conditionalFormatting sqref="I1140:K1140">
    <cfRule type="expression" priority="1201" dxfId="6433">
      <formula>$B1140="Serviço"</formula>
    </cfRule>
    <cfRule type="expression" priority="1202" dxfId="6434">
      <formula>$B1140="Subetapa"</formula>
    </cfRule>
  </conditionalFormatting>
  <conditionalFormatting sqref="E1140">
    <cfRule type="expression" priority="1197" dxfId="6424">
      <formula>$B1140="Subetapa"</formula>
    </cfRule>
  </conditionalFormatting>
  <conditionalFormatting sqref="A1140:B1140">
    <cfRule type="expression" priority="1195" dxfId="6433">
      <formula>$B1140="Serviço"</formula>
    </cfRule>
    <cfRule type="expression" priority="1196" dxfId="6434">
      <formula>$B1140="Subetapa"</formula>
    </cfRule>
  </conditionalFormatting>
  <conditionalFormatting sqref="B1140">
    <cfRule type="expression" priority="1194" dxfId="6433">
      <formula>$B1140="Serviço"</formula>
    </cfRule>
  </conditionalFormatting>
  <conditionalFormatting sqref="A1140">
    <cfRule type="expression" priority="1193" dxfId="6433">
      <formula>$B1140="Serviço"</formula>
    </cfRule>
  </conditionalFormatting>
  <conditionalFormatting sqref="F1140">
    <cfRule type="expression" priority="1187" dxfId="6434">
      <formula>$B1140="Subetapa"</formula>
    </cfRule>
    <cfRule type="expression" priority="1188" dxfId="6433">
      <formula>$B1140="Serviço"</formula>
    </cfRule>
  </conditionalFormatting>
  <conditionalFormatting sqref="C1140:D1140">
    <cfRule type="expression" priority="1185" dxfId="6424">
      <formula>$B1140="Subetapa"</formula>
    </cfRule>
  </conditionalFormatting>
  <conditionalFormatting sqref="K1164:K1165">
    <cfRule type="expression" priority="1175" dxfId="6434">
      <formula>$B1164="Subetapa"</formula>
    </cfRule>
    <cfRule type="expression" priority="1176" dxfId="6433">
      <formula>$B1164="Serviço"</formula>
    </cfRule>
  </conditionalFormatting>
  <conditionalFormatting sqref="F1155 F1157">
    <cfRule type="expression" priority="1173" dxfId="6434">
      <formula>$B1155="Subetapa"</formula>
    </cfRule>
    <cfRule type="expression" priority="1174" dxfId="6433">
      <formula>$B1155="Serviço"</formula>
    </cfRule>
  </conditionalFormatting>
  <conditionalFormatting sqref="C1157:D1157">
    <cfRule type="expression" priority="1171" dxfId="6424">
      <formula>$B1157="Subetapa"</formula>
    </cfRule>
  </conditionalFormatting>
  <conditionalFormatting sqref="G1153:H1153">
    <cfRule type="expression" priority="1169" dxfId="6424">
      <formula>$B1153="Subetapa"</formula>
    </cfRule>
  </conditionalFormatting>
  <conditionalFormatting sqref="I1154:K1154">
    <cfRule type="expression" priority="1164" dxfId="6433">
      <formula>$B1154="Serviço"</formula>
    </cfRule>
    <cfRule type="expression" priority="1165" dxfId="6434">
      <formula>$B1154="Subetapa"</formula>
    </cfRule>
  </conditionalFormatting>
  <conditionalFormatting sqref="E1154">
    <cfRule type="expression" priority="1160" dxfId="6424">
      <formula>$B1154="Subetapa"</formula>
    </cfRule>
  </conditionalFormatting>
  <conditionalFormatting sqref="A1154:B1154">
    <cfRule type="expression" priority="1158" dxfId="6433">
      <formula>$B1154="Serviço"</formula>
    </cfRule>
    <cfRule type="expression" priority="1159" dxfId="6434">
      <formula>$B1154="Subetapa"</formula>
    </cfRule>
  </conditionalFormatting>
  <conditionalFormatting sqref="B1154">
    <cfRule type="expression" priority="1157" dxfId="6433">
      <formula>$B1154="Serviço"</formula>
    </cfRule>
  </conditionalFormatting>
  <conditionalFormatting sqref="A1154">
    <cfRule type="expression" priority="1156" dxfId="6433">
      <formula>$B1154="Serviço"</formula>
    </cfRule>
  </conditionalFormatting>
  <conditionalFormatting sqref="F1154">
    <cfRule type="expression" priority="1152" dxfId="6434">
      <formula>$B1154="Subetapa"</formula>
    </cfRule>
    <cfRule type="expression" priority="1153" dxfId="6433">
      <formula>$B1154="Serviço"</formula>
    </cfRule>
  </conditionalFormatting>
  <conditionalFormatting sqref="C1154:D1154">
    <cfRule type="expression" priority="1150" dxfId="6424">
      <formula>$B1154="Subetapa"</formula>
    </cfRule>
  </conditionalFormatting>
  <conditionalFormatting sqref="C1156:D1156">
    <cfRule type="expression" priority="1142" dxfId="6433">
      <formula>$B1156="Serviço"</formula>
    </cfRule>
    <cfRule type="expression" priority="1143" dxfId="6434">
      <formula>$B1156="Subetapa"</formula>
    </cfRule>
  </conditionalFormatting>
  <conditionalFormatting sqref="C1155:D1155">
    <cfRule type="expression" priority="1140" dxfId="6433">
      <formula>$B1155="Serviço"</formula>
    </cfRule>
    <cfRule type="expression" priority="1141" dxfId="6434">
      <formula>$B1155="Subetapa"</formula>
    </cfRule>
  </conditionalFormatting>
  <conditionalFormatting sqref="A1124:B1124 D1129:D1136 F1129:F1136">
    <cfRule type="expression" priority="1138" dxfId="6433">
      <formula>$B1124="Serviço"</formula>
    </cfRule>
    <cfRule type="expression" priority="1139" dxfId="6434">
      <formula>$B1124="Subetapa"</formula>
    </cfRule>
  </conditionalFormatting>
  <conditionalFormatting sqref="K1135:K1136">
    <cfRule type="expression" priority="1132" dxfId="6434">
      <formula>$B1135="Subetapa"</formula>
    </cfRule>
    <cfRule type="expression" priority="1133" dxfId="6433">
      <formula>$B1135="Serviço"</formula>
    </cfRule>
  </conditionalFormatting>
  <conditionalFormatting sqref="E1125">
    <cfRule type="expression" priority="1128" dxfId="6424">
      <formula>$B1125="Subetapa"</formula>
    </cfRule>
  </conditionalFormatting>
  <conditionalFormatting sqref="A1125:B1125">
    <cfRule type="expression" priority="1126" dxfId="6433">
      <formula>$B1125="Serviço"</formula>
    </cfRule>
    <cfRule type="expression" priority="1127" dxfId="6434">
      <formula>$B1125="Subetapa"</formula>
    </cfRule>
  </conditionalFormatting>
  <conditionalFormatting sqref="B1125">
    <cfRule type="expression" priority="1125" dxfId="6433">
      <formula>$B1125="Serviço"</formula>
    </cfRule>
  </conditionalFormatting>
  <conditionalFormatting sqref="A1125">
    <cfRule type="expression" priority="1124" dxfId="6433">
      <formula>$B1125="Serviço"</formula>
    </cfRule>
  </conditionalFormatting>
  <conditionalFormatting sqref="F1125">
    <cfRule type="expression" priority="1120" dxfId="6434">
      <formula>$B1125="Subetapa"</formula>
    </cfRule>
    <cfRule type="expression" priority="1121" dxfId="6433">
      <formula>$B1125="Serviço"</formula>
    </cfRule>
  </conditionalFormatting>
  <conditionalFormatting sqref="C1125:D1125">
    <cfRule type="expression" priority="1118" dxfId="6424">
      <formula>$B1125="Subetapa"</formula>
    </cfRule>
  </conditionalFormatting>
  <conditionalFormatting sqref="G1124:H1124">
    <cfRule type="expression" priority="1116" dxfId="6424">
      <formula>$B1124="Subetapa"</formula>
    </cfRule>
  </conditionalFormatting>
  <conditionalFormatting sqref="F1126 F1128">
    <cfRule type="expression" priority="1111" dxfId="6434">
      <formula>$B1126="Subetapa"</formula>
    </cfRule>
    <cfRule type="expression" priority="1112" dxfId="6433">
      <formula>$B1126="Serviço"</formula>
    </cfRule>
  </conditionalFormatting>
  <conditionalFormatting sqref="C1128:D1128">
    <cfRule type="expression" priority="1109" dxfId="6424">
      <formula>$B1128="Subetapa"</formula>
    </cfRule>
  </conditionalFormatting>
  <conditionalFormatting sqref="C1127:D1127">
    <cfRule type="expression" priority="1101" dxfId="6433">
      <formula>$B1127="Serviço"</formula>
    </cfRule>
    <cfRule type="expression" priority="1102" dxfId="6434">
      <formula>$B1127="Subetapa"</formula>
    </cfRule>
  </conditionalFormatting>
  <conditionalFormatting sqref="C1126:D1126">
    <cfRule type="expression" priority="1099" dxfId="6433">
      <formula>$B1126="Serviço"</formula>
    </cfRule>
    <cfRule type="expression" priority="1100" dxfId="6434">
      <formula>$B1126="Subetapa"</formula>
    </cfRule>
  </conditionalFormatting>
  <conditionalFormatting sqref="C2828:C2831">
    <cfRule type="expression" priority="911" dxfId="6433">
      <formula>$B2828="Serviço"</formula>
    </cfRule>
    <cfRule type="expression" priority="912" dxfId="6434">
      <formula>$B2828="Subetapa"</formula>
    </cfRule>
  </conditionalFormatting>
  <conditionalFormatting sqref="C1177:C1185">
    <cfRule type="expression" priority="906" dxfId="6434">
      <formula>$B1177="Subetapa"</formula>
    </cfRule>
  </conditionalFormatting>
  <conditionalFormatting sqref="C1312:C1321">
    <cfRule type="expression" priority="905" dxfId="6434">
      <formula>$B1312="Subetapa"</formula>
    </cfRule>
  </conditionalFormatting>
  <conditionalFormatting sqref="C1881:C1891">
    <cfRule type="expression" priority="1030" dxfId="6424">
      <formula>$B1881="Subetapa"</formula>
    </cfRule>
  </conditionalFormatting>
  <conditionalFormatting sqref="C1908:C1916">
    <cfRule type="expression" priority="1025" dxfId="6424">
      <formula>$B1908="Subetapa"</formula>
    </cfRule>
  </conditionalFormatting>
  <conditionalFormatting sqref="C1920:C1928">
    <cfRule type="expression" priority="1024" dxfId="6424">
      <formula>$B1920="Subetapa"</formula>
    </cfRule>
  </conditionalFormatting>
  <conditionalFormatting sqref="C2008:C2016">
    <cfRule type="expression" priority="1026" dxfId="6424">
      <formula>$B2008="Subetapa"</formula>
    </cfRule>
  </conditionalFormatting>
  <conditionalFormatting sqref="C2030:C2032 C2035:C2040">
    <cfRule type="expression" priority="1010" dxfId="6424">
      <formula>$B2030="Subetapa"</formula>
    </cfRule>
  </conditionalFormatting>
  <conditionalFormatting sqref="C2042:C2044 C2047:C2052">
    <cfRule type="expression" priority="1007" dxfId="6424">
      <formula>$B2042="Subetapa"</formula>
    </cfRule>
  </conditionalFormatting>
  <conditionalFormatting sqref="C2054:C2055">
    <cfRule type="expression" priority="1002" dxfId="6424">
      <formula>$B2054="Subetapa"</formula>
    </cfRule>
  </conditionalFormatting>
  <conditionalFormatting sqref="C2056:C2057 C2060:C2065">
    <cfRule type="expression" priority="1004" dxfId="6424">
      <formula>$B2056="Subetapa"</formula>
    </cfRule>
  </conditionalFormatting>
  <conditionalFormatting sqref="C2815:C2816">
    <cfRule type="expression" priority="889" dxfId="6434">
      <formula>$B2815="Subetapa"</formula>
    </cfRule>
  </conditionalFormatting>
  <conditionalFormatting sqref="C3858:C3859">
    <cfRule type="expression" priority="944" dxfId="6424">
      <formula>$B3858="Subetapa"</formula>
    </cfRule>
  </conditionalFormatting>
  <conditionalFormatting sqref="C3929:C3932">
    <cfRule type="expression" priority="924" dxfId="6424">
      <formula>$B3929="Subetapa"</formula>
    </cfRule>
  </conditionalFormatting>
  <conditionalFormatting sqref="C3939:C3940">
    <cfRule type="expression" priority="1043" dxfId="6424">
      <formula>$B3939="Subetapa"</formula>
    </cfRule>
  </conditionalFormatting>
  <conditionalFormatting sqref="C4726:C4749">
    <cfRule type="expression" priority="1038" dxfId="6424">
      <formula>$B4726="Subetapa"</formula>
    </cfRule>
  </conditionalFormatting>
  <conditionalFormatting sqref="C303:C304">
    <cfRule type="expression" priority="914" dxfId="6424">
      <formula>$B303="Subetapa"</formula>
    </cfRule>
  </conditionalFormatting>
  <conditionalFormatting sqref="C1868:C1869 C1871:C1879">
    <cfRule type="expression" priority="1029" dxfId="6424">
      <formula>$B1868="Subetapa"</formula>
    </cfRule>
  </conditionalFormatting>
  <conditionalFormatting sqref="C1893:C1894 C1896:C1904">
    <cfRule type="expression" priority="1027" dxfId="6424">
      <formula>$B1893="Subetapa"</formula>
    </cfRule>
  </conditionalFormatting>
  <conditionalFormatting sqref="C1930:C1931 C1933:C1941">
    <cfRule type="expression" priority="1022" dxfId="6424">
      <formula>$B1930="Subetapa"</formula>
    </cfRule>
  </conditionalFormatting>
  <conditionalFormatting sqref="C1943:C1944 C1946:C1954">
    <cfRule type="expression" priority="1020" dxfId="6424">
      <formula>$B1943="Subetapa"</formula>
    </cfRule>
  </conditionalFormatting>
  <conditionalFormatting sqref="C1956:C1957 C1959:C1967">
    <cfRule type="expression" priority="1018" dxfId="6424">
      <formula>$B1956="Subetapa"</formula>
    </cfRule>
  </conditionalFormatting>
  <conditionalFormatting sqref="C1969:C1970 C1972:C1980">
    <cfRule type="expression" priority="1016" dxfId="6424">
      <formula>$B1969="Subetapa"</formula>
    </cfRule>
  </conditionalFormatting>
  <conditionalFormatting sqref="C957:C962">
    <cfRule type="expression" priority="871" dxfId="6424">
      <formula>$B957="Subetapa"</formula>
    </cfRule>
  </conditionalFormatting>
  <conditionalFormatting sqref="C284:C286">
    <cfRule type="expression" priority="1045" dxfId="6424">
      <formula>$B284="Subetapa"</formula>
    </cfRule>
  </conditionalFormatting>
  <conditionalFormatting sqref="C321:C322">
    <cfRule type="expression" priority="1087" dxfId="6424">
      <formula>$B321="Subetapa"</formula>
    </cfRule>
  </conditionalFormatting>
  <conditionalFormatting sqref="C662:C664">
    <cfRule type="expression" priority="913" dxfId="6433">
      <formula>$B662="Serviço"</formula>
    </cfRule>
  </conditionalFormatting>
  <conditionalFormatting sqref="C867:C868">
    <cfRule type="expression" priority="1051" dxfId="6424">
      <formula>$B867="Subetapa"</formula>
    </cfRule>
  </conditionalFormatting>
  <conditionalFormatting sqref="C964:C966">
    <cfRule type="expression" priority="1039" dxfId="6424">
      <formula>$B964="Subetapa"</formula>
    </cfRule>
  </conditionalFormatting>
  <conditionalFormatting sqref="C967:C969">
    <cfRule type="expression" priority="1040" dxfId="6424">
      <formula>$B967="Subetapa"</formula>
    </cfRule>
  </conditionalFormatting>
  <conditionalFormatting sqref="C971:C972">
    <cfRule type="expression" priority="1053" dxfId="6424">
      <formula>$B971="Subetapa"</formula>
    </cfRule>
  </conditionalFormatting>
  <conditionalFormatting sqref="C974:C975">
    <cfRule type="expression" priority="1054" dxfId="6424">
      <formula>$B974="Subetapa"</formula>
    </cfRule>
  </conditionalFormatting>
  <conditionalFormatting sqref="C1345:C1347">
    <cfRule type="expression" priority="895" dxfId="6434">
      <formula>$B1345="Subetapa"</formula>
    </cfRule>
  </conditionalFormatting>
  <conditionalFormatting sqref="C1844:C1854">
    <cfRule type="expression" priority="1032" dxfId="6424">
      <formula>$B1844="Subetapa"</formula>
    </cfRule>
  </conditionalFormatting>
  <conditionalFormatting sqref="C1856:C1866">
    <cfRule type="expression" priority="1031" dxfId="6424">
      <formula>$B1856="Subetapa"</formula>
    </cfRule>
  </conditionalFormatting>
  <conditionalFormatting sqref="C1982:C1992">
    <cfRule type="expression" priority="1014" dxfId="6424">
      <formula>$B1982="Subetapa"</formula>
    </cfRule>
  </conditionalFormatting>
  <conditionalFormatting sqref="C1994:C2004">
    <cfRule type="expression" priority="1012" dxfId="6424">
      <formula>$B1994="Subetapa"</formula>
    </cfRule>
  </conditionalFormatting>
  <conditionalFormatting sqref="C2018:C2028">
    <cfRule type="expression" priority="940" dxfId="6424">
      <formula>$B2018="Subetapa"</formula>
    </cfRule>
  </conditionalFormatting>
  <conditionalFormatting sqref="C2033:C2034">
    <cfRule type="expression" priority="1008" dxfId="6424">
      <formula>$B2033="Subetapa"</formula>
    </cfRule>
  </conditionalFormatting>
  <conditionalFormatting sqref="C2045:C2046">
    <cfRule type="expression" priority="1005" dxfId="6424">
      <formula>$B2045="Subetapa"</formula>
    </cfRule>
  </conditionalFormatting>
  <conditionalFormatting sqref="C2058:C2059">
    <cfRule type="expression" priority="1003" dxfId="6424">
      <formula>$B2058="Subetapa"</formula>
    </cfRule>
  </conditionalFormatting>
  <conditionalFormatting sqref="C2067:C2068">
    <cfRule type="expression" priority="998" dxfId="6424">
      <formula>$B2067="Subetapa"</formula>
    </cfRule>
  </conditionalFormatting>
  <conditionalFormatting sqref="C2069:C2070 C2073:C2078">
    <cfRule type="expression" priority="1000" dxfId="6424">
      <formula>$B2069="Subetapa"</formula>
    </cfRule>
  </conditionalFormatting>
  <conditionalFormatting sqref="C2071:C2072">
    <cfRule type="expression" priority="999" dxfId="6424">
      <formula>$B2071="Subetapa"</formula>
    </cfRule>
  </conditionalFormatting>
  <conditionalFormatting sqref="C2080:C2081">
    <cfRule type="expression" priority="994" dxfId="6424">
      <formula>$B2080="Subetapa"</formula>
    </cfRule>
  </conditionalFormatting>
  <conditionalFormatting sqref="C2082:C2083 C2086:C2091">
    <cfRule type="expression" priority="996" dxfId="6424">
      <formula>$B2082="Subetapa"</formula>
    </cfRule>
  </conditionalFormatting>
  <conditionalFormatting sqref="C2084:C2085">
    <cfRule type="expression" priority="995" dxfId="6424">
      <formula>$B2084="Subetapa"</formula>
    </cfRule>
  </conditionalFormatting>
  <conditionalFormatting sqref="C2093:C2094">
    <cfRule type="expression" priority="989" dxfId="6424">
      <formula>$B2093="Subetapa"</formula>
    </cfRule>
  </conditionalFormatting>
  <conditionalFormatting sqref="C2095:C2096 C2099:C2104">
    <cfRule type="expression" priority="992" dxfId="6424">
      <formula>$B2095="Subetapa"</formula>
    </cfRule>
  </conditionalFormatting>
  <conditionalFormatting sqref="C2097:C2098">
    <cfRule type="expression" priority="990" dxfId="6424">
      <formula>$B2097="Subetapa"</formula>
    </cfRule>
  </conditionalFormatting>
  <conditionalFormatting sqref="C2106:C2111">
    <cfRule type="expression" priority="987" dxfId="6424">
      <formula>$B2106="Subetapa"</formula>
    </cfRule>
  </conditionalFormatting>
  <conditionalFormatting sqref="C2113:C2118">
    <cfRule type="expression" priority="986" dxfId="6424">
      <formula>$B2113="Subetapa"</formula>
    </cfRule>
  </conditionalFormatting>
  <conditionalFormatting sqref="C2120:C2125">
    <cfRule type="expression" priority="985" dxfId="6424">
      <formula>$B2120="Subetapa"</formula>
    </cfRule>
  </conditionalFormatting>
  <conditionalFormatting sqref="C2127:C2132">
    <cfRule type="expression" priority="983" dxfId="6424">
      <formula>$B2127="Subetapa"</formula>
    </cfRule>
  </conditionalFormatting>
  <conditionalFormatting sqref="C2134:C2139">
    <cfRule type="expression" priority="981" dxfId="6424">
      <formula>$B2134="Subetapa"</formula>
    </cfRule>
  </conditionalFormatting>
  <conditionalFormatting sqref="C2332:C2336">
    <cfRule type="expression" priority="979" dxfId="6424">
      <formula>$B2332="Subetapa"</formula>
    </cfRule>
  </conditionalFormatting>
  <conditionalFormatting sqref="C2757:C2759">
    <cfRule type="expression" priority="917" dxfId="6424">
      <formula>$B2757="Subetapa"</formula>
    </cfRule>
  </conditionalFormatting>
  <conditionalFormatting sqref="C2761:C2764">
    <cfRule type="expression" priority="919" dxfId="6424">
      <formula>$B2761="Subetapa"</formula>
    </cfRule>
  </conditionalFormatting>
  <conditionalFormatting sqref="C2772:C2785">
    <cfRule type="expression" priority="963" dxfId="6424">
      <formula>$B2772="Subetapa"</formula>
    </cfRule>
  </conditionalFormatting>
  <conditionalFormatting sqref="C2786:C2787">
    <cfRule type="expression" priority="1059" dxfId="6931">
      <formula>$A2786=2</formula>
    </cfRule>
  </conditionalFormatting>
  <conditionalFormatting sqref="C2914:C2915">
    <cfRule type="expression" priority="960" dxfId="4">
      <formula>$I2914="SUBETAPA"</formula>
    </cfRule>
    <cfRule type="expression" priority="961" dxfId="5">
      <formula>$I2914="CÉLULA CONSTRUTIVA"</formula>
    </cfRule>
    <cfRule type="expression" priority="962" dxfId="3">
      <formula>$I2914="ETAPA"</formula>
    </cfRule>
  </conditionalFormatting>
  <conditionalFormatting sqref="C2916:C2917">
    <cfRule type="expression" priority="957" dxfId="4">
      <formula>$I2916="SUBETAPA"</formula>
    </cfRule>
    <cfRule type="expression" priority="958" dxfId="5">
      <formula>$I2916="CÉLULA CONSTRUTIVA"</formula>
    </cfRule>
    <cfRule type="expression" priority="959" dxfId="3">
      <formula>$I2916="ETAPA"</formula>
    </cfRule>
  </conditionalFormatting>
  <conditionalFormatting sqref="C3427:C3429">
    <cfRule type="expression" priority="1061" dxfId="6424">
      <formula>$A3427="Subetapa"</formula>
    </cfRule>
  </conditionalFormatting>
  <conditionalFormatting sqref="C3619:C3621">
    <cfRule type="expression" priority="1063" dxfId="6424">
      <formula>$A3619="Subetapa"</formula>
    </cfRule>
  </conditionalFormatting>
  <conditionalFormatting sqref="C3927:C3928">
    <cfRule type="expression" priority="942" dxfId="6424">
      <formula>$B3927="Subetapa"</formula>
    </cfRule>
  </conditionalFormatting>
  <conditionalFormatting sqref="C3939:C3943">
    <cfRule type="expression" priority="1065" dxfId="6424">
      <formula>$B3939="Subetapa"</formula>
    </cfRule>
  </conditionalFormatting>
  <conditionalFormatting sqref="C3997:C3998">
    <cfRule type="expression" priority="883" dxfId="6433">
      <formula>$A3997="Serviço"</formula>
    </cfRule>
    <cfRule type="expression" priority="884" dxfId="6434">
      <formula>$A3997="Subetapa"</formula>
    </cfRule>
  </conditionalFormatting>
  <conditionalFormatting sqref="C4000:C4001">
    <cfRule type="expression" priority="885" dxfId="6433">
      <formula>$A4000="Serviço"</formula>
    </cfRule>
    <cfRule type="expression" priority="886" dxfId="6434">
      <formula>$A4000="Subetapa"</formula>
    </cfRule>
  </conditionalFormatting>
  <conditionalFormatting sqref="C4055:C4056">
    <cfRule type="expression" priority="875" dxfId="6433">
      <formula>$A4055="Serviço"</formula>
    </cfRule>
    <cfRule type="expression" priority="876" dxfId="6434">
      <formula>$A4055="Subetapa"</formula>
    </cfRule>
  </conditionalFormatting>
  <conditionalFormatting sqref="C4095:C4097">
    <cfRule type="expression" priority="1068" dxfId="6424">
      <formula>$B4095="Subetapa"</formula>
    </cfRule>
  </conditionalFormatting>
  <conditionalFormatting sqref="C4292:C4295">
    <cfRule type="expression" priority="941" dxfId="6424">
      <formula>$B4292="Subetapa"</formula>
    </cfRule>
  </conditionalFormatting>
  <conditionalFormatting sqref="C4751:C4758">
    <cfRule type="expression" priority="1069" dxfId="6424">
      <formula>$B4751="Subetapa"</formula>
    </cfRule>
  </conditionalFormatting>
  <conditionalFormatting sqref="C4833:C4838 C4880:C4888">
    <cfRule type="expression" priority="1044" dxfId="6424">
      <formula>$B4833="Subetapa"</formula>
    </cfRule>
  </conditionalFormatting>
  <conditionalFormatting sqref="C4942:C4974">
    <cfRule type="expression" priority="1075" dxfId="6424">
      <formula>$B4942="Subetapa"</formula>
    </cfRule>
  </conditionalFormatting>
  <conditionalFormatting sqref="C815:C823">
    <cfRule type="expression" priority="907" dxfId="6433">
      <formula>$B815="Serviço"</formula>
    </cfRule>
    <cfRule type="expression" priority="908" dxfId="6434">
      <formula>$B815="Subetapa"</formula>
    </cfRule>
  </conditionalFormatting>
  <conditionalFormatting sqref="C1256:C1265">
    <cfRule type="expression" priority="899" dxfId="6434">
      <formula>$B1256="Subetapa"</formula>
    </cfRule>
  </conditionalFormatting>
  <conditionalFormatting sqref="C1302:C1310">
    <cfRule type="expression" priority="896" dxfId="6433">
      <formula>$B1302="Serviço"</formula>
    </cfRule>
    <cfRule type="expression" priority="897" dxfId="6434">
      <formula>$B1302="Subetapa"</formula>
    </cfRule>
  </conditionalFormatting>
  <conditionalFormatting sqref="C1358:C1361">
    <cfRule type="expression" priority="900" dxfId="6433">
      <formula>$B1358="Serviço"</formula>
    </cfRule>
    <cfRule type="expression" priority="901" dxfId="6434">
      <formula>$B1358="Subetapa"</formula>
    </cfRule>
  </conditionalFormatting>
  <conditionalFormatting sqref="C1364:C1367">
    <cfRule type="expression" priority="902" dxfId="6433">
      <formula>$B1364="Serviço"</formula>
    </cfRule>
    <cfRule type="expression" priority="903" dxfId="6434">
      <formula>$B1364="Subetapa"</formula>
    </cfRule>
  </conditionalFormatting>
  <conditionalFormatting sqref="C1376:C1384">
    <cfRule type="expression" priority="904" dxfId="6434">
      <formula>$B1376="Subetapa"</formula>
    </cfRule>
  </conditionalFormatting>
  <conditionalFormatting sqref="C2476:C2479">
    <cfRule type="expression" priority="891" dxfId="6433">
      <formula>$B2476="Serviço"</formula>
    </cfRule>
  </conditionalFormatting>
  <conditionalFormatting sqref="C2481:C2484">
    <cfRule type="expression" priority="892" dxfId="6433">
      <formula>$B2481="Serviço"</formula>
    </cfRule>
  </conditionalFormatting>
  <conditionalFormatting sqref="C2486:C2489">
    <cfRule type="expression" priority="894" dxfId="6433">
      <formula>$B2486="Serviço"</formula>
    </cfRule>
  </conditionalFormatting>
  <conditionalFormatting sqref="C2521:C2524">
    <cfRule type="expression" priority="893" dxfId="6433">
      <formula>$B2521="Serviço"</formula>
    </cfRule>
  </conditionalFormatting>
  <conditionalFormatting sqref="C3886:C3889">
    <cfRule type="expression" priority="932" dxfId="6424">
      <formula>$B3886="Subetapa"</formula>
    </cfRule>
  </conditionalFormatting>
  <conditionalFormatting sqref="C3896:C3900">
    <cfRule type="expression" priority="930" dxfId="6424">
      <formula>$B3896="Subetapa"</formula>
    </cfRule>
  </conditionalFormatting>
  <conditionalFormatting sqref="C3907:C3911">
    <cfRule type="expression" priority="928" dxfId="6424">
      <formula>$B3907="Subetapa"</formula>
    </cfRule>
  </conditionalFormatting>
  <conditionalFormatting sqref="C3918:C3922">
    <cfRule type="expression" priority="926" dxfId="6424">
      <formula>$B3918="Subetapa"</formula>
    </cfRule>
  </conditionalFormatting>
  <conditionalFormatting sqref="C3948:C3952">
    <cfRule type="expression" priority="922" dxfId="6424">
      <formula>$B3948="Subetapa"</formula>
    </cfRule>
  </conditionalFormatting>
  <conditionalFormatting sqref="C4005:C4006">
    <cfRule type="expression" priority="877" dxfId="6434">
      <formula>$B4005="Subetapa"</formula>
    </cfRule>
  </conditionalFormatting>
  <conditionalFormatting sqref="C4008:C4009">
    <cfRule type="expression" priority="878" dxfId="6434">
      <formula>$B4008="Subetapa"</formula>
    </cfRule>
  </conditionalFormatting>
  <conditionalFormatting sqref="C4011:C4012">
    <cfRule type="expression" priority="879" dxfId="6434">
      <formula>$B4011="Subetapa"</formula>
    </cfRule>
  </conditionalFormatting>
  <conditionalFormatting sqref="C4014:C4015">
    <cfRule type="expression" priority="880" dxfId="6434">
      <formula>$B4014="Subetapa"</formula>
    </cfRule>
  </conditionalFormatting>
  <conditionalFormatting sqref="C4017:C4018">
    <cfRule type="expression" priority="881" dxfId="6434">
      <formula>$B4017="Subetapa"</formula>
    </cfRule>
  </conditionalFormatting>
  <conditionalFormatting sqref="C4020:C4021">
    <cfRule type="expression" priority="882" dxfId="6434">
      <formula>$B4020="Subetapa"</formula>
    </cfRule>
  </conditionalFormatting>
  <conditionalFormatting sqref="C4042:C4043">
    <cfRule type="expression" priority="874" dxfId="6434">
      <formula>$B4042="Subetapa"</formula>
    </cfRule>
  </conditionalFormatting>
  <conditionalFormatting sqref="C827:C834">
    <cfRule type="expression" priority="909" dxfId="6433">
      <formula>$B827="Serviço"</formula>
    </cfRule>
    <cfRule type="expression" priority="910" dxfId="6434">
      <formula>$B827="Subetapa"</formula>
    </cfRule>
  </conditionalFormatting>
  <conditionalFormatting sqref="C1348:C1355">
    <cfRule type="expression" priority="898" dxfId="6434">
      <formula>$B1348="Subetapa"</formula>
    </cfRule>
  </conditionalFormatting>
  <conditionalFormatting sqref="C1813:C1814">
    <cfRule type="expression" priority="1081" dxfId="6424">
      <formula>$B1813="Subetapa"</formula>
    </cfRule>
  </conditionalFormatting>
  <conditionalFormatting sqref="C2185:C2186">
    <cfRule type="expression" priority="1088" dxfId="6424">
      <formula>$B2185="Subetapa"</formula>
    </cfRule>
  </conditionalFormatting>
  <conditionalFormatting sqref="C2723:C2724">
    <cfRule type="expression" priority="890" dxfId="6433">
      <formula>$B2723="Serviço"</formula>
    </cfRule>
  </conditionalFormatting>
  <conditionalFormatting sqref="C3130:C3136">
    <cfRule type="expression" priority="888" dxfId="6434">
      <formula>$B3130="Subetapa"</formula>
    </cfRule>
  </conditionalFormatting>
  <conditionalFormatting sqref="C3143:C3144">
    <cfRule type="expression" priority="956" dxfId="6424">
      <formula>$B3143="Subetapa"</formula>
    </cfRule>
  </conditionalFormatting>
  <conditionalFormatting sqref="C4105:C4106">
    <cfRule type="expression" priority="872" dxfId="6434">
      <formula>$B4105="Subetapa"</formula>
    </cfRule>
  </conditionalFormatting>
  <conditionalFormatting sqref="C4108:C4109">
    <cfRule type="expression" priority="873" dxfId="6434">
      <formula>$B4108="Subetapa"</formula>
    </cfRule>
  </conditionalFormatting>
  <conditionalFormatting sqref="C4864:C4874">
    <cfRule type="expression" priority="1086" dxfId="6424">
      <formula>$B4864="Subetapa"</formula>
    </cfRule>
  </conditionalFormatting>
  <conditionalFormatting sqref="C4876:C4877">
    <cfRule type="expression" priority="1090" dxfId="6424">
      <formula>$B4876="Subetapa"</formula>
    </cfRule>
  </conditionalFormatting>
  <conditionalFormatting sqref="C3980:C3981">
    <cfRule type="expression" priority="887" dxfId="6434">
      <formula>$B3980="Subetapa"</formula>
    </cfRule>
  </conditionalFormatting>
  <conditionalFormatting sqref="C1419:C1420 C1422:C1442 C1444:C1464 C1466:C1473">
    <cfRule type="expression" priority="870" dxfId="6424">
      <formula>$B1419="Subetapa"</formula>
    </cfRule>
  </conditionalFormatting>
  <conditionalFormatting sqref="C1478:C1485 C1490:C1497 C1503:C1510 C1516:C1523">
    <cfRule type="expression" priority="868" dxfId="6424">
      <formula>$B1478="Subetapa"</formula>
    </cfRule>
  </conditionalFormatting>
  <conditionalFormatting sqref="C1513:C1514">
    <cfRule type="expression" priority="866" dxfId="6424">
      <formula>$B1513="Subetapa"</formula>
    </cfRule>
    <cfRule type="expression" priority="865" dxfId="6424">
      <formula>$B1513="Subetapa"</formula>
    </cfRule>
  </conditionalFormatting>
  <conditionalFormatting sqref="C1500:C1501">
    <cfRule type="expression" priority="863" dxfId="6424">
      <formula>$B1500="Subetapa"</formula>
    </cfRule>
    <cfRule type="expression" priority="862" dxfId="6424">
      <formula>$B1500="Subetapa"</formula>
    </cfRule>
  </conditionalFormatting>
  <conditionalFormatting sqref="C1524:C1525 C1527:C1534">
    <cfRule type="expression" priority="861" dxfId="6424">
      <formula>$B1524="Subetapa"</formula>
    </cfRule>
  </conditionalFormatting>
  <conditionalFormatting sqref="C2826:C2827 C2835:C2840">
    <cfRule type="expression" priority="851" dxfId="6433">
      <formula>$B2826="Serviço"</formula>
    </cfRule>
    <cfRule type="expression" priority="852" dxfId="6434">
      <formula>$B2826="Subetapa"</formula>
    </cfRule>
  </conditionalFormatting>
  <conditionalFormatting sqref="C3173:C3174">
    <cfRule type="expression" priority="825" dxfId="6424">
      <formula>$B3173="Subetapa"</formula>
    </cfRule>
  </conditionalFormatting>
  <conditionalFormatting sqref="C3170:C3171">
    <cfRule type="expression" priority="823" dxfId="6424">
      <formula>$B3170="Subetapa"</formula>
    </cfRule>
  </conditionalFormatting>
  <conditionalFormatting sqref="C3167:C3168">
    <cfRule type="expression" priority="822" dxfId="6424">
      <formula>$B3167="Subetapa"</formula>
    </cfRule>
  </conditionalFormatting>
  <conditionalFormatting sqref="C3164:C3165">
    <cfRule type="expression" priority="820" dxfId="6424">
      <formula>$B3164="Subetapa"</formula>
    </cfRule>
  </conditionalFormatting>
  <conditionalFormatting sqref="C3161:C3162">
    <cfRule type="expression" priority="818" dxfId="6424">
      <formula>$B3161="Subetapa"</formula>
    </cfRule>
  </conditionalFormatting>
  <conditionalFormatting sqref="C3158:C3159">
    <cfRule type="expression" priority="817" dxfId="6424">
      <formula>$B3158="Subetapa"</formula>
    </cfRule>
  </conditionalFormatting>
  <conditionalFormatting sqref="C3656:C3657">
    <cfRule type="expression" priority="816" dxfId="6424">
      <formula>$B3656="Subetapa"</formula>
    </cfRule>
  </conditionalFormatting>
  <conditionalFormatting sqref="C3966:C3967">
    <cfRule type="expression" priority="814" dxfId="6424">
      <formula>$B3966="Subetapa"</formula>
    </cfRule>
  </conditionalFormatting>
  <conditionalFormatting sqref="C4035:C4036">
    <cfRule type="expression" priority="812" dxfId="6424">
      <formula>$B4035="Subetapa"</formula>
    </cfRule>
  </conditionalFormatting>
  <conditionalFormatting sqref="C4669:C4670">
    <cfRule type="expression" priority="810" dxfId="6424">
      <formula>$B4669="Subetapa"</formula>
    </cfRule>
  </conditionalFormatting>
  <conditionalFormatting sqref="C4676:C4677">
    <cfRule type="expression" priority="808" dxfId="6424">
      <formula>$B4676="Subetapa"</formula>
    </cfRule>
  </conditionalFormatting>
  <conditionalFormatting sqref="C1023:C1030 C1036:C1043 C1049:C1056 C1062:C1069">
    <cfRule type="expression" priority="804" dxfId="6433">
      <formula>$B1023="Serviço"</formula>
    </cfRule>
    <cfRule type="expression" priority="805" dxfId="6434">
      <formula>$B1023="Subetapa"</formula>
    </cfRule>
  </conditionalFormatting>
  <conditionalFormatting sqref="C1114:C1121">
    <cfRule type="expression" priority="802" dxfId="6433">
      <formula>$B1114="Serviço"</formula>
    </cfRule>
    <cfRule type="expression" priority="803" dxfId="6434">
      <formula>$B1114="Subetapa"</formula>
    </cfRule>
  </conditionalFormatting>
  <conditionalFormatting sqref="C1143:C1150 C1158:C1165">
    <cfRule type="expression" priority="800" dxfId="6433">
      <formula>$B1143="Serviço"</formula>
    </cfRule>
    <cfRule type="expression" priority="801" dxfId="6434">
      <formula>$B1143="Subetapa"</formula>
    </cfRule>
  </conditionalFormatting>
  <conditionalFormatting sqref="C1129:C1136">
    <cfRule type="expression" priority="798" dxfId="6433">
      <formula>$B1129="Serviço"</formula>
    </cfRule>
    <cfRule type="expression" priority="799" dxfId="6434">
      <formula>$B1129="Subetapa"</formula>
    </cfRule>
  </conditionalFormatting>
  <conditionalFormatting sqref="A3879:B3879">
    <cfRule type="expression" priority="794" dxfId="6424">
      <formula>$B3879="Subetapa"</formula>
    </cfRule>
  </conditionalFormatting>
  <conditionalFormatting sqref="B3875:B3877 B3881:B3882">
    <cfRule type="expression" priority="784" dxfId="6424">
      <formula>$B3875="Subetapa"</formula>
    </cfRule>
  </conditionalFormatting>
  <conditionalFormatting sqref="D3875:F3875 D3876:D3877 D3881:D3882 F3876:F3877 F3881:F3882">
    <cfRule type="expression" priority="785" dxfId="6424">
      <formula>$B3875="Subetapa"</formula>
    </cfRule>
  </conditionalFormatting>
  <conditionalFormatting sqref="A3875:A3877 A3881:A3882">
    <cfRule type="expression" priority="776" dxfId="6424">
      <formula>$B3875="Subetapa"</formula>
    </cfRule>
  </conditionalFormatting>
  <conditionalFormatting sqref="B3878 D3878 F3878">
    <cfRule type="expression" priority="773" dxfId="6424">
      <formula>$B3878="Subetapa"</formula>
    </cfRule>
  </conditionalFormatting>
  <conditionalFormatting sqref="D3879:D3880">
    <cfRule type="expression" priority="767" dxfId="6424">
      <formula>$B3879="Subetapa"</formula>
    </cfRule>
  </conditionalFormatting>
  <conditionalFormatting sqref="D3880">
    <cfRule type="expression" priority="763" dxfId="6424">
      <formula>$B3880="Subetapa"</formula>
    </cfRule>
  </conditionalFormatting>
  <conditionalFormatting sqref="F3880">
    <cfRule type="expression" priority="768" dxfId="6424">
      <formula>$B3880="Subetapa"</formula>
    </cfRule>
  </conditionalFormatting>
  <conditionalFormatting sqref="A3878">
    <cfRule type="expression" priority="759" dxfId="6424">
      <formula>$B3878="Subetapa"</formula>
    </cfRule>
  </conditionalFormatting>
  <conditionalFormatting sqref="G4071:H4071">
    <cfRule type="expression" priority="755" dxfId="6424">
      <formula>$B4071="Subetapa"</formula>
    </cfRule>
  </conditionalFormatting>
  <conditionalFormatting sqref="H3861:H3883">
    <cfRule type="expression" priority="751" dxfId="6424">
      <formula>$B3861="Subetapa"</formula>
    </cfRule>
  </conditionalFormatting>
  <conditionalFormatting sqref="G4495">
    <cfRule type="expression" priority="668" dxfId="6434">
      <formula>$B4495="Subetapa"</formula>
    </cfRule>
    <cfRule type="expression" priority="667" dxfId="6433">
      <formula>$B4495="Serviço"</formula>
    </cfRule>
  </conditionalFormatting>
  <conditionalFormatting sqref="E768:E770">
    <cfRule type="expression" priority="666" dxfId="6424">
      <formula>$B768="Subetapa"</formula>
    </cfRule>
  </conditionalFormatting>
  <conditionalFormatting sqref="E1021">
    <cfRule type="expression" priority="664" dxfId="6424">
      <formula>$B1021="Subetapa"</formula>
    </cfRule>
  </conditionalFormatting>
  <conditionalFormatting sqref="I1386:J2041 I2526:J2606 I2843:J2882 I3143:J3176 I4403:J4451 I4455:J4458">
    <cfRule type="expression" priority="661" dxfId="6424">
      <formula>$B1386="Subetapa"</formula>
    </cfRule>
  </conditionalFormatting>
  <conditionalFormatting sqref="I1198:J1385 I4504:J4572">
    <cfRule type="expression" priority="659" dxfId="6433">
      <formula>$B1198="Serviço"</formula>
    </cfRule>
    <cfRule type="expression" priority="660" dxfId="6434">
      <formula>$B1198="Subetapa"</formula>
    </cfRule>
  </conditionalFormatting>
  <conditionalFormatting sqref="I943:J959">
    <cfRule type="expression" priority="475" dxfId="6424">
      <formula>$B943="Subetapa"</formula>
    </cfRule>
  </conditionalFormatting>
  <conditionalFormatting sqref="I2203:J2207 I2317:J2330">
    <cfRule type="expression" priority="603" dxfId="6424">
      <formula>$B2203="Subetapa"</formula>
    </cfRule>
  </conditionalFormatting>
  <conditionalFormatting sqref="I2379:J2388">
    <cfRule type="expression" priority="355" dxfId="6433">
      <formula>$B2379="Serviço"</formula>
    </cfRule>
    <cfRule type="expression" priority="354" dxfId="6434">
      <formula>$B2379="Subetapa"</formula>
    </cfRule>
  </conditionalFormatting>
  <conditionalFormatting sqref="I2637:J2661">
    <cfRule type="expression" priority="467" dxfId="6424">
      <formula>$B2637="Subetapa"</formula>
    </cfRule>
  </conditionalFormatting>
  <conditionalFormatting sqref="I2662:J2669">
    <cfRule type="expression" priority="462" dxfId="6424">
      <formula>$B2662="Subetapa"</formula>
    </cfRule>
  </conditionalFormatting>
  <conditionalFormatting sqref="I2670:J2672">
    <cfRule type="expression" priority="464" dxfId="6424">
      <formula>$B2670="Subetapa"</formula>
    </cfRule>
  </conditionalFormatting>
  <conditionalFormatting sqref="I2731:J2735">
    <cfRule type="expression" priority="466" dxfId="6424">
      <formula>$B2731="Subetapa"</formula>
    </cfRule>
  </conditionalFormatting>
  <conditionalFormatting sqref="I2737:J2753">
    <cfRule type="expression" priority="465" dxfId="6424">
      <formula>$B2737="Subetapa"</formula>
    </cfRule>
  </conditionalFormatting>
  <conditionalFormatting sqref="I3177:J3188 I3243:J3246">
    <cfRule type="expression" priority="348" dxfId="6434">
      <formula>$B3177="Subetapa"</formula>
    </cfRule>
    <cfRule type="expression" priority="349" dxfId="6433">
      <formula>$B3177="Serviço"</formula>
    </cfRule>
  </conditionalFormatting>
  <conditionalFormatting sqref="I2957:J2960">
    <cfRule type="expression" priority="601" dxfId="6424">
      <formula>$B2957="Subetapa"</formula>
    </cfRule>
  </conditionalFormatting>
  <conditionalFormatting sqref="I3731:J3758">
    <cfRule type="expression" priority="458" dxfId="6424">
      <formula>$B3731="Subetapa"</formula>
    </cfRule>
  </conditionalFormatting>
  <conditionalFormatting sqref="I3767:J3787">
    <cfRule type="expression" priority="552" dxfId="6424">
      <formula>$B3767="Subetapa"</formula>
    </cfRule>
  </conditionalFormatting>
  <conditionalFormatting sqref="I3788:J3793">
    <cfRule type="expression" priority="454" dxfId="6424">
      <formula>$B3788="Subetapa"</formula>
    </cfRule>
  </conditionalFormatting>
  <conditionalFormatting sqref="I3794:J3807">
    <cfRule type="expression" priority="529" dxfId="6424">
      <formula>$B3794="Subetapa"</formula>
    </cfRule>
  </conditionalFormatting>
  <conditionalFormatting sqref="I4078:J4086">
    <cfRule type="expression" priority="604" dxfId="6424">
      <formula>$B4078="Subetapa"</formula>
    </cfRule>
  </conditionalFormatting>
  <conditionalFormatting sqref="I4373:J4402">
    <cfRule type="expression" priority="318" dxfId="6434">
      <formula>$B4373="Subetapa"</formula>
    </cfRule>
    <cfRule type="expression" priority="319" dxfId="6433">
      <formula>$B4373="Serviço"</formula>
    </cfRule>
  </conditionalFormatting>
  <conditionalFormatting sqref="I4686:J4699">
    <cfRule type="expression" priority="316" dxfId="6434">
      <formula>$B4686="Subetapa"</formula>
    </cfRule>
    <cfRule type="expression" priority="317" dxfId="6433">
      <formula>$B4686="Serviço"</formula>
    </cfRule>
  </conditionalFormatting>
  <conditionalFormatting sqref="I3759:J3766 I3816:J3820">
    <cfRule type="expression" priority="615" dxfId="6424">
      <formula>$B3759="Subetapa"</formula>
    </cfRule>
  </conditionalFormatting>
  <conditionalFormatting sqref="I4087:J4097">
    <cfRule type="expression" priority="538" dxfId="6424">
      <formula>$B4087="Subetapa"</formula>
    </cfRule>
  </conditionalFormatting>
  <conditionalFormatting sqref="I4235:J4244">
    <cfRule type="expression" priority="517" dxfId="6424">
      <formula>$B4235="Subetapa"</formula>
    </cfRule>
  </conditionalFormatting>
  <conditionalFormatting sqref="I2208:J2211 I2277:J2278">
    <cfRule type="expression" priority="291" dxfId="6424">
      <formula>$B2208="Subetapa"</formula>
    </cfRule>
  </conditionalFormatting>
  <conditionalFormatting sqref="I3709:J3713">
    <cfRule type="expression" priority="298" dxfId="6424">
      <formula>$B3709="Subetapa"</formula>
    </cfRule>
  </conditionalFormatting>
  <conditionalFormatting sqref="I3715:J3721 I3725:J3730">
    <cfRule type="expression" priority="294" dxfId="6424">
      <formula>$B3715="Subetapa"</formula>
    </cfRule>
  </conditionalFormatting>
  <conditionalFormatting sqref="I4023:J4028">
    <cfRule type="expression" priority="293" dxfId="6424">
      <formula>$B4023="Subetapa"</formula>
    </cfRule>
  </conditionalFormatting>
  <conditionalFormatting sqref="I4272:J4276">
    <cfRule type="expression" priority="452" dxfId="6424">
      <formula>$B4272="Subetapa"</formula>
    </cfRule>
  </conditionalFormatting>
  <conditionalFormatting sqref="I153:J213 I215:J217">
    <cfRule type="expression" priority="440" dxfId="6424">
      <formula>$B153="Subetapa"</formula>
    </cfRule>
  </conditionalFormatting>
  <conditionalFormatting sqref="I903:J907">
    <cfRule type="expression" priority="394" dxfId="6424">
      <formula>$B903="Subetapa"</formula>
    </cfRule>
  </conditionalFormatting>
  <conditionalFormatting sqref="I2212:J2261 I2267:J2268 I2274:J2275">
    <cfRule type="expression" priority="398" dxfId="6433">
      <formula>$B2212="Serviço"</formula>
    </cfRule>
    <cfRule type="expression" priority="397" dxfId="6434">
      <formula>$B2212="Subetapa"</formula>
    </cfRule>
  </conditionalFormatting>
  <conditionalFormatting sqref="I2817:J2831 I2835:J2842">
    <cfRule type="expression" priority="459" dxfId="6424">
      <formula>$B2817="Subetapa"</formula>
    </cfRule>
  </conditionalFormatting>
  <conditionalFormatting sqref="I2883:J2884">
    <cfRule type="expression" priority="347" dxfId="6433">
      <formula>$B2883="Serviço"</formula>
    </cfRule>
    <cfRule type="expression" priority="346" dxfId="6434">
      <formula>$B2883="Subetapa"</formula>
    </cfRule>
  </conditionalFormatting>
  <conditionalFormatting sqref="I2912:J2935">
    <cfRule type="expression" priority="543" dxfId="6424">
      <formula>$B2912="Subetapa"</formula>
    </cfRule>
  </conditionalFormatting>
  <conditionalFormatting sqref="I3821:J3850">
    <cfRule type="expression" priority="447" dxfId="6424">
      <formula>$B3821="Subetapa"</formula>
    </cfRule>
  </conditionalFormatting>
  <conditionalFormatting sqref="I4058:J4067">
    <cfRule type="expression" priority="484" dxfId="6424">
      <formula>$B4058="Subetapa"</formula>
    </cfRule>
  </conditionalFormatting>
  <conditionalFormatting sqref="I4573:J4585">
    <cfRule type="expression" priority="523" dxfId="6424">
      <formula>$B4573="Subetapa"</formula>
    </cfRule>
  </conditionalFormatting>
  <conditionalFormatting sqref="I4598:J4609">
    <cfRule type="expression" priority="297" dxfId="6424">
      <formula>$B4598="Subetapa"</formula>
    </cfRule>
  </conditionalFormatting>
  <conditionalFormatting sqref="I4725:J4790 I5013:J5019">
    <cfRule type="expression" priority="617" dxfId="6424">
      <formula>$B4725="Subetapa"</formula>
    </cfRule>
  </conditionalFormatting>
  <conditionalFormatting sqref="I661:J664">
    <cfRule type="expression" priority="378" dxfId="6433">
      <formula>$B661="Serviço"</formula>
    </cfRule>
    <cfRule type="expression" priority="377" dxfId="6434">
      <formula>$B661="Subetapa"</formula>
    </cfRule>
  </conditionalFormatting>
  <conditionalFormatting sqref="I960:J962 I964:J969">
    <cfRule type="expression" priority="493" dxfId="6424">
      <formula>$B960="Subetapa"</formula>
    </cfRule>
  </conditionalFormatting>
  <conditionalFormatting sqref="I2042:J2052">
    <cfRule type="expression" priority="304" dxfId="6424">
      <formula>$B2042="Subetapa"</formula>
    </cfRule>
  </conditionalFormatting>
  <conditionalFormatting sqref="I2937:J2956">
    <cfRule type="expression" priority="307" dxfId="6424">
      <formula>$B2937="Subetapa"</formula>
    </cfRule>
  </conditionalFormatting>
  <conditionalFormatting sqref="I1169:J1174">
    <cfRule type="expression" priority="305" dxfId="6424">
      <formula>$B1169="Subetapa"</formula>
    </cfRule>
  </conditionalFormatting>
  <conditionalFormatting sqref="I2120:J2125">
    <cfRule type="expression" priority="303" dxfId="6424">
      <formula>$B2120="Subetapa"</formula>
    </cfRule>
  </conditionalFormatting>
  <conditionalFormatting sqref="I2127:J2132">
    <cfRule type="expression" priority="302" dxfId="6424">
      <formula>$B2127="Subetapa"</formula>
    </cfRule>
  </conditionalFormatting>
  <conditionalFormatting sqref="I2134:J2143">
    <cfRule type="expression" priority="301" dxfId="6424">
      <formula>$B2134="Subetapa"</formula>
    </cfRule>
  </conditionalFormatting>
  <conditionalFormatting sqref="I2356:J2357">
    <cfRule type="expression" priority="300" dxfId="6424">
      <formula>$B2356="Subetapa"</formula>
    </cfRule>
  </conditionalFormatting>
  <conditionalFormatting sqref="I2692:J2718">
    <cfRule type="expression" priority="296" dxfId="6424">
      <formula>$B2692="Subetapa"</formula>
    </cfRule>
  </conditionalFormatting>
  <conditionalFormatting sqref="I2885:J2889 I2905:J2910">
    <cfRule type="expression" priority="295" dxfId="6424">
      <formula>$B2885="Subetapa"</formula>
    </cfRule>
  </conditionalFormatting>
  <conditionalFormatting sqref="I3023:J3046">
    <cfRule type="expression" priority="306" dxfId="6424">
      <formula>$B3023="Subetapa"</formula>
    </cfRule>
  </conditionalFormatting>
  <conditionalFormatting sqref="I3191:J3194">
    <cfRule type="expression" priority="299" dxfId="6424">
      <formula>$B3191="Subetapa"</formula>
    </cfRule>
  </conditionalFormatting>
  <conditionalFormatting sqref="I4701:J4702">
    <cfRule type="expression" priority="292" dxfId="6424">
      <formula>$B4701="Subetapa"</formula>
    </cfRule>
  </conditionalFormatting>
  <conditionalFormatting sqref="I3065:J3088">
    <cfRule type="expression" priority="310" dxfId="6424">
      <formula>$B3065="Subetapa"</formula>
    </cfRule>
  </conditionalFormatting>
  <conditionalFormatting sqref="I461:J463">
    <cfRule type="expression" priority="385" dxfId="6434">
      <formula>$B461="Subetapa"</formula>
    </cfRule>
    <cfRule type="expression" priority="386" dxfId="6433">
      <formula>$B461="Serviço"</formula>
    </cfRule>
  </conditionalFormatting>
  <conditionalFormatting sqref="I473:J476">
    <cfRule type="expression" priority="383" dxfId="6434">
      <formula>$B473="Subetapa"</formula>
    </cfRule>
    <cfRule type="expression" priority="384" dxfId="6433">
      <formula>$B473="Serviço"</formula>
    </cfRule>
  </conditionalFormatting>
  <conditionalFormatting sqref="I500:J501">
    <cfRule type="expression" priority="381" dxfId="6434">
      <formula>$B500="Subetapa"</formula>
    </cfRule>
    <cfRule type="expression" priority="382" dxfId="6433">
      <formula>$B500="Serviço"</formula>
    </cfRule>
  </conditionalFormatting>
  <conditionalFormatting sqref="I621:J639">
    <cfRule type="expression" priority="379" dxfId="6434">
      <formula>$B621="Subetapa"</formula>
    </cfRule>
    <cfRule type="expression" priority="380" dxfId="6433">
      <formula>$B621="Serviço"</formula>
    </cfRule>
  </conditionalFormatting>
  <conditionalFormatting sqref="I738:J741">
    <cfRule type="expression" priority="375" dxfId="6434">
      <formula>$B738="Subetapa"</formula>
    </cfRule>
    <cfRule type="expression" priority="376" dxfId="6433">
      <formula>$B738="Serviço"</formula>
    </cfRule>
  </conditionalFormatting>
  <conditionalFormatting sqref="I759:J762">
    <cfRule type="expression" priority="373" dxfId="6434">
      <formula>$B759="Subetapa"</formula>
    </cfRule>
    <cfRule type="expression" priority="374" dxfId="6433">
      <formula>$B759="Serviço"</formula>
    </cfRule>
  </conditionalFormatting>
  <conditionalFormatting sqref="I779:J786">
    <cfRule type="expression" priority="387" dxfId="6434">
      <formula>$B779="Subetapa"</formula>
    </cfRule>
    <cfRule type="expression" priority="388" dxfId="6433">
      <formula>$B779="Serviço"</formula>
    </cfRule>
  </conditionalFormatting>
  <conditionalFormatting sqref="I814:J834">
    <cfRule type="expression" priority="371" dxfId="6434">
      <formula>$B814="Subetapa"</formula>
    </cfRule>
    <cfRule type="expression" priority="372" dxfId="6433">
      <formula>$B814="Serviço"</formula>
    </cfRule>
  </conditionalFormatting>
  <conditionalFormatting sqref="I835:J838">
    <cfRule type="expression" priority="369" dxfId="6434">
      <formula>$B835="Subetapa"</formula>
    </cfRule>
    <cfRule type="expression" priority="370" dxfId="6433">
      <formula>$B835="Serviço"</formula>
    </cfRule>
  </conditionalFormatting>
  <conditionalFormatting sqref="I879:J884">
    <cfRule type="expression" priority="391" dxfId="6434">
      <formula>$B879="Subetapa"</formula>
    </cfRule>
  </conditionalFormatting>
  <conditionalFormatting sqref="I885:J896 I2470:J2524 I2607:J2611 I2719:J2730 I3139:J3142 I3189:J3190 I3195:J3206 I3227:J3228 I3231:J3234 I3247:J3250 I3290:J3309 I3485:J3549 I3556:J3560 I3851:J3857 I3980:J4021 I4098:J4109 I4114:J4121 I4139:J4150 I4163:J4165 I4208:J4210 I4217:J4234 I4264:J4267">
    <cfRule type="expression" priority="367" dxfId="6433">
      <formula>$B885="Serviço"</formula>
    </cfRule>
  </conditionalFormatting>
  <conditionalFormatting sqref="I885:J896">
    <cfRule type="expression" priority="366" dxfId="6434">
      <formula>$B885="Subetapa"</formula>
    </cfRule>
  </conditionalFormatting>
  <conditionalFormatting sqref="I879:J884 I918:J929">
    <cfRule type="expression" priority="390" dxfId="6433">
      <formula>$B879="Serviço"</formula>
    </cfRule>
  </conditionalFormatting>
  <conditionalFormatting sqref="I918:J929">
    <cfRule type="expression" priority="389" dxfId="6434">
      <formula>$B918="Subetapa"</formula>
    </cfRule>
  </conditionalFormatting>
  <conditionalFormatting sqref="I931:J942">
    <cfRule type="expression" priority="392" dxfId="6434">
      <formula>$B931="Subetapa"</formula>
    </cfRule>
    <cfRule type="expression" priority="393" dxfId="6433">
      <formula>$B931="Serviço"</formula>
    </cfRule>
  </conditionalFormatting>
  <conditionalFormatting sqref="I1175:J1185">
    <cfRule type="expression" priority="364" dxfId="6434">
      <formula>$B1175="Subetapa"</formula>
    </cfRule>
    <cfRule type="expression" priority="365" dxfId="6433">
      <formula>$B1175="Serviço"</formula>
    </cfRule>
  </conditionalFormatting>
  <conditionalFormatting sqref="I2470:J2524 I2607:J2611 I2719:J2730 I3139:J3142 I3189:J3190 I3195:J3206 I3227:J3228 I3231:J3234 I3247:J3250 I3290:J3309 I3485:J3549 I3556:J3560 I3851:J3857 I3980:J4021 I4098:J4109 I4114:J4121 I4139:J4150 I4163:J4165 I4208:J4210 I4217:J4234 I4264:J4267">
    <cfRule type="expression" priority="368" dxfId="6434">
      <formula>$B2470="Subetapa"</formula>
    </cfRule>
  </conditionalFormatting>
  <conditionalFormatting sqref="I2181:J2187">
    <cfRule type="expression" priority="633" dxfId="6424">
      <formula>$B2181="Subetapa"</formula>
    </cfRule>
  </conditionalFormatting>
  <conditionalFormatting sqref="I2189:J2202">
    <cfRule type="expression" priority="634" dxfId="6424">
      <formula>$B2189="Subetapa"</formula>
    </cfRule>
  </conditionalFormatting>
  <conditionalFormatting sqref="I2331:J2334">
    <cfRule type="expression" priority="560" dxfId="6424">
      <formula>$B2331="Subetapa"</formula>
    </cfRule>
  </conditionalFormatting>
  <conditionalFormatting sqref="I2335:J2337 I3561:J3565">
    <cfRule type="expression" priority="599" dxfId="6424">
      <formula>$B2335="Subetapa"</formula>
    </cfRule>
  </conditionalFormatting>
  <conditionalFormatting sqref="I2338:J2341">
    <cfRule type="expression" priority="362" dxfId="6434">
      <formula>$B2338="Subetapa"</formula>
    </cfRule>
    <cfRule type="expression" priority="363" dxfId="6433">
      <formula>$B2338="Serviço"</formula>
    </cfRule>
  </conditionalFormatting>
  <conditionalFormatting sqref="I2344:J2346 I2351:J2355">
    <cfRule type="expression" priority="562" dxfId="6424">
      <formula>$B2344="Subetapa"</formula>
    </cfRule>
  </conditionalFormatting>
  <conditionalFormatting sqref="I2347:J2348">
    <cfRule type="expression" priority="360" dxfId="6434">
      <formula>$B2347="Subetapa"</formula>
    </cfRule>
    <cfRule type="expression" priority="361" dxfId="6433">
      <formula>$B2347="Serviço"</formula>
    </cfRule>
  </conditionalFormatting>
  <conditionalFormatting sqref="I2349:J2350">
    <cfRule type="expression" priority="358" dxfId="6434">
      <formula>$B2349="Subetapa"</formula>
    </cfRule>
    <cfRule type="expression" priority="359" dxfId="6433">
      <formula>$B2349="Serviço"</formula>
    </cfRule>
  </conditionalFormatting>
  <conditionalFormatting sqref="I2359:J2367 I2369:J2373">
    <cfRule type="expression" priority="620" dxfId="6424">
      <formula>$B2359="Subetapa"</formula>
    </cfRule>
  </conditionalFormatting>
  <conditionalFormatting sqref="I2374:J2378">
    <cfRule type="expression" priority="356" dxfId="6434">
      <formula>$B2374="Subetapa"</formula>
    </cfRule>
    <cfRule type="expression" priority="357" dxfId="6433">
      <formula>$B2374="Serviço"</formula>
    </cfRule>
  </conditionalFormatting>
  <conditionalFormatting sqref="I2765:J2767">
    <cfRule type="expression" priority="352" dxfId="6434">
      <formula>$B2765="Subetapa"</formula>
    </cfRule>
    <cfRule type="expression" priority="353" dxfId="6433">
      <formula>$B2765="Serviço"</formula>
    </cfRule>
  </conditionalFormatting>
  <conditionalFormatting sqref="I2806:J2816">
    <cfRule type="expression" priority="350" dxfId="6434">
      <formula>$B2806="Subetapa"</formula>
    </cfRule>
    <cfRule type="expression" priority="351" dxfId="6433">
      <formula>$B2806="Serviço"</formula>
    </cfRule>
  </conditionalFormatting>
  <conditionalFormatting sqref="I3056:J3063">
    <cfRule type="expression" priority="344" dxfId="6434">
      <formula>$B3056="Subetapa"</formula>
    </cfRule>
    <cfRule type="expression" priority="345" dxfId="6433">
      <formula>$B3056="Serviço"</formula>
    </cfRule>
  </conditionalFormatting>
  <conditionalFormatting sqref="I3089:J3092 I3099:J3106">
    <cfRule type="expression" priority="635" dxfId="6424">
      <formula>$B3089="Subetapa"</formula>
    </cfRule>
  </conditionalFormatting>
  <conditionalFormatting sqref="I3097:J3098">
    <cfRule type="expression" priority="342" dxfId="6434">
      <formula>$B3097="Subetapa"</formula>
    </cfRule>
    <cfRule type="expression" priority="343" dxfId="6433">
      <formula>$B3097="Serviço"</formula>
    </cfRule>
  </conditionalFormatting>
  <conditionalFormatting sqref="I3129:J3136">
    <cfRule type="expression" priority="340" dxfId="6434">
      <formula>$B3129="Subetapa"</formula>
    </cfRule>
    <cfRule type="expression" priority="341" dxfId="6433">
      <formula>$B3129="Serviço"</formula>
    </cfRule>
  </conditionalFormatting>
  <conditionalFormatting sqref="I3350:J3379">
    <cfRule type="expression" priority="549" dxfId="6424">
      <formula>$B3350="Subetapa"</formula>
    </cfRule>
  </conditionalFormatting>
  <conditionalFormatting sqref="I3380:J3469">
    <cfRule type="expression" priority="551" dxfId="6424">
      <formula>$B3380="Subetapa"</formula>
    </cfRule>
  </conditionalFormatting>
  <conditionalFormatting sqref="I3577:J3588 I3618:J3622">
    <cfRule type="expression" priority="546" dxfId="6424">
      <formula>$B3577="Subetapa"</formula>
    </cfRule>
  </conditionalFormatting>
  <conditionalFormatting sqref="I3674:J3678">
    <cfRule type="expression" priority="338" dxfId="6434">
      <formula>$B3674="Subetapa"</formula>
    </cfRule>
    <cfRule type="expression" priority="339" dxfId="6433">
      <formula>$B3674="Serviço"</formula>
    </cfRule>
  </conditionalFormatting>
  <conditionalFormatting sqref="I3684:J3688">
    <cfRule type="expression" priority="336" dxfId="6434">
      <formula>$B3684="Subetapa"</formula>
    </cfRule>
    <cfRule type="expression" priority="337" dxfId="6433">
      <formula>$B3684="Serviço"</formula>
    </cfRule>
  </conditionalFormatting>
  <conditionalFormatting sqref="I3699:J3708">
    <cfRule type="expression" priority="334" dxfId="6434">
      <formula>$B3699="Subetapa"</formula>
    </cfRule>
    <cfRule type="expression" priority="335" dxfId="6433">
      <formula>$B3699="Serviço"</formula>
    </cfRule>
  </conditionalFormatting>
  <conditionalFormatting sqref="I3722:J3724">
    <cfRule type="expression" priority="332" dxfId="6434">
      <formula>$B3722="Subetapa"</formula>
    </cfRule>
    <cfRule type="expression" priority="333" dxfId="6433">
      <formula>$B3722="Serviço"</formula>
    </cfRule>
  </conditionalFormatting>
  <conditionalFormatting sqref="I3808:J3815">
    <cfRule type="expression" priority="330" dxfId="6434">
      <formula>$B3808="Subetapa"</formula>
    </cfRule>
    <cfRule type="expression" priority="331" dxfId="6433">
      <formula>$B3808="Serviço"</formula>
    </cfRule>
  </conditionalFormatting>
  <conditionalFormatting sqref="I3859:J3884">
    <cfRule type="expression" priority="409" dxfId="6424">
      <formula>$B3859="Subetapa"</formula>
    </cfRule>
  </conditionalFormatting>
  <conditionalFormatting sqref="I3890:J3891">
    <cfRule type="expression" priority="411" dxfId="6424">
      <formula>$B3890="Subetapa"</formula>
    </cfRule>
  </conditionalFormatting>
  <conditionalFormatting sqref="I3891:J3892">
    <cfRule type="expression" priority="410" dxfId="6424">
      <formula>$B3891="Subetapa"</formula>
    </cfRule>
  </conditionalFormatting>
  <conditionalFormatting sqref="I3901:J3902">
    <cfRule type="expression" priority="413" dxfId="6424">
      <formula>$B3901="Subetapa"</formula>
    </cfRule>
  </conditionalFormatting>
  <conditionalFormatting sqref="I3902:J3903">
    <cfRule type="expression" priority="412" dxfId="6424">
      <formula>$B3902="Subetapa"</formula>
    </cfRule>
  </conditionalFormatting>
  <conditionalFormatting sqref="I3912:J3913">
    <cfRule type="expression" priority="415" dxfId="6424">
      <formula>$B3912="Subetapa"</formula>
    </cfRule>
  </conditionalFormatting>
  <conditionalFormatting sqref="I3913:J3914">
    <cfRule type="expression" priority="414" dxfId="6424">
      <formula>$B3913="Subetapa"</formula>
    </cfRule>
  </conditionalFormatting>
  <conditionalFormatting sqref="I3923:J3924">
    <cfRule type="expression" priority="417" dxfId="6424">
      <formula>$B3923="Subetapa"</formula>
    </cfRule>
  </conditionalFormatting>
  <conditionalFormatting sqref="I3924:J3925">
    <cfRule type="expression" priority="416" dxfId="6424">
      <formula>$B3924="Subetapa"</formula>
    </cfRule>
  </conditionalFormatting>
  <conditionalFormatting sqref="I3933:J3934">
    <cfRule type="expression" priority="420" dxfId="6424">
      <formula>$B3933="Subetapa"</formula>
    </cfRule>
  </conditionalFormatting>
  <conditionalFormatting sqref="I3934:J3935">
    <cfRule type="expression" priority="419" dxfId="6424">
      <formula>$B3934="Subetapa"</formula>
    </cfRule>
  </conditionalFormatting>
  <conditionalFormatting sqref="I3935:J3936">
    <cfRule type="expression" priority="418" dxfId="6424">
      <formula>$B3935="Subetapa"</formula>
    </cfRule>
  </conditionalFormatting>
  <conditionalFormatting sqref="I3939:J3941">
    <cfRule type="expression" priority="636" dxfId="6424">
      <formula>$B3939="Subetapa"</formula>
    </cfRule>
  </conditionalFormatting>
  <conditionalFormatting sqref="I3953:J3954">
    <cfRule type="expression" priority="407" dxfId="6424">
      <formula>$B3953="Subetapa"</formula>
    </cfRule>
  </conditionalFormatting>
  <conditionalFormatting sqref="I3954:J3955">
    <cfRule type="expression" priority="406" dxfId="6424">
      <formula>$B3954="Subetapa"</formula>
    </cfRule>
  </conditionalFormatting>
  <conditionalFormatting sqref="I4041:J4043 I4051:J4056">
    <cfRule type="expression" priority="328" dxfId="6434">
      <formula>$B4041="Subetapa"</formula>
    </cfRule>
    <cfRule type="expression" priority="329" dxfId="6433">
      <formula>$B4041="Serviço"</formula>
    </cfRule>
  </conditionalFormatting>
  <conditionalFormatting sqref="I4068:J4077">
    <cfRule type="expression" priority="525" dxfId="6424">
      <formula>$B4068="Subetapa"</formula>
    </cfRule>
  </conditionalFormatting>
  <conditionalFormatting sqref="I4122:J4124">
    <cfRule type="expression" priority="324" dxfId="6434">
      <formula>$B4122="Subetapa"</formula>
    </cfRule>
    <cfRule type="expression" priority="325" dxfId="6433">
      <formula>$B4122="Serviço"</formula>
    </cfRule>
  </conditionalFormatting>
  <conditionalFormatting sqref="I4125:J4132">
    <cfRule type="expression" priority="537" dxfId="6424">
      <formula>$B4125="Subetapa"</formula>
    </cfRule>
  </conditionalFormatting>
  <conditionalFormatting sqref="I4152:J4155">
    <cfRule type="expression" priority="637" dxfId="6424">
      <formula>$B4152="Subetapa"</formula>
    </cfRule>
  </conditionalFormatting>
  <conditionalFormatting sqref="I4156:J4161">
    <cfRule type="expression" priority="322" dxfId="6434">
      <formula>$B4156="Subetapa"</formula>
    </cfRule>
    <cfRule type="expression" priority="323" dxfId="6433">
      <formula>$B4156="Serviço"</formula>
    </cfRule>
  </conditionalFormatting>
  <conditionalFormatting sqref="I4187:J4201">
    <cfRule type="expression" priority="621" dxfId="6424">
      <formula>$B4187="Subetapa"</formula>
    </cfRule>
  </conditionalFormatting>
  <conditionalFormatting sqref="I4245:J4248">
    <cfRule type="expression" priority="320" dxfId="6434">
      <formula>$B4245="Subetapa"</formula>
    </cfRule>
    <cfRule type="expression" priority="321" dxfId="6433">
      <formula>$B4245="Serviço"</formula>
    </cfRule>
  </conditionalFormatting>
  <conditionalFormatting sqref="I4279:J4282">
    <cfRule type="expression" priority="513" dxfId="6424">
      <formula>$B4279="Subetapa"</formula>
    </cfRule>
  </conditionalFormatting>
  <conditionalFormatting sqref="I4328:J4333">
    <cfRule type="expression" priority="629" dxfId="6424">
      <formula>$B4328="Subetapa"</formula>
    </cfRule>
  </conditionalFormatting>
  <conditionalFormatting sqref="I4334:J4370">
    <cfRule type="expression" priority="519" dxfId="6424">
      <formula>$B4334="Subetapa"</formula>
    </cfRule>
  </conditionalFormatting>
  <conditionalFormatting sqref="I4434:J4436">
    <cfRule type="expression" priority="638" dxfId="6424">
      <formula>$B4434="Subetapa"</formula>
    </cfRule>
  </conditionalFormatting>
  <conditionalFormatting sqref="I4459:J4460">
    <cfRule type="expression" priority="630" dxfId="6424">
      <formula>$B4459="Subetapa"</formula>
    </cfRule>
  </conditionalFormatting>
  <conditionalFormatting sqref="I4791:J4800 I4811:J4830">
    <cfRule type="expression" priority="640" dxfId="6424">
      <formula>$B4791="Subetapa"</formula>
    </cfRule>
  </conditionalFormatting>
  <conditionalFormatting sqref="I4801:J4810">
    <cfRule type="expression" priority="314" dxfId="6433">
      <formula>$B4801="Serviço"</formula>
    </cfRule>
    <cfRule type="expression" priority="315" dxfId="6434">
      <formula>$B4801="Subetapa"</formula>
    </cfRule>
  </conditionalFormatting>
  <conditionalFormatting sqref="I4832:J4834">
    <cfRule type="expression" priority="641" dxfId="6424">
      <formula>$B4832="Subetapa"</formula>
    </cfRule>
  </conditionalFormatting>
  <conditionalFormatting sqref="I4918:J4922">
    <cfRule type="expression" priority="312" dxfId="6433">
      <formula>$B4918="Serviço"</formula>
    </cfRule>
    <cfRule type="expression" priority="313" dxfId="6434">
      <formula>$B4918="Subetapa"</formula>
    </cfRule>
  </conditionalFormatting>
  <conditionalFormatting sqref="I4976:J4983">
    <cfRule type="expression" priority="326" dxfId="6434">
      <formula>$B4976="Subetapa"</formula>
    </cfRule>
    <cfRule type="expression" priority="327" dxfId="6433">
      <formula>$B4976="Serviço"</formula>
    </cfRule>
  </conditionalFormatting>
  <conditionalFormatting sqref="I345:J360 I370:J383 I385:J460">
    <cfRule type="expression" priority="479" dxfId="6424">
      <formula>$B345="Subetapa"</formula>
    </cfRule>
  </conditionalFormatting>
  <conditionalFormatting sqref="I1186:J1197">
    <cfRule type="expression" priority="311" dxfId="6424">
      <formula>$B1186="Subetapa"</formula>
    </cfRule>
  </conditionalFormatting>
  <conditionalFormatting sqref="I2053:J2119">
    <cfRule type="expression" priority="468" dxfId="6424">
      <formula>$B2053="Subetapa"</formula>
    </cfRule>
  </conditionalFormatting>
  <conditionalFormatting sqref="I2755:J2756">
    <cfRule type="expression" priority="460" dxfId="6424">
      <formula>$B2755="Subetapa"</formula>
    </cfRule>
  </conditionalFormatting>
  <conditionalFormatting sqref="I2770:J2771">
    <cfRule type="expression" priority="405" dxfId="6424">
      <formula>$B2770="Subetapa"</formula>
    </cfRule>
  </conditionalFormatting>
  <conditionalFormatting sqref="I3048:J3055">
    <cfRule type="expression" priority="309" dxfId="6424">
      <formula>$B3048="Subetapa"</formula>
    </cfRule>
  </conditionalFormatting>
  <conditionalFormatting sqref="I3623:J3673">
    <cfRule type="expression" priority="455" dxfId="6424">
      <formula>$B3623="Subetapa"</formula>
    </cfRule>
  </conditionalFormatting>
  <conditionalFormatting sqref="I3679:J3683">
    <cfRule type="expression" priority="308" dxfId="6424">
      <formula>$B3679="Subetapa"</formula>
    </cfRule>
  </conditionalFormatting>
  <conditionalFormatting sqref="I3885:J3889">
    <cfRule type="expression" priority="434" dxfId="6424">
      <formula>$B3885="Subetapa"</formula>
    </cfRule>
  </conditionalFormatting>
  <conditionalFormatting sqref="I3894:J3900">
    <cfRule type="expression" priority="431" dxfId="6424">
      <formula>$B3894="Subetapa"</formula>
    </cfRule>
  </conditionalFormatting>
  <conditionalFormatting sqref="I3905:J3911">
    <cfRule type="expression" priority="428" dxfId="6424">
      <formula>$B3905="Subetapa"</formula>
    </cfRule>
  </conditionalFormatting>
  <conditionalFormatting sqref="I3916:J3922">
    <cfRule type="expression" priority="425" dxfId="6424">
      <formula>$B3916="Subetapa"</formula>
    </cfRule>
  </conditionalFormatting>
  <conditionalFormatting sqref="I3927:J3932 I3937:J3947">
    <cfRule type="expression" priority="424" dxfId="6424">
      <formula>$B3927="Subetapa"</formula>
    </cfRule>
  </conditionalFormatting>
  <conditionalFormatting sqref="I3948:J3952">
    <cfRule type="expression" priority="421" dxfId="6424">
      <formula>$B3948="Subetapa"</formula>
    </cfRule>
  </conditionalFormatting>
  <conditionalFormatting sqref="I3956:J3959 I3962:J3979">
    <cfRule type="expression" priority="408" dxfId="6424">
      <formula>$B3956="Subetapa"</formula>
    </cfRule>
  </conditionalFormatting>
  <conditionalFormatting sqref="I4283:J4301 I4304:J4321">
    <cfRule type="expression" priority="444" dxfId="6424">
      <formula>$B4283="Subetapa"</formula>
    </cfRule>
  </conditionalFormatting>
  <conditionalFormatting sqref="I4703:J4720">
    <cfRule type="expression" priority="481" dxfId="6424">
      <formula>$B4703="Subetapa"</formula>
    </cfRule>
  </conditionalFormatting>
  <conditionalFormatting sqref="I4721:J4724">
    <cfRule type="expression" priority="445" dxfId="6424">
      <formula>$B4721="Subetapa"</formula>
    </cfRule>
  </conditionalFormatting>
  <conditionalFormatting sqref="I4835:J4836 I4840:J4842 I4971:J4974 I4992:J4997 I5009:J5010">
    <cfRule type="expression" priority="487" dxfId="6424">
      <formula>$B4835="Subetapa"</formula>
    </cfRule>
  </conditionalFormatting>
  <conditionalFormatting sqref="I4941:J4957">
    <cfRule type="expression" priority="485" dxfId="6424">
      <formula>$B4941="Subetapa"</formula>
    </cfRule>
  </conditionalFormatting>
  <conditionalFormatting sqref="I4974:J4975 I4984:J4991">
    <cfRule type="expression" priority="505" dxfId="6424">
      <formula>$B4974="Subetapa"</formula>
    </cfRule>
  </conditionalFormatting>
  <conditionalFormatting sqref="I3108:J3128 I3137:J3138">
    <cfRule type="expression" priority="499" dxfId="6424">
      <formula>$B3108="Subetapa"</formula>
    </cfRule>
  </conditionalFormatting>
  <conditionalFormatting sqref="I4460:J4503">
    <cfRule type="expression" priority="446" dxfId="6424">
      <formula>$B4460="Subetapa"</formula>
    </cfRule>
  </conditionalFormatting>
  <conditionalFormatting sqref="I2675:J2681">
    <cfRule type="expression" priority="288" dxfId="6424">
      <formula>$B2675="Subetapa"</formula>
    </cfRule>
  </conditionalFormatting>
  <conditionalFormatting sqref="I2832:J2834">
    <cfRule type="expression" priority="286" dxfId="6424">
      <formula>$B2832="Subetapa"</formula>
    </cfRule>
  </conditionalFormatting>
  <conditionalFormatting sqref="I2895:J2904">
    <cfRule type="expression" priority="283" dxfId="6433">
      <formula>$B2895="Serviço"</formula>
    </cfRule>
    <cfRule type="expression" priority="282" dxfId="6434">
      <formula>$B2895="Subetapa"</formula>
    </cfRule>
  </conditionalFormatting>
  <conditionalFormatting sqref="I2890:J2894">
    <cfRule type="expression" priority="284" dxfId="6434">
      <formula>$B2890="Subetapa"</formula>
    </cfRule>
    <cfRule type="expression" priority="285" dxfId="6433">
      <formula>$B2890="Serviço"</formula>
    </cfRule>
  </conditionalFormatting>
  <conditionalFormatting sqref="I3093:J3096">
    <cfRule type="expression" priority="281" dxfId="6424">
      <formula>$B3093="Subetapa"</formula>
    </cfRule>
  </conditionalFormatting>
  <conditionalFormatting sqref="I3275:J3284">
    <cfRule type="expression" priority="274" dxfId="6433">
      <formula>$B3275="Serviço"</formula>
    </cfRule>
    <cfRule type="expression" priority="273" dxfId="6434">
      <formula>$B3275="Subetapa"</formula>
    </cfRule>
  </conditionalFormatting>
  <conditionalFormatting sqref="I3265:J3269">
    <cfRule type="expression" priority="278" dxfId="6424">
      <formula>$B3265="Subetapa"</formula>
    </cfRule>
  </conditionalFormatting>
  <conditionalFormatting sqref="I3270:J3274">
    <cfRule type="expression" priority="275" dxfId="6434">
      <formula>$B3270="Subetapa"</formula>
    </cfRule>
    <cfRule type="expression" priority="276" dxfId="6433">
      <formula>$B3270="Serviço"</formula>
    </cfRule>
  </conditionalFormatting>
  <conditionalFormatting sqref="I3589:J3613">
    <cfRule type="expression" priority="271" dxfId="6424">
      <formula>$B3589="Subetapa"</formula>
    </cfRule>
  </conditionalFormatting>
  <conditionalFormatting sqref="I3614:J3617">
    <cfRule type="expression" priority="269" dxfId="6424">
      <formula>$B3614="Subetapa"</formula>
    </cfRule>
  </conditionalFormatting>
  <conditionalFormatting sqref="I3960:J3961">
    <cfRule type="expression" priority="265" dxfId="6424">
      <formula>$B3960="Subetapa"</formula>
    </cfRule>
  </conditionalFormatting>
  <conditionalFormatting sqref="I4031:J4040">
    <cfRule type="expression" priority="263" dxfId="6424">
      <formula>$B4031="Subetapa"</formula>
    </cfRule>
  </conditionalFormatting>
  <conditionalFormatting sqref="I4029:J4030">
    <cfRule type="expression" priority="261" dxfId="6424">
      <formula>$B4029="Subetapa"</formula>
    </cfRule>
  </conditionalFormatting>
  <conditionalFormatting sqref="I4049:J4050">
    <cfRule type="expression" priority="259" dxfId="6424">
      <formula>$B4049="Subetapa"</formula>
    </cfRule>
  </conditionalFormatting>
  <conditionalFormatting sqref="I4044:J4048">
    <cfRule type="expression" priority="257" dxfId="6424">
      <formula>$B4044="Subetapa"</formula>
    </cfRule>
  </conditionalFormatting>
  <conditionalFormatting sqref="I4302:J4303">
    <cfRule type="expression" priority="255" dxfId="6434">
      <formula>$B4302="Subetapa"</formula>
    </cfRule>
    <cfRule type="expression" priority="256" dxfId="6433">
      <formula>$B4302="Serviço"</formula>
    </cfRule>
  </conditionalFormatting>
  <conditionalFormatting sqref="I4592:J4597">
    <cfRule type="expression" priority="253" dxfId="6424">
      <formula>$B4592="Subetapa"</formula>
    </cfRule>
  </conditionalFormatting>
  <conditionalFormatting sqref="I361:J364">
    <cfRule type="expression" priority="238" dxfId="6424">
      <formula>$B361="Subetapa"</formula>
    </cfRule>
  </conditionalFormatting>
  <conditionalFormatting sqref="I1110:J1119 I1122:J1134 I1137:J1138 I1155:J1163">
    <cfRule type="expression" priority="233" dxfId="6433">
      <formula>$B1110="Serviço"</formula>
    </cfRule>
    <cfRule type="expression" priority="234" dxfId="6434">
      <formula>$B1110="Subetapa"</formula>
    </cfRule>
  </conditionalFormatting>
  <conditionalFormatting sqref="I1020:J1028 I1031:J1041 I1044:J1054 I1057:J1067 I1070:J1080 I1083:J1093 I1096:J1107">
    <cfRule type="expression" priority="231" dxfId="6433">
      <formula>$B1020="Serviço"</formula>
    </cfRule>
    <cfRule type="expression" priority="232" dxfId="6434">
      <formula>$B1020="Subetapa"</formula>
    </cfRule>
  </conditionalFormatting>
  <conditionalFormatting sqref="I1081:J1082">
    <cfRule type="expression" priority="229" dxfId="6434">
      <formula>$B1081="Subetapa"</formula>
    </cfRule>
    <cfRule type="expression" priority="230" dxfId="6433">
      <formula>$B1081="Serviço"</formula>
    </cfRule>
  </conditionalFormatting>
  <conditionalFormatting sqref="I1029:J1030">
    <cfRule type="expression" priority="227" dxfId="6434">
      <formula>$B1029="Subetapa"</formula>
    </cfRule>
    <cfRule type="expression" priority="228" dxfId="6433">
      <formula>$B1029="Serviço"</formula>
    </cfRule>
  </conditionalFormatting>
  <conditionalFormatting sqref="I1042:J1043">
    <cfRule type="expression" priority="225" dxfId="6434">
      <formula>$B1042="Subetapa"</formula>
    </cfRule>
    <cfRule type="expression" priority="226" dxfId="6433">
      <formula>$B1042="Serviço"</formula>
    </cfRule>
  </conditionalFormatting>
  <conditionalFormatting sqref="I1055:J1056">
    <cfRule type="expression" priority="223" dxfId="6434">
      <formula>$B1055="Subetapa"</formula>
    </cfRule>
    <cfRule type="expression" priority="224" dxfId="6433">
      <formula>$B1055="Serviço"</formula>
    </cfRule>
  </conditionalFormatting>
  <conditionalFormatting sqref="I1094:J1095">
    <cfRule type="expression" priority="221" dxfId="6434">
      <formula>$B1094="Subetapa"</formula>
    </cfRule>
    <cfRule type="expression" priority="222" dxfId="6433">
      <formula>$B1094="Serviço"</formula>
    </cfRule>
  </conditionalFormatting>
  <conditionalFormatting sqref="I1108:J1109">
    <cfRule type="expression" priority="219" dxfId="6434">
      <formula>$B1108="Subetapa"</formula>
    </cfRule>
    <cfRule type="expression" priority="220" dxfId="6433">
      <formula>$B1108="Serviço"</formula>
    </cfRule>
  </conditionalFormatting>
  <conditionalFormatting sqref="I1068:J1069">
    <cfRule type="expression" priority="217" dxfId="6434">
      <formula>$B1068="Subetapa"</formula>
    </cfRule>
    <cfRule type="expression" priority="218" dxfId="6433">
      <formula>$B1068="Serviço"</formula>
    </cfRule>
  </conditionalFormatting>
  <conditionalFormatting sqref="I1120:J1121">
    <cfRule type="expression" priority="215" dxfId="6434">
      <formula>$B1120="Subetapa"</formula>
    </cfRule>
    <cfRule type="expression" priority="216" dxfId="6433">
      <formula>$B1120="Serviço"</formula>
    </cfRule>
  </conditionalFormatting>
  <conditionalFormatting sqref="I1149:J1150">
    <cfRule type="expression" priority="213" dxfId="6434">
      <formula>$B1149="Subetapa"</formula>
    </cfRule>
    <cfRule type="expression" priority="214" dxfId="6433">
      <formula>$B1149="Serviço"</formula>
    </cfRule>
  </conditionalFormatting>
  <conditionalFormatting sqref="I1164:J1165">
    <cfRule type="expression" priority="211" dxfId="6434">
      <formula>$B1164="Subetapa"</formula>
    </cfRule>
    <cfRule type="expression" priority="212" dxfId="6433">
      <formula>$B1164="Serviço"</formula>
    </cfRule>
  </conditionalFormatting>
  <conditionalFormatting sqref="I1135:J1136">
    <cfRule type="expression" priority="209" dxfId="6434">
      <formula>$B1135="Subetapa"</formula>
    </cfRule>
    <cfRule type="expression" priority="210" dxfId="6433">
      <formula>$B1135="Serviço"</formula>
    </cfRule>
  </conditionalFormatting>
  <conditionalFormatting sqref="E3876:E3882">
    <cfRule type="expression" priority="208" dxfId="6424">
      <formula>$B3876="Subetapa"</formula>
    </cfRule>
  </conditionalFormatting>
  <conditionalFormatting sqref="B2244:B2259">
    <cfRule type="expression" priority="204" dxfId="6434">
      <formula>$B2244="Subetapa"</formula>
    </cfRule>
  </conditionalFormatting>
  <conditionalFormatting sqref="D2244:F2244 D2245:D2246 D2247:F2247 D2248:D2249 D2250:F2250 D2251:D2252 D2253:F2253 D2254:D2255 D2256:F2256 D2257:D2259 F2245:F2246 F2248:F2249 F2251:F2252 F2254:F2255 F2257:F2259">
    <cfRule type="expression" priority="205" dxfId="6433">
      <formula>$B2244="Serviço"</formula>
    </cfRule>
    <cfRule type="expression" priority="206" dxfId="6434">
      <formula>$B2244="Subetapa"</formula>
    </cfRule>
  </conditionalFormatting>
  <conditionalFormatting sqref="G2244">
    <cfRule type="expression" priority="202" dxfId="6434">
      <formula>$B2244="Subetapa"</formula>
    </cfRule>
    <cfRule type="expression" priority="203" dxfId="6433">
      <formula>$B2244="Serviço"</formula>
    </cfRule>
  </conditionalFormatting>
  <conditionalFormatting sqref="A2244:A2259">
    <cfRule type="expression" priority="201" dxfId="6434">
      <formula>$B2244="Subetapa"</formula>
    </cfRule>
  </conditionalFormatting>
  <conditionalFormatting sqref="G2253">
    <cfRule type="expression" priority="199" dxfId="6434">
      <formula>$B2253="Subetapa"</formula>
    </cfRule>
    <cfRule type="expression" priority="200" dxfId="6433">
      <formula>$B2253="Serviço"</formula>
    </cfRule>
  </conditionalFormatting>
  <conditionalFormatting sqref="B2260:B2261 B2267:B2268 B2274:B2275">
    <cfRule type="expression" priority="198" dxfId="6434">
      <formula>$B2260="Subetapa"</formula>
    </cfRule>
  </conditionalFormatting>
  <conditionalFormatting sqref="D2264:F2264 D2265 D2267:D2268 D2269:F2269 D2270 D2274:D2275 F2265 F2267:F2268 F2270 F2274:F2275">
    <cfRule type="expression" priority="196" dxfId="6433">
      <formula>$B2264="Serviço"</formula>
    </cfRule>
    <cfRule type="expression" priority="197" dxfId="6434">
      <formula>$B2264="Subetapa"</formula>
    </cfRule>
  </conditionalFormatting>
  <conditionalFormatting sqref="G2264">
    <cfRule type="expression" priority="195" dxfId="6433">
      <formula>$B2264="Serviço"</formula>
    </cfRule>
    <cfRule type="expression" priority="194" dxfId="6434">
      <formula>$B2264="Subetapa"</formula>
    </cfRule>
  </conditionalFormatting>
  <conditionalFormatting sqref="A2260:A2261 A2267:A2268 A2274:A2275">
    <cfRule type="expression" priority="193" dxfId="6434">
      <formula>$B2260="Subetapa"</formula>
    </cfRule>
  </conditionalFormatting>
  <conditionalFormatting sqref="B2266 D2266 F2266">
    <cfRule type="expression" priority="190" dxfId="6424">
      <formula>$B2266="Subetapa"</formula>
    </cfRule>
  </conditionalFormatting>
  <conditionalFormatting sqref="K2266">
    <cfRule type="expression" priority="187" dxfId="6424">
      <formula>$B2266="Subetapa"</formula>
    </cfRule>
  </conditionalFormatting>
  <conditionalFormatting sqref="I2266:K2266">
    <cfRule type="expression" priority="184" dxfId="6424">
      <formula>$B2266="Subetapa"</formula>
    </cfRule>
  </conditionalFormatting>
  <conditionalFormatting sqref="A2266">
    <cfRule type="expression" priority="183" dxfId="6424">
      <formula>$B2266="Subetapa"</formula>
    </cfRule>
  </conditionalFormatting>
  <conditionalFormatting sqref="I2266:J2266">
    <cfRule type="expression" priority="181" dxfId="6424">
      <formula>$B2266="Subetapa"</formula>
    </cfRule>
  </conditionalFormatting>
  <conditionalFormatting sqref="G2256">
    <cfRule type="expression" priority="178" dxfId="6434">
      <formula>$B2256="Subetapa"</formula>
    </cfRule>
    <cfRule type="expression" priority="179" dxfId="6433">
      <formula>$B2256="Serviço"</formula>
    </cfRule>
  </conditionalFormatting>
  <conditionalFormatting sqref="G2247">
    <cfRule type="expression" priority="176" dxfId="6434">
      <formula>$B2247="Subetapa"</formula>
    </cfRule>
    <cfRule type="expression" priority="177" dxfId="6433">
      <formula>$B2247="Serviço"</formula>
    </cfRule>
  </conditionalFormatting>
  <conditionalFormatting sqref="D2260:F2260 D2261 F2261">
    <cfRule type="expression" priority="174" dxfId="6433">
      <formula>$B2260="Serviço"</formula>
    </cfRule>
    <cfRule type="expression" priority="175" dxfId="6434">
      <formula>$B2260="Subetapa"</formula>
    </cfRule>
  </conditionalFormatting>
  <conditionalFormatting sqref="G2260">
    <cfRule type="expression" priority="173" dxfId="6433">
      <formula>$B2260="Serviço"</formula>
    </cfRule>
    <cfRule type="expression" priority="172" dxfId="6434">
      <formula>$B2260="Subetapa"</formula>
    </cfRule>
  </conditionalFormatting>
  <conditionalFormatting sqref="B2262 D2262 F2262">
    <cfRule type="expression" priority="169" dxfId="6424">
      <formula>$B2262="Subetapa"</formula>
    </cfRule>
  </conditionalFormatting>
  <conditionalFormatting sqref="K2262">
    <cfRule type="expression" priority="166" dxfId="6424">
      <formula>$B2262="Subetapa"</formula>
    </cfRule>
  </conditionalFormatting>
  <conditionalFormatting sqref="I2262:K2262">
    <cfRule type="expression" priority="163" dxfId="6424">
      <formula>$B2262="Subetapa"</formula>
    </cfRule>
  </conditionalFormatting>
  <conditionalFormatting sqref="A2262">
    <cfRule type="expression" priority="162" dxfId="6424">
      <formula>$B2262="Subetapa"</formula>
    </cfRule>
  </conditionalFormatting>
  <conditionalFormatting sqref="I2262:J2262">
    <cfRule type="expression" priority="160" dxfId="6424">
      <formula>$B2262="Subetapa"</formula>
    </cfRule>
  </conditionalFormatting>
  <conditionalFormatting sqref="G2269">
    <cfRule type="expression" priority="158" dxfId="6433">
      <formula>$B2269="Serviço"</formula>
    </cfRule>
    <cfRule type="expression" priority="157" dxfId="6434">
      <formula>$B2269="Subetapa"</formula>
    </cfRule>
  </conditionalFormatting>
  <conditionalFormatting sqref="B2273 D2273 F2273">
    <cfRule type="expression" priority="154" dxfId="6424">
      <formula>$B2273="Subetapa"</formula>
    </cfRule>
  </conditionalFormatting>
  <conditionalFormatting sqref="K2273">
    <cfRule type="expression" priority="151" dxfId="6424">
      <formula>$B2273="Subetapa"</formula>
    </cfRule>
  </conditionalFormatting>
  <conditionalFormatting sqref="I2273:K2273">
    <cfRule type="expression" priority="148" dxfId="6424">
      <formula>$B2273="Subetapa"</formula>
    </cfRule>
  </conditionalFormatting>
  <conditionalFormatting sqref="A2273">
    <cfRule type="expression" priority="147" dxfId="6424">
      <formula>$B2273="Subetapa"</formula>
    </cfRule>
  </conditionalFormatting>
  <conditionalFormatting sqref="I2273:J2273">
    <cfRule type="expression" priority="145" dxfId="6424">
      <formula>$B2273="Subetapa"</formula>
    </cfRule>
  </conditionalFormatting>
  <conditionalFormatting sqref="B2271">
    <cfRule type="expression" priority="141" dxfId="6424">
      <formula>$B2271="Subetapa"</formula>
    </cfRule>
  </conditionalFormatting>
  <conditionalFormatting sqref="D2271 F2271">
    <cfRule type="expression" priority="143" dxfId="6424">
      <formula>$B2271="Subetapa"</formula>
    </cfRule>
  </conditionalFormatting>
  <conditionalFormatting sqref="K2271">
    <cfRule type="expression" priority="139" dxfId="6424">
      <formula>$B2271="Subetapa"</formula>
    </cfRule>
  </conditionalFormatting>
  <conditionalFormatting sqref="A2271">
    <cfRule type="expression" priority="137" dxfId="6424">
      <formula>$B2271="Subetapa"</formula>
    </cfRule>
  </conditionalFormatting>
  <conditionalFormatting sqref="I2271:J2271">
    <cfRule type="expression" priority="135" dxfId="6424">
      <formula>$B2271="Subetapa"</formula>
    </cfRule>
  </conditionalFormatting>
  <conditionalFormatting sqref="B2272">
    <cfRule type="expression" priority="133" dxfId="6433">
      <formula>$B2272="Serviço"</formula>
    </cfRule>
    <cfRule type="expression" priority="125" dxfId="6434">
      <formula>$B2272="Subetapa"</formula>
    </cfRule>
  </conditionalFormatting>
  <conditionalFormatting sqref="K2272">
    <cfRule type="expression" priority="132" dxfId="6433">
      <formula>$B2272="Serviço"</formula>
    </cfRule>
    <cfRule type="expression" priority="131" dxfId="6434">
      <formula>$B2272="Subetapa"</formula>
    </cfRule>
  </conditionalFormatting>
  <conditionalFormatting sqref="A2272">
    <cfRule type="expression" priority="130" dxfId="6433">
      <formula>$B2272="Serviço"</formula>
    </cfRule>
    <cfRule type="expression" priority="124" dxfId="6434">
      <formula>$B2272="Subetapa"</formula>
    </cfRule>
  </conditionalFormatting>
  <conditionalFormatting sqref="I2272:J2272">
    <cfRule type="expression" priority="129" dxfId="6433">
      <formula>$B2272="Serviço"</formula>
    </cfRule>
    <cfRule type="expression" priority="128" dxfId="6434">
      <formula>$B2272="Subetapa"</formula>
    </cfRule>
  </conditionalFormatting>
  <conditionalFormatting sqref="D2272 F2272">
    <cfRule type="expression" priority="126" dxfId="6433">
      <formula>$B2272="Serviço"</formula>
    </cfRule>
    <cfRule type="expression" priority="127" dxfId="6434">
      <formula>$B2272="Subetapa"</formula>
    </cfRule>
  </conditionalFormatting>
  <conditionalFormatting sqref="G2250">
    <cfRule type="expression" priority="122" dxfId="6434">
      <formula>$B2250="Subetapa"</formula>
    </cfRule>
    <cfRule type="expression" priority="123" dxfId="6433">
      <formula>$B2250="Serviço"</formula>
    </cfRule>
  </conditionalFormatting>
  <conditionalFormatting sqref="E2685:F2685 F2687">
    <cfRule type="expression" priority="118" dxfId="6434">
      <formula>$B2685="Subetapa"</formula>
    </cfRule>
    <cfRule type="expression" priority="119" dxfId="6433">
      <formula>$B2685="Serviço"</formula>
    </cfRule>
  </conditionalFormatting>
  <conditionalFormatting sqref="G2685:H2685">
    <cfRule type="expression" priority="116" dxfId="6434">
      <formula>$B2685="Subetapa"</formula>
    </cfRule>
    <cfRule type="expression" priority="117" dxfId="6433">
      <formula>$B2685="Serviço"</formula>
    </cfRule>
  </conditionalFormatting>
  <conditionalFormatting sqref="I2686:K2686">
    <cfRule type="expression" priority="113" dxfId="6424">
      <formula>$B2686="Subetapa"</formula>
    </cfRule>
  </conditionalFormatting>
  <conditionalFormatting sqref="A2686">
    <cfRule type="expression" priority="111" dxfId="6424">
      <formula>$B2686="Subetapa"</formula>
    </cfRule>
  </conditionalFormatting>
  <conditionalFormatting sqref="G4586:H4586">
    <cfRule type="expression" priority="110" dxfId="6424">
      <formula>$B4586="Subetapa"</formula>
    </cfRule>
  </conditionalFormatting>
  <conditionalFormatting sqref="C4591:D4591">
    <cfRule type="expression" priority="108" dxfId="6433">
      <formula>$B4591="Serviço"</formula>
    </cfRule>
    <cfRule type="expression" priority="109" dxfId="6434">
      <formula>$B4591="Subetapa"</formula>
    </cfRule>
  </conditionalFormatting>
  <conditionalFormatting sqref="I4586:J4591">
    <cfRule type="expression" priority="107" dxfId="6424">
      <formula>$B4586="Subetapa"</formula>
    </cfRule>
  </conditionalFormatting>
  <conditionalFormatting sqref="B4452:B4453">
    <cfRule type="expression" priority="106" dxfId="6424">
      <formula>$B4452="Subetapa"</formula>
    </cfRule>
  </conditionalFormatting>
  <conditionalFormatting sqref="K4452:K4453">
    <cfRule type="expression" priority="105" dxfId="6424">
      <formula>$B4452="Subetapa"</formula>
    </cfRule>
  </conditionalFormatting>
  <conditionalFormatting sqref="A4452:A4453">
    <cfRule type="expression" priority="104" dxfId="6424">
      <formula>$B4452="Subetapa"</formula>
    </cfRule>
  </conditionalFormatting>
  <conditionalFormatting sqref="E4452:F4452">
    <cfRule type="expression" priority="103" dxfId="6424">
      <formula>$B4452="Subetapa"</formula>
    </cfRule>
  </conditionalFormatting>
  <conditionalFormatting sqref="G4452:H4452">
    <cfRule type="expression" priority="102" dxfId="6424">
      <formula>$B4452="Subetapa"</formula>
    </cfRule>
  </conditionalFormatting>
  <conditionalFormatting sqref="D4452:D4453">
    <cfRule type="expression" priority="100" dxfId="6424">
      <formula>$B4452="Subetapa"</formula>
    </cfRule>
  </conditionalFormatting>
  <conditionalFormatting sqref="D4453">
    <cfRule type="expression" priority="101" dxfId="6424">
      <formula>$B4453="Subetapa"</formula>
    </cfRule>
  </conditionalFormatting>
  <conditionalFormatting sqref="F4453">
    <cfRule type="expression" priority="99" dxfId="6424">
      <formula>$B4453="Subetapa"</formula>
    </cfRule>
  </conditionalFormatting>
  <conditionalFormatting sqref="C4452 C4455">
    <cfRule type="expression" priority="98" dxfId="6424">
      <formula>$B4452="Subetapa"</formula>
    </cfRule>
  </conditionalFormatting>
  <conditionalFormatting sqref="I4452:J4453">
    <cfRule type="expression" priority="97" dxfId="6424">
      <formula>$B4452="Subetapa"</formula>
    </cfRule>
  </conditionalFormatting>
  <conditionalFormatting sqref="B4454">
    <cfRule type="expression" priority="96" dxfId="6424">
      <formula>$B4454="Subetapa"</formula>
    </cfRule>
    <cfRule type="expression" priority="95" dxfId="6424">
      <formula>$B4454="Subetapa"</formula>
    </cfRule>
  </conditionalFormatting>
  <conditionalFormatting sqref="A4454">
    <cfRule type="expression" priority="94" dxfId="6424">
      <formula>$B4454="Subetapa"</formula>
    </cfRule>
    <cfRule type="expression" priority="93" dxfId="6424">
      <formula>$B4454="Subetapa"</formula>
    </cfRule>
  </conditionalFormatting>
  <conditionalFormatting sqref="I4454:J4454">
    <cfRule type="expression" priority="92" dxfId="6424">
      <formula>$B4454="Subetapa"</formula>
    </cfRule>
  </conditionalFormatting>
  <conditionalFormatting sqref="C4453:C4454">
    <cfRule type="expression" priority="91" dxfId="6424">
      <formula>$B4453="Subetapa"</formula>
    </cfRule>
  </conditionalFormatting>
  <conditionalFormatting sqref="C4456:C4457">
    <cfRule type="expression" priority="90" dxfId="6424">
      <formula>$B4456="Subetapa"</formula>
    </cfRule>
  </conditionalFormatting>
  <conditionalFormatting sqref="D4659 F4659">
    <cfRule type="expression" priority="88" dxfId="6424">
      <formula>$B4659="Subetapa"</formula>
    </cfRule>
  </conditionalFormatting>
  <conditionalFormatting sqref="G4659:H4659">
    <cfRule type="expression" priority="89" dxfId="6424">
      <formula>$B4659="Subetapa"</formula>
    </cfRule>
  </conditionalFormatting>
  <conditionalFormatting sqref="D4662:D4663">
    <cfRule type="expression" priority="87" dxfId="6424">
      <formula>$B4662="Subetapa"</formula>
    </cfRule>
  </conditionalFormatting>
  <conditionalFormatting sqref="D4661">
    <cfRule type="expression" priority="86" dxfId="6424">
      <formula>$B4661="Subetapa"</formula>
    </cfRule>
  </conditionalFormatting>
  <conditionalFormatting sqref="G4383:H4383">
    <cfRule type="expression" priority="83" dxfId="6434">
      <formula>$B4383="Subetapa"</formula>
    </cfRule>
    <cfRule type="expression" priority="84" dxfId="6433">
      <formula>$B4383="Serviço"</formula>
    </cfRule>
  </conditionalFormatting>
  <conditionalFormatting sqref="D4384">
    <cfRule type="expression" priority="82" dxfId="6424">
      <formula>$B4384="Subetapa"</formula>
    </cfRule>
  </conditionalFormatting>
  <conditionalFormatting sqref="B4646:C4650 D4646:F4646 D4648:D4650 F4647:F4650">
    <cfRule type="expression" priority="79" dxfId="6434">
      <formula>$B4646="Subetapa"</formula>
    </cfRule>
    <cfRule type="expression" priority="80" dxfId="6433">
      <formula>$B4646="Serviço"</formula>
    </cfRule>
  </conditionalFormatting>
  <conditionalFormatting sqref="E4647:E4650">
    <cfRule type="expression" priority="81" dxfId="6424">
      <formula>$B4647="Subetapa"</formula>
    </cfRule>
  </conditionalFormatting>
  <conditionalFormatting sqref="K4646:K4650">
    <cfRule type="expression" priority="77" dxfId="6434">
      <formula>$B4646="Subetapa"</formula>
    </cfRule>
    <cfRule type="expression" priority="78" dxfId="6433">
      <formula>$B4646="Serviço"</formula>
    </cfRule>
  </conditionalFormatting>
  <conditionalFormatting sqref="A4646:A4650">
    <cfRule type="expression" priority="75" dxfId="6434">
      <formula>$B4646="Subetapa"</formula>
    </cfRule>
    <cfRule type="expression" priority="76" dxfId="6433">
      <formula>$B4646="Serviço"</formula>
    </cfRule>
  </conditionalFormatting>
  <conditionalFormatting sqref="I4646:J4650">
    <cfRule type="expression" priority="73" dxfId="6434">
      <formula>$B4646="Subetapa"</formula>
    </cfRule>
    <cfRule type="expression" priority="74" dxfId="6433">
      <formula>$B4646="Serviço"</formula>
    </cfRule>
  </conditionalFormatting>
  <conditionalFormatting sqref="G4646:H4646">
    <cfRule type="expression" priority="71" dxfId="6434">
      <formula>$B4646="Subetapa"</formula>
    </cfRule>
    <cfRule type="expression" priority="72" dxfId="6433">
      <formula>$B4646="Serviço"</formula>
    </cfRule>
  </conditionalFormatting>
  <conditionalFormatting sqref="E4659">
    <cfRule type="expression" priority="68" dxfId="6434">
      <formula>$B4659="Subetapa"</formula>
    </cfRule>
    <cfRule type="expression" priority="69" dxfId="6433">
      <formula>$B4659="Serviço"</formula>
    </cfRule>
  </conditionalFormatting>
  <conditionalFormatting sqref="D4654 F4654">
    <cfRule type="expression" priority="60" dxfId="6424">
      <formula>$B4654="Subetapa"</formula>
    </cfRule>
  </conditionalFormatting>
  <conditionalFormatting sqref="G4654:H4654">
    <cfRule type="expression" priority="61" dxfId="6424">
      <formula>$B4654="Subetapa"</formula>
    </cfRule>
  </conditionalFormatting>
  <conditionalFormatting sqref="D4657">
    <cfRule type="expression" priority="59" dxfId="6424">
      <formula>$B4657="Subetapa"</formula>
    </cfRule>
  </conditionalFormatting>
  <conditionalFormatting sqref="D4656">
    <cfRule type="expression" priority="58" dxfId="6424">
      <formula>$B4656="Subetapa"</formula>
    </cfRule>
  </conditionalFormatting>
  <conditionalFormatting sqref="E4654">
    <cfRule type="expression" priority="56" dxfId="6434">
      <formula>$B4654="Subetapa"</formula>
    </cfRule>
    <cfRule type="expression" priority="57" dxfId="6433">
      <formula>$B4654="Serviço"</formula>
    </cfRule>
  </conditionalFormatting>
  <conditionalFormatting sqref="D4658">
    <cfRule type="expression" priority="55" dxfId="6424">
      <formula>$B4658="Subetapa"</formula>
    </cfRule>
  </conditionalFormatting>
  <conditionalFormatting sqref="B4638:C4642 D4638:F4638 D4640:D4642 F4639:F4642">
    <cfRule type="expression" priority="40" dxfId="6434">
      <formula>$B4638="Subetapa"</formula>
    </cfRule>
    <cfRule type="expression" priority="41" dxfId="6433">
      <formula>$B4638="Serviço"</formula>
    </cfRule>
  </conditionalFormatting>
  <conditionalFormatting sqref="E4639:E4642">
    <cfRule type="expression" priority="42" dxfId="6424">
      <formula>$B4639="Subetapa"</formula>
    </cfRule>
  </conditionalFormatting>
  <conditionalFormatting sqref="K4638:K4642">
    <cfRule type="expression" priority="38" dxfId="6434">
      <formula>$B4638="Subetapa"</formula>
    </cfRule>
    <cfRule type="expression" priority="39" dxfId="6433">
      <formula>$B4638="Serviço"</formula>
    </cfRule>
  </conditionalFormatting>
  <conditionalFormatting sqref="A4638:A4642">
    <cfRule type="expression" priority="36" dxfId="6434">
      <formula>$B4638="Subetapa"</formula>
    </cfRule>
    <cfRule type="expression" priority="37" dxfId="6433">
      <formula>$B4638="Serviço"</formula>
    </cfRule>
  </conditionalFormatting>
  <conditionalFormatting sqref="I4638:J4642">
    <cfRule type="expression" priority="34" dxfId="6434">
      <formula>$B4638="Subetapa"</formula>
    </cfRule>
    <cfRule type="expression" priority="35" dxfId="6433">
      <formula>$B4638="Serviço"</formula>
    </cfRule>
  </conditionalFormatting>
  <conditionalFormatting sqref="G4638:H4638">
    <cfRule type="expression" priority="32" dxfId="6434">
      <formula>$B4638="Subetapa"</formula>
    </cfRule>
    <cfRule type="expression" priority="33" dxfId="6433">
      <formula>$B4638="Serviço"</formula>
    </cfRule>
  </conditionalFormatting>
  <conditionalFormatting sqref="D4639">
    <cfRule type="expression" priority="31" dxfId="6424">
      <formula>$B4639="Subetapa"</formula>
    </cfRule>
  </conditionalFormatting>
  <conditionalFormatting sqref="D4647">
    <cfRule type="expression" priority="30" dxfId="6424">
      <formula>$B4647="Subetapa"</formula>
    </cfRule>
  </conditionalFormatting>
  <conditionalFormatting sqref="G4378:H4378">
    <cfRule type="expression" priority="28" dxfId="6434">
      <formula>$B4378="Subetapa"</formula>
    </cfRule>
    <cfRule type="expression" priority="29" dxfId="6433">
      <formula>$B4378="Serviço"</formula>
    </cfRule>
  </conditionalFormatting>
  <conditionalFormatting sqref="D4379">
    <cfRule type="expression" priority="27" dxfId="6424">
      <formula>$B4379="Subetapa"</formula>
    </cfRule>
  </conditionalFormatting>
  <conditionalFormatting sqref="E556:E558">
    <cfRule type="expression" priority="26" dxfId="6424">
      <formula>$B556="Subetapa"</formula>
    </cfRule>
  </conditionalFormatting>
  <conditionalFormatting sqref="E560:E562">
    <cfRule type="expression" priority="25" dxfId="6424">
      <formula>$B560="Subetapa"</formula>
    </cfRule>
  </conditionalFormatting>
  <conditionalFormatting sqref="B315:D315">
    <cfRule type="expression" priority="24" dxfId="6424">
      <formula>$B315="Subetapa"</formula>
    </cfRule>
  </conditionalFormatting>
  <conditionalFormatting sqref="D313:D314 F313:F315">
    <cfRule type="expression" priority="23" dxfId="6424">
      <formula>$B313="Subetapa"</formula>
    </cfRule>
  </conditionalFormatting>
  <conditionalFormatting sqref="G312:H312">
    <cfRule type="expression" priority="22" dxfId="6424">
      <formula>$B312="Subetapa"</formula>
    </cfRule>
  </conditionalFormatting>
  <conditionalFormatting sqref="A315">
    <cfRule type="expression" priority="21" dxfId="6424">
      <formula>$B315="Subetapa"</formula>
    </cfRule>
  </conditionalFormatting>
  <conditionalFormatting sqref="C313:C314">
    <cfRule type="expression" priority="20" dxfId="6424">
      <formula>$B313="Subetapa"</formula>
    </cfRule>
  </conditionalFormatting>
  <conditionalFormatting sqref="B316:C319 D316:F316 D317:D319 F317:F319">
    <cfRule type="expression" priority="19" dxfId="6424">
      <formula>$B316="Subetapa"</formula>
    </cfRule>
  </conditionalFormatting>
  <conditionalFormatting sqref="G316:H316">
    <cfRule type="expression" priority="18" dxfId="6424">
      <formula>$B316="Subetapa"</formula>
    </cfRule>
  </conditionalFormatting>
  <conditionalFormatting sqref="A316:A319">
    <cfRule type="expression" priority="17" dxfId="6424">
      <formula>$B316="Subetapa"</formula>
    </cfRule>
  </conditionalFormatting>
  <conditionalFormatting sqref="C2347:C2348">
    <cfRule type="expression" priority="14" dxfId="6433">
      <formula>$B2347="Serviço"</formula>
    </cfRule>
    <cfRule type="expression" priority="15" dxfId="6434">
      <formula>$B2347="Subetapa"</formula>
    </cfRule>
  </conditionalFormatting>
  <conditionalFormatting sqref="C2349:C2350">
    <cfRule type="expression" priority="12" dxfId="6433">
      <formula>$B2349="Serviço"</formula>
    </cfRule>
    <cfRule type="expression" priority="13" dxfId="6434">
      <formula>$B2349="Subetapa"</formula>
    </cfRule>
  </conditionalFormatting>
  <conditionalFormatting sqref="C2356:C2357">
    <cfRule type="expression" priority="16" dxfId="6424">
      <formula>$B2356="Subetapa"</formula>
    </cfRule>
  </conditionalFormatting>
  <conditionalFormatting sqref="D2958">
    <cfRule type="expression" priority="11" dxfId="6424">
      <formula>$B2958="Subetapa"</formula>
    </cfRule>
  </conditionalFormatting>
  <conditionalFormatting sqref="F2778">
    <cfRule type="expression" priority="10" dxfId="6424">
      <formula>$B2778="Subetapa"</formula>
    </cfRule>
  </conditionalFormatting>
  <conditionalFormatting sqref="F2784">
    <cfRule type="expression" priority="9" dxfId="6424">
      <formula>$B2784="Subetapa"</formula>
    </cfRule>
  </conditionalFormatting>
  <conditionalFormatting sqref="F2795">
    <cfRule type="expression" priority="7" dxfId="6424">
      <formula>$B2795="Subetapa"</formula>
    </cfRule>
  </conditionalFormatting>
  <conditionalFormatting sqref="F2797">
    <cfRule type="expression" priority="6" dxfId="6424">
      <formula>$B2797="Subetapa"</formula>
    </cfRule>
  </conditionalFormatting>
  <conditionalFormatting sqref="F2799">
    <cfRule type="expression" priority="5" dxfId="6424">
      <formula>$B2799="Subetapa"</formula>
    </cfRule>
  </conditionalFormatting>
  <conditionalFormatting sqref="F2801">
    <cfRule type="expression" priority="4" dxfId="6424">
      <formula>$B2801="Subetapa"</formula>
    </cfRule>
  </conditionalFormatting>
  <conditionalFormatting sqref="F2803">
    <cfRule type="expression" priority="3" dxfId="6424">
      <formula>$B2803="Subetapa"</formula>
    </cfRule>
  </conditionalFormatting>
  <conditionalFormatting sqref="F2805">
    <cfRule type="expression" priority="2" dxfId="6424">
      <formula>$B2805="Subetapa"</formula>
    </cfRule>
  </conditionalFormatting>
  <conditionalFormatting sqref="F2793">
    <cfRule type="expression" priority="1" dxfId="6424">
      <formula>$B2793="Subetapa"</formula>
    </cfRule>
  </conditionalFormatting>
  <dataValidations count="2">
    <dataValidation sqref="B2:C2 B3:B270 B275:B286 B299:B460 B464:B472 B477:B499 B502:B620 B640:B660 B665:B737 B742:B758 B763:B778 B787:B813 B839:B878 B897:B917 B930 B943:B1019 B1168:B1174 B1186:B1197 B1386:B2211 B2262 B2266 B2271 B2273 B2276:B2337 B2342:B2346 B2351:B2373 B2389:B2469 B2525:B2672 B2675:B2681 B2683 B2686 B2689 B2691:B2718 B2731:B2764 B2768:B2805 B2817:B2821 B2832:B2834 B2841:B2882 B2885:B2889 B2905:B3055 B3064:B3096 B3099:B3128 B3137:B3138 B3143:B3176 B3191:B3194 B3207:B3242 B3247:B3269 B3285:B3484 B3550:B3673 B3679:B3683 B3689:B3698 B3709:B3721 B3725:B3807 B3816:B3850 B3858:B3979 B4022:B4040 B4044:B4050 B4057:B4097 B4110:B4113 B4125:B4138 B4151:B4155 B4162:B4216 B4235:B4244 B4249:B4301 B4304:B4372 B4403:B4494 B4573:B4637 B4643:B4645 B4651:B4685 B4700:B4800 B4811:B4917 B4923:B4975 B4984:B5027" showDropDown="0" showInputMessage="0" showErrorMessage="1" allowBlank="1" type="list">
      <formula1>"Unidade Construtiva,Célula Construtiva,Etapa,Subetapa,Serviço,Insumo,Complemento do Insumo"</formula1>
    </dataValidation>
    <dataValidation sqref="B271:B274 B287:B298 B461:B463 B473:B476 B500:B501 B621:B639 B661:B664 B738:B741 B759:B762 B779:B786 B814:B838 B879:B896 B918:B929 B931:B942 B1020:B1167 B1175:B1185 B1198:B1385 B2212:B2261 B2263:B2265 B2267:B2270 B2272 B2274:B2275 B2338:B2341 B2347:B2350 B2374:B2388 B2470:B2524 B2607:B2611 B2673:B2674 B2682 B2684:B2685 B2687:B2688 B2690 B2719:B2730 B2765:B2767 B2806:B2816 B2822:B2831 B2835:B2840 B2883:B2884 B2890:B2904 B3056:B3063 B3097:B3098 B3129:B3136 B3139:B3142 B3177:B3190 B3195:B3206 B3227:B3228 B3231:B3234 B3243:B3250 B3270:B3284 B3290:B3309 B3485:B3549 B3556:B3560 B3674:B3678 B3684:B3688 B3699:B3708 B3722:B3724 B3808:B3815 B3851:B3857 B3980:B4021 B4041:B4043 B4051:B4056 B4098:B4109 B4114:B4124 B4139:B4150 B4156:B4161 B4163:B4165 B4208:B4210 B4217:B4234 B4245:B4248 B4264:B4267 B4302:B4303 B4373:B4402 B4495:B4572 B4638:B4642 B4646:B4650 B4686:B4699 B4801:B4810 B4918:B4922 B4976:B4983" showDropDown="0" showInputMessage="1" showErrorMessage="1" allowBlank="1" type="list">
      <formula1>"Unidade Construtiva,Célula Construtiva,Etapa,Subetapa,Serviço,Insumo,Complemento do Insumo"</formula1>
    </dataValidation>
  </dataValidations>
  <pageMargins left="0.511811024" right="0.511811024" top="0.787401575" bottom="0.787401575" header="0" footer="0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Planilha10">
    <tabColor rgb="FFFFFF00"/>
    <outlinePr summaryBelow="0"/>
    <pageSetUpPr/>
  </sheetPr>
  <dimension ref="A1:I996"/>
  <sheetViews>
    <sheetView showGridLines="0" workbookViewId="0">
      <pane ySplit="1" topLeftCell="A2" activePane="bottomLeft" state="frozen"/>
      <selection activeCell="D3300" sqref="D3300"/>
      <selection pane="bottomLeft" activeCell="E837" sqref="E837"/>
    </sheetView>
  </sheetViews>
  <sheetFormatPr baseColWidth="8" defaultColWidth="12.5703125" defaultRowHeight="15" customHeight="1"/>
  <cols>
    <col width="9.85546875" customWidth="1" min="1" max="1"/>
    <col width="91.42578125" customWidth="1" min="2" max="2"/>
    <col width="9.140625" customWidth="1" min="3" max="3"/>
    <col hidden="1" width="17.7109375" customWidth="1" min="4" max="4"/>
    <col width="15.140625" customWidth="1" min="5" max="5"/>
    <col width="12.42578125" customWidth="1" min="6" max="7"/>
    <col width="31.42578125" customWidth="1" min="8" max="8"/>
    <col width="9.140625" customWidth="1" min="9" max="9"/>
    <col width="8.5703125" customWidth="1" min="10" max="26"/>
  </cols>
  <sheetData>
    <row r="1">
      <c r="A1" s="5" t="inlineStr">
        <is>
          <t>Repetição</t>
        </is>
      </c>
      <c r="B1" s="5" t="inlineStr">
        <is>
          <t>Descrição</t>
        </is>
      </c>
      <c r="C1" s="5" t="inlineStr">
        <is>
          <t>Und</t>
        </is>
      </c>
      <c r="D1" s="2174" t="n">
        <v>1</v>
      </c>
      <c r="E1" s="2175" t="inlineStr">
        <is>
          <t>Custo Unitário</t>
        </is>
      </c>
      <c r="F1" s="2175" t="inlineStr">
        <is>
          <t>Grupo insumo</t>
        </is>
      </c>
      <c r="G1" s="2175" t="inlineStr">
        <is>
          <t>Sub Grupo</t>
        </is>
      </c>
      <c r="H1" s="2175" t="inlineStr">
        <is>
          <t>Observações</t>
        </is>
      </c>
      <c r="I1" s="4" t="inlineStr">
        <is>
          <t>Grupo Sienge</t>
        </is>
      </c>
    </row>
    <row r="2">
      <c r="A2" s="10">
        <f>COUNTIFS($B$2:$B$996,B2)</f>
        <v/>
      </c>
      <c r="B2" s="10" t="inlineStr">
        <is>
          <t xml:space="preserve">Arame Galvanizado </t>
        </is>
      </c>
      <c r="C2" s="11" t="inlineStr">
        <is>
          <t>KG</t>
        </is>
      </c>
      <c r="D2" s="2162">
        <f>E2*$D$1</f>
        <v/>
      </c>
      <c r="E2" s="2162" t="n">
        <v>13.69</v>
      </c>
      <c r="F2" s="2162" t="inlineStr">
        <is>
          <t>Aço</t>
        </is>
      </c>
      <c r="G2" s="2162" t="inlineStr">
        <is>
          <t>Arame</t>
        </is>
      </c>
      <c r="H2" s="2162" t="n"/>
      <c r="I2" s="4" t="inlineStr">
        <is>
          <t>Armadura</t>
        </is>
      </c>
    </row>
    <row r="3">
      <c r="A3" s="10">
        <f>COUNTIFS($B$2:$B$996,B3)</f>
        <v/>
      </c>
      <c r="B3" s="10" t="inlineStr">
        <is>
          <t xml:space="preserve">Arame Recozido BWG 18 </t>
        </is>
      </c>
      <c r="C3" s="11" t="inlineStr">
        <is>
          <t>KG</t>
        </is>
      </c>
      <c r="D3" s="2162">
        <f>E3*$D$1</f>
        <v/>
      </c>
      <c r="E3" s="2162" t="n">
        <v>13.73</v>
      </c>
      <c r="F3" s="2162" t="inlineStr">
        <is>
          <t>Aço</t>
        </is>
      </c>
      <c r="G3" s="2162" t="inlineStr">
        <is>
          <t>Arame</t>
        </is>
      </c>
      <c r="H3" s="2162" t="inlineStr">
        <is>
          <t>Custo Incorrido</t>
        </is>
      </c>
      <c r="I3" s="4" t="inlineStr">
        <is>
          <t>Armadura</t>
        </is>
      </c>
    </row>
    <row r="4" ht="14.25" customHeight="1">
      <c r="A4" s="10">
        <f>COUNTIFS($B$2:$B$996,B4)</f>
        <v/>
      </c>
      <c r="B4" s="82" t="inlineStr">
        <is>
          <t>Barras de transferencia lisa 12,5mm 50 cm</t>
        </is>
      </c>
      <c r="C4" s="83" t="inlineStr">
        <is>
          <t>pc</t>
        </is>
      </c>
      <c r="D4" s="2165">
        <f>E4*$D$1</f>
        <v/>
      </c>
      <c r="E4" s="2165" t="n">
        <v>3.82</v>
      </c>
      <c r="F4" s="2165" t="inlineStr">
        <is>
          <t>Aço</t>
        </is>
      </c>
      <c r="G4" s="2165" t="inlineStr">
        <is>
          <t>Barra de Aço CA50 / CA60</t>
        </is>
      </c>
      <c r="H4" s="2165" t="n"/>
      <c r="I4" s="85" t="inlineStr">
        <is>
          <t>Armadura</t>
        </is>
      </c>
    </row>
    <row r="5" ht="14.25" customHeight="1">
      <c r="A5" s="10">
        <f>COUNTIFS($B$2:$B$996,B5)</f>
        <v/>
      </c>
      <c r="B5" s="82" t="inlineStr">
        <is>
          <t>Monocordoalha engraxada CP - 190 RB (12,7mm)</t>
        </is>
      </c>
      <c r="C5" s="83" t="inlineStr">
        <is>
          <t>KG</t>
        </is>
      </c>
      <c r="D5" s="2165">
        <f>E5*$D$1</f>
        <v/>
      </c>
      <c r="E5" s="2165" t="n">
        <v>15.5</v>
      </c>
      <c r="F5" s="2165" t="inlineStr">
        <is>
          <t>Aço</t>
        </is>
      </c>
      <c r="G5" s="2165" t="inlineStr">
        <is>
          <t>Barra de Aço CA50 / CA60</t>
        </is>
      </c>
      <c r="H5" s="2165" t="n"/>
      <c r="I5" s="85" t="inlineStr">
        <is>
          <t>Armadura</t>
        </is>
      </c>
    </row>
    <row r="6">
      <c r="A6" s="10">
        <f>COUNTIFS($B$2:$B$996,B6)</f>
        <v/>
      </c>
      <c r="B6" s="10" t="inlineStr">
        <is>
          <t>Armação aço Média para estaca (Corte e Dobra em Obra)</t>
        </is>
      </c>
      <c r="C6" s="11" t="inlineStr">
        <is>
          <t>KG</t>
        </is>
      </c>
      <c r="D6" s="2162">
        <f>E6*$D$1</f>
        <v/>
      </c>
      <c r="E6" s="2162" t="n">
        <v>7.68733850129199</v>
      </c>
      <c r="F6" s="2162" t="inlineStr">
        <is>
          <t>Aço</t>
        </is>
      </c>
      <c r="G6" s="2162" t="inlineStr">
        <is>
          <t>Barra de Aço CA50 / CA60</t>
        </is>
      </c>
      <c r="H6" s="2162" t="n"/>
      <c r="I6" s="4" t="inlineStr">
        <is>
          <t>Armadura</t>
        </is>
      </c>
    </row>
    <row r="7">
      <c r="A7" s="10">
        <f>COUNTIFS($B$2:$B$996,B7)</f>
        <v/>
      </c>
      <c r="B7" s="10" t="inlineStr">
        <is>
          <t>Armação aço Média para estaca (Corte e Dobra em Indústria)</t>
        </is>
      </c>
      <c r="C7" s="11" t="inlineStr">
        <is>
          <t>KG</t>
        </is>
      </c>
      <c r="D7" s="2162">
        <f>E7*$D$1</f>
        <v/>
      </c>
      <c r="E7" s="2162" t="n">
        <v>8.287338501291989</v>
      </c>
      <c r="F7" s="2162" t="inlineStr">
        <is>
          <t>Aço</t>
        </is>
      </c>
      <c r="G7" s="2162" t="inlineStr">
        <is>
          <t>Barra de Aço CA50 / CA60</t>
        </is>
      </c>
      <c r="H7" s="2162" t="n"/>
      <c r="I7" s="4" t="inlineStr">
        <is>
          <t>Armadura</t>
        </is>
      </c>
    </row>
    <row r="8">
      <c r="A8" s="10">
        <f>COUNTIFS($B$2:$B$996,B8)</f>
        <v/>
      </c>
      <c r="B8" s="10" t="inlineStr">
        <is>
          <t>CORTE E DOBRA ARMADO ESTACA Ø50CM 5F 16,0 4MTS ESP75 PS20</t>
        </is>
      </c>
      <c r="C8" s="11" t="inlineStr">
        <is>
          <t>KG</t>
        </is>
      </c>
      <c r="D8" s="2162">
        <f>E8*$D$1</f>
        <v/>
      </c>
      <c r="E8" s="2162" t="n">
        <v>302.922</v>
      </c>
      <c r="F8" s="2162" t="inlineStr">
        <is>
          <t>Aço</t>
        </is>
      </c>
      <c r="G8" s="2162" t="inlineStr">
        <is>
          <t>Barra de Aço CA50 / CA60</t>
        </is>
      </c>
      <c r="H8" s="2162" t="n"/>
      <c r="I8" s="4" t="inlineStr">
        <is>
          <t>Armadura</t>
        </is>
      </c>
    </row>
    <row r="9">
      <c r="A9" s="10">
        <f>COUNTIFS($B$2:$B$996,B9)</f>
        <v/>
      </c>
      <c r="B9" s="10" t="inlineStr">
        <is>
          <t>CORTE E DOBRA ARMADO ESTACA Ø60CM 5F 20,0 4MTS ESP75 PS20</t>
        </is>
      </c>
      <c r="C9" s="11" t="inlineStr">
        <is>
          <t>KG</t>
        </is>
      </c>
      <c r="D9" s="2162">
        <f>E9*$D$1</f>
        <v/>
      </c>
      <c r="E9" s="2162" t="n">
        <v>466.337</v>
      </c>
      <c r="F9" s="2162" t="inlineStr">
        <is>
          <t>Aço</t>
        </is>
      </c>
      <c r="G9" s="2162" t="inlineStr">
        <is>
          <t>Barra de Aço CA50 / CA60</t>
        </is>
      </c>
      <c r="H9" s="2162" t="n"/>
      <c r="I9" s="4" t="inlineStr">
        <is>
          <t>Armadura</t>
        </is>
      </c>
    </row>
    <row r="10">
      <c r="A10" s="10">
        <f>COUNTIFS($B$2:$B$996,B10)</f>
        <v/>
      </c>
      <c r="B10" s="10" t="inlineStr">
        <is>
          <t>CORTE E DOBRA ARMADO ESTACA Ø60CM 7F 20,0 6MTS ESP75 PS20</t>
        </is>
      </c>
      <c r="C10" s="11" t="inlineStr">
        <is>
          <t>KG</t>
        </is>
      </c>
      <c r="D10" s="2162">
        <f>E10*$D$1</f>
        <v/>
      </c>
      <c r="E10" s="2162" t="n">
        <v>937.639</v>
      </c>
      <c r="F10" s="2162" t="inlineStr">
        <is>
          <t>Aço</t>
        </is>
      </c>
      <c r="G10" s="2162" t="inlineStr">
        <is>
          <t>Barra de Aço CA50 / CA60</t>
        </is>
      </c>
      <c r="H10" s="2162" t="n"/>
      <c r="I10" s="4" t="inlineStr">
        <is>
          <t>Armadura</t>
        </is>
      </c>
    </row>
    <row r="11">
      <c r="A11" s="10">
        <f>COUNTIFS($B$2:$B$996,B11)</f>
        <v/>
      </c>
      <c r="B11" s="10" t="inlineStr">
        <is>
          <t>CORTE E DOBRA ARMADO ESTACA Ø60CM 9F 20,0 8MTS ESP75 PS20</t>
        </is>
      </c>
      <c r="C11" s="11" t="inlineStr">
        <is>
          <t>KG</t>
        </is>
      </c>
      <c r="D11" s="2162">
        <f>E11*$D$1</f>
        <v/>
      </c>
      <c r="E11" s="2162" t="n">
        <v>1609.666</v>
      </c>
      <c r="F11" s="2162" t="inlineStr">
        <is>
          <t>Aço</t>
        </is>
      </c>
      <c r="G11" s="2162" t="inlineStr">
        <is>
          <t>Barra de Aço CA50 / CA60</t>
        </is>
      </c>
      <c r="H11" s="2162" t="n"/>
      <c r="I11" s="4" t="inlineStr">
        <is>
          <t>Armadura</t>
        </is>
      </c>
    </row>
    <row r="12">
      <c r="A12" s="10">
        <f>COUNTIFS($B$2:$B$996,B12)</f>
        <v/>
      </c>
      <c r="B12" s="10" t="inlineStr">
        <is>
          <t>Aço CA50 10,0 mm</t>
        </is>
      </c>
      <c r="C12" s="11" t="inlineStr">
        <is>
          <t>KG</t>
        </is>
      </c>
      <c r="D12" s="2162">
        <f>E12*$D$1</f>
        <v/>
      </c>
      <c r="E12" s="2176" t="n">
        <v>4.80068429029114</v>
      </c>
      <c r="F12" s="2162" t="inlineStr">
        <is>
          <t>Aço</t>
        </is>
      </c>
      <c r="G12" s="2162" t="inlineStr">
        <is>
          <t>Barra de Aço CA50 / CA60</t>
        </is>
      </c>
      <c r="H12" s="2176" t="inlineStr">
        <is>
          <t>Scaini ferro e Aço</t>
        </is>
      </c>
      <c r="I12" s="4" t="inlineStr">
        <is>
          <t>Armadura</t>
        </is>
      </c>
    </row>
    <row r="13">
      <c r="A13" s="10">
        <f>COUNTIFS($B$2:$B$996,B13)</f>
        <v/>
      </c>
      <c r="B13" s="10" t="inlineStr">
        <is>
          <t>Aço CA50 12,5 mm</t>
        </is>
      </c>
      <c r="C13" s="11" t="inlineStr">
        <is>
          <t>KG</t>
        </is>
      </c>
      <c r="D13" s="2162">
        <f>E13*$D$1</f>
        <v/>
      </c>
      <c r="E13" s="2176" t="n">
        <v>5.05308553133521</v>
      </c>
      <c r="F13" s="2162" t="inlineStr">
        <is>
          <t>Aço</t>
        </is>
      </c>
      <c r="G13" s="2162" t="inlineStr">
        <is>
          <t>Barra de Aço CA50 / CA60</t>
        </is>
      </c>
      <c r="H13" s="2176" t="inlineStr">
        <is>
          <t>Scaini ferro e Aço</t>
        </is>
      </c>
      <c r="I13" s="4" t="inlineStr">
        <is>
          <t>Armadura</t>
        </is>
      </c>
    </row>
    <row r="14">
      <c r="A14" s="10">
        <f>COUNTIFS($B$2:$B$996,B14)</f>
        <v/>
      </c>
      <c r="B14" s="10" t="inlineStr">
        <is>
          <t>Aço CA50 16,0mm</t>
        </is>
      </c>
      <c r="C14" s="11" t="inlineStr">
        <is>
          <t>KG</t>
        </is>
      </c>
      <c r="D14" s="2162">
        <f>E14*$D$1</f>
        <v/>
      </c>
      <c r="E14" s="2176" t="n">
        <v>4.940560408543803</v>
      </c>
      <c r="F14" s="2162" t="inlineStr">
        <is>
          <t>Aço</t>
        </is>
      </c>
      <c r="G14" s="2162" t="inlineStr">
        <is>
          <t>Barra de Aço CA50 / CA60</t>
        </is>
      </c>
      <c r="H14" s="2176" t="inlineStr">
        <is>
          <t>Scaini ferro e Aço</t>
        </is>
      </c>
      <c r="I14" s="4" t="inlineStr">
        <is>
          <t>Armadura</t>
        </is>
      </c>
    </row>
    <row r="15">
      <c r="A15" s="10">
        <f>COUNTIFS($B$2:$B$996,B15)</f>
        <v/>
      </c>
      <c r="B15" s="10" t="inlineStr">
        <is>
          <t>Aço CA50 20,0mm</t>
        </is>
      </c>
      <c r="C15" s="11" t="inlineStr">
        <is>
          <t>KG</t>
        </is>
      </c>
      <c r="D15" s="2162">
        <f>E15*$D$1</f>
        <v/>
      </c>
      <c r="E15" s="2176" t="n">
        <v>5.034435340183336</v>
      </c>
      <c r="F15" s="2162" t="inlineStr">
        <is>
          <t>Aço</t>
        </is>
      </c>
      <c r="G15" s="2162" t="inlineStr">
        <is>
          <t>Barra de Aço CA50 / CA60</t>
        </is>
      </c>
      <c r="H15" s="2176" t="inlineStr">
        <is>
          <t>Scaini ferro e Aço</t>
        </is>
      </c>
      <c r="I15" s="4" t="inlineStr">
        <is>
          <t>Armadura</t>
        </is>
      </c>
    </row>
    <row r="16">
      <c r="A16" s="10">
        <f>COUNTIFS($B$2:$B$996,B16)</f>
        <v/>
      </c>
      <c r="B16" s="10" t="inlineStr">
        <is>
          <t>Aço CA50 25,0mm</t>
        </is>
      </c>
      <c r="C16" s="11" t="inlineStr">
        <is>
          <t>KG</t>
        </is>
      </c>
      <c r="D16" s="2162">
        <f>E16*$D$1</f>
        <v/>
      </c>
      <c r="E16" s="2176" t="n">
        <v>5.1608662250804</v>
      </c>
      <c r="F16" s="2162" t="inlineStr">
        <is>
          <t>Aço</t>
        </is>
      </c>
      <c r="G16" s="2162" t="inlineStr">
        <is>
          <t>Barra de Aço CA50 / CA60</t>
        </is>
      </c>
      <c r="H16" s="2176" t="inlineStr">
        <is>
          <t>Scaini ferro e Aço</t>
        </is>
      </c>
      <c r="I16" s="4" t="inlineStr">
        <is>
          <t>Armadura</t>
        </is>
      </c>
    </row>
    <row r="17">
      <c r="A17" s="10">
        <f>COUNTIFS($B$2:$B$996,B17)</f>
        <v/>
      </c>
      <c r="B17" s="10" t="inlineStr">
        <is>
          <t>Aço CA50 6,3 mm</t>
        </is>
      </c>
      <c r="C17" s="11" t="inlineStr">
        <is>
          <t>KG</t>
        </is>
      </c>
      <c r="D17" s="2162">
        <f>E17*$D$1</f>
        <v/>
      </c>
      <c r="E17" s="2176" t="n">
        <v>5.259474903450634</v>
      </c>
      <c r="F17" s="2162" t="inlineStr">
        <is>
          <t>Aço</t>
        </is>
      </c>
      <c r="G17" s="2162" t="inlineStr">
        <is>
          <t>Barra de Aço CA50 / CA60</t>
        </is>
      </c>
      <c r="H17" s="2176" t="inlineStr">
        <is>
          <t>Scaini ferro e Aço</t>
        </is>
      </c>
      <c r="I17" s="4" t="inlineStr">
        <is>
          <t>Armadura</t>
        </is>
      </c>
    </row>
    <row r="18">
      <c r="A18" s="10">
        <f>COUNTIFS($B$2:$B$996,B18)</f>
        <v/>
      </c>
      <c r="B18" s="10" t="inlineStr">
        <is>
          <t>Aço CA50 8,0 mm</t>
        </is>
      </c>
      <c r="C18" s="11" t="inlineStr">
        <is>
          <t>KG</t>
        </is>
      </c>
      <c r="D18" s="2162">
        <f>E18*$D$1</f>
        <v/>
      </c>
      <c r="E18" s="2176" t="n">
        <v>4.924856962640561</v>
      </c>
      <c r="F18" s="2162" t="inlineStr">
        <is>
          <t>Aço</t>
        </is>
      </c>
      <c r="G18" s="2162" t="inlineStr">
        <is>
          <t>Barra de Aço CA50 / CA60</t>
        </is>
      </c>
      <c r="H18" s="2176" t="inlineStr">
        <is>
          <t>Scaini ferro e Aço</t>
        </is>
      </c>
      <c r="I18" s="4" t="inlineStr">
        <is>
          <t>Armadura</t>
        </is>
      </c>
    </row>
    <row r="19">
      <c r="A19" s="10">
        <f>COUNTIFS($B$2:$B$996,B19)</f>
        <v/>
      </c>
      <c r="B19" s="10" t="inlineStr">
        <is>
          <t>Aço CA60 5,0mm</t>
        </is>
      </c>
      <c r="C19" s="11" t="inlineStr">
        <is>
          <t>KG</t>
        </is>
      </c>
      <c r="D19" s="2162">
        <f>E19*$D$1</f>
        <v/>
      </c>
      <c r="E19" s="2176" t="n">
        <v>6.144619659016729</v>
      </c>
      <c r="F19" s="2162" t="inlineStr">
        <is>
          <t>Aço</t>
        </is>
      </c>
      <c r="G19" s="2162" t="inlineStr">
        <is>
          <t>Barra de Aço CA50 / CA60</t>
        </is>
      </c>
      <c r="H19" s="2176" t="inlineStr">
        <is>
          <t>Scaini ferro e Aço</t>
        </is>
      </c>
      <c r="I19" s="4" t="inlineStr">
        <is>
          <t>Armadura</t>
        </is>
      </c>
    </row>
    <row r="20">
      <c r="A20" s="10">
        <f>COUNTIFS($B$2:$B$996,B20)</f>
        <v/>
      </c>
      <c r="B20" s="10" t="inlineStr">
        <is>
          <t>Aço CA60 32,0mm</t>
        </is>
      </c>
      <c r="C20" s="11" t="inlineStr">
        <is>
          <t>KG</t>
        </is>
      </c>
      <c r="D20" s="2162">
        <f>E20*$D$1</f>
        <v/>
      </c>
      <c r="E20" s="2162" t="n">
        <v>6.22</v>
      </c>
      <c r="F20" s="2162" t="inlineStr">
        <is>
          <t>Aço</t>
        </is>
      </c>
      <c r="G20" s="2162" t="inlineStr">
        <is>
          <t>Barra de Aço CA50 / CA60</t>
        </is>
      </c>
      <c r="H20" s="2162" t="n"/>
      <c r="I20" s="4" t="inlineStr">
        <is>
          <t>Armadura</t>
        </is>
      </c>
    </row>
    <row r="21">
      <c r="A21" s="10">
        <f>COUNTIFS($B$2:$B$876,B21)</f>
        <v/>
      </c>
      <c r="B21" s="10" t="inlineStr">
        <is>
          <t>Aço CA50 5,0 mm Corte e Dobra em Indústria</t>
        </is>
      </c>
      <c r="C21" s="11" t="inlineStr">
        <is>
          <t>UN</t>
        </is>
      </c>
      <c r="D21" s="2162">
        <f>E21*$D$1</f>
        <v/>
      </c>
      <c r="E21" s="2176" t="n">
        <v>8.67</v>
      </c>
      <c r="F21" s="2162" t="inlineStr">
        <is>
          <t>Aço</t>
        </is>
      </c>
      <c r="G21" s="2162" t="inlineStr">
        <is>
          <t>Barra de Aço CA50 / CA60</t>
        </is>
      </c>
      <c r="H21" s="2176" t="inlineStr">
        <is>
          <t>Proposta Gessele</t>
        </is>
      </c>
      <c r="I21" s="4" t="inlineStr">
        <is>
          <t>Armadura</t>
        </is>
      </c>
    </row>
    <row r="22">
      <c r="A22" s="10">
        <f>COUNTIFS($B$2:$B$876,B22)</f>
        <v/>
      </c>
      <c r="B22" s="10" t="inlineStr">
        <is>
          <t>Aço CA50 6,3 mm Corte e Dobra em Indústria</t>
        </is>
      </c>
      <c r="C22" s="11" t="inlineStr">
        <is>
          <t>UN</t>
        </is>
      </c>
      <c r="D22" s="2162">
        <f>E22*$D$1</f>
        <v/>
      </c>
      <c r="E22" s="2176" t="n">
        <v>8.67</v>
      </c>
      <c r="F22" s="2162" t="inlineStr">
        <is>
          <t>Aço</t>
        </is>
      </c>
      <c r="G22" s="2162" t="inlineStr">
        <is>
          <t>Barra de Aço CA50 / CA60</t>
        </is>
      </c>
      <c r="H22" s="2176" t="inlineStr">
        <is>
          <t>Proposta Gessele</t>
        </is>
      </c>
      <c r="I22" s="4" t="inlineStr">
        <is>
          <t>Armadura</t>
        </is>
      </c>
    </row>
    <row r="23">
      <c r="A23" s="10">
        <f>COUNTIFS($B$2:$B$876,B23)</f>
        <v/>
      </c>
      <c r="B23" s="10" t="inlineStr">
        <is>
          <t>Aço CA50 8,0 mm Corte e Dobra em Indústria</t>
        </is>
      </c>
      <c r="C23" s="11" t="inlineStr">
        <is>
          <t>UN</t>
        </is>
      </c>
      <c r="D23" s="2162">
        <f>E23*$D$1</f>
        <v/>
      </c>
      <c r="E23" s="2176" t="n">
        <v>8.67</v>
      </c>
      <c r="F23" s="2162" t="inlineStr">
        <is>
          <t>Aço</t>
        </is>
      </c>
      <c r="G23" s="2162" t="inlineStr">
        <is>
          <t>Barra de Aço CA50 / CA60</t>
        </is>
      </c>
      <c r="H23" s="2176" t="inlineStr">
        <is>
          <t>Proposta Gessele</t>
        </is>
      </c>
      <c r="I23" s="4" t="inlineStr">
        <is>
          <t>Armadura</t>
        </is>
      </c>
    </row>
    <row r="24">
      <c r="A24" s="10">
        <f>COUNTIFS($B$2:$B$876,B24)</f>
        <v/>
      </c>
      <c r="B24" s="10" t="inlineStr">
        <is>
          <t>Aço CA50 10,0 mm Corte e Dobra em Indústria</t>
        </is>
      </c>
      <c r="C24" s="11" t="inlineStr">
        <is>
          <t>UN</t>
        </is>
      </c>
      <c r="D24" s="2162">
        <f>E24*$D$1</f>
        <v/>
      </c>
      <c r="E24" s="2176" t="n">
        <v>8.67</v>
      </c>
      <c r="F24" s="2162" t="inlineStr">
        <is>
          <t>Aço</t>
        </is>
      </c>
      <c r="G24" s="2162" t="inlineStr">
        <is>
          <t>Barra de Aço CA50 / CA60</t>
        </is>
      </c>
      <c r="H24" s="2176" t="inlineStr">
        <is>
          <t>Proposta Gessele</t>
        </is>
      </c>
      <c r="I24" s="4" t="inlineStr">
        <is>
          <t>Armadura</t>
        </is>
      </c>
    </row>
    <row r="25">
      <c r="A25" s="10">
        <f>COUNTIFS($B$2:$B$876,B25)</f>
        <v/>
      </c>
      <c r="B25" s="10" t="inlineStr">
        <is>
          <t>Aço CA50 12,5 mm Corte e Dobra em Indústria</t>
        </is>
      </c>
      <c r="C25" s="11" t="inlineStr">
        <is>
          <t>UN</t>
        </is>
      </c>
      <c r="D25" s="2162">
        <f>E25*$D$1</f>
        <v/>
      </c>
      <c r="E25" s="2176" t="n">
        <v>8.19</v>
      </c>
      <c r="F25" s="2162" t="inlineStr">
        <is>
          <t>Aço</t>
        </is>
      </c>
      <c r="G25" s="2162" t="inlineStr">
        <is>
          <t>Barra de Aço CA50 / CA60</t>
        </is>
      </c>
      <c r="H25" s="2176" t="inlineStr">
        <is>
          <t>Proposta Gessele</t>
        </is>
      </c>
      <c r="I25" s="4" t="inlineStr">
        <is>
          <t>Armadura</t>
        </is>
      </c>
    </row>
    <row r="26" ht="14.25" customHeight="1">
      <c r="A26" s="10">
        <f>COUNTIFS($B$2:$B$876,B26)</f>
        <v/>
      </c>
      <c r="B26" s="10" t="inlineStr">
        <is>
          <t>Aço CA50 16,0 mm Corte e Dobra em Indústria</t>
        </is>
      </c>
      <c r="C26" s="11" t="inlineStr">
        <is>
          <t>UN</t>
        </is>
      </c>
      <c r="D26" s="2162">
        <f>E26*$D$1</f>
        <v/>
      </c>
      <c r="E26" s="2176" t="n">
        <v>8.19</v>
      </c>
      <c r="F26" s="2162" t="inlineStr">
        <is>
          <t>Aço</t>
        </is>
      </c>
      <c r="G26" s="2162" t="inlineStr">
        <is>
          <t>Barra de Aço CA50 / CA60</t>
        </is>
      </c>
      <c r="H26" s="2176" t="inlineStr">
        <is>
          <t>Proposta Gessele</t>
        </is>
      </c>
      <c r="I26" s="4" t="inlineStr">
        <is>
          <t>Armadura</t>
        </is>
      </c>
    </row>
    <row r="27" ht="14.25" customHeight="1">
      <c r="A27" s="10">
        <f>COUNTIFS($B$2:$B$876,B27)</f>
        <v/>
      </c>
      <c r="B27" s="10" t="inlineStr">
        <is>
          <t>Aço CA50 20,0 mm Corte e Dobra em Indústria</t>
        </is>
      </c>
      <c r="C27" s="11" t="inlineStr">
        <is>
          <t>UN</t>
        </is>
      </c>
      <c r="D27" s="2162">
        <f>E27*$D$1</f>
        <v/>
      </c>
      <c r="E27" s="2176" t="n">
        <v>8.19</v>
      </c>
      <c r="F27" s="2162" t="inlineStr">
        <is>
          <t>Aço</t>
        </is>
      </c>
      <c r="G27" s="2162" t="inlineStr">
        <is>
          <t>Barra de Aço CA50 / CA60</t>
        </is>
      </c>
      <c r="H27" s="2176" t="inlineStr">
        <is>
          <t>Proposta Gessele</t>
        </is>
      </c>
      <c r="I27" s="4" t="inlineStr">
        <is>
          <t>Armadura</t>
        </is>
      </c>
    </row>
    <row r="28">
      <c r="A28" s="10">
        <f>COUNTIFS($B$2:$B$876,B28)</f>
        <v/>
      </c>
      <c r="B28" s="10" t="inlineStr">
        <is>
          <t>Aço CA50 25,0mm Corte e Dobra em Indústria</t>
        </is>
      </c>
      <c r="C28" s="11" t="inlineStr">
        <is>
          <t>UN</t>
        </is>
      </c>
      <c r="D28" s="2162">
        <f>E28*$D$1</f>
        <v/>
      </c>
      <c r="E28" s="2176" t="n">
        <v>8.19</v>
      </c>
      <c r="F28" s="2162" t="inlineStr">
        <is>
          <t>Aço</t>
        </is>
      </c>
      <c r="G28" s="2162" t="inlineStr">
        <is>
          <t>Barra de Aço CA50 / CA60</t>
        </is>
      </c>
      <c r="H28" s="2176" t="inlineStr">
        <is>
          <t>Proposta Gessele</t>
        </is>
      </c>
      <c r="I28" s="4" t="inlineStr">
        <is>
          <t>Armadura</t>
        </is>
      </c>
    </row>
    <row r="29">
      <c r="A29" s="10">
        <f>COUNTIFS($B$2:$B$876,B29)</f>
        <v/>
      </c>
      <c r="B29" s="10" t="inlineStr">
        <is>
          <t>Aço CA50 32,0mm Corte e Dobra em Indústria</t>
        </is>
      </c>
      <c r="C29" s="11" t="inlineStr">
        <is>
          <t>UN</t>
        </is>
      </c>
      <c r="D29" s="2162">
        <f>E29*$D$1</f>
        <v/>
      </c>
      <c r="E29" s="2176">
        <f>(E21*E20)/E19</f>
        <v/>
      </c>
      <c r="F29" s="2162" t="inlineStr">
        <is>
          <t>Aço</t>
        </is>
      </c>
      <c r="G29" s="2162" t="inlineStr">
        <is>
          <t>Barra de Aço CA50 / CA60</t>
        </is>
      </c>
      <c r="H29" s="2162" t="n"/>
      <c r="I29" s="4" t="inlineStr">
        <is>
          <t>Armadura</t>
        </is>
      </c>
    </row>
    <row r="30">
      <c r="A30" s="10">
        <f>COUNTIFS($B$2:$B$996,B30)</f>
        <v/>
      </c>
      <c r="B30" s="10" t="inlineStr">
        <is>
          <t>Sistema e Instalação de Fachada Ventilada. Mecanização das peças, arremate das esquadrias e Fretes</t>
        </is>
      </c>
      <c r="C30" s="11" t="inlineStr">
        <is>
          <t>UN</t>
        </is>
      </c>
      <c r="D30" s="2162">
        <f>E30*$D$1</f>
        <v/>
      </c>
      <c r="E30" s="2162">
        <f>305</f>
        <v/>
      </c>
      <c r="F30" s="2162" t="inlineStr">
        <is>
          <t>Aço</t>
        </is>
      </c>
      <c r="G30" s="2162" t="inlineStr">
        <is>
          <t>Diversos</t>
        </is>
      </c>
      <c r="H30" s="2162" t="n"/>
      <c r="I30" s="4" t="inlineStr">
        <is>
          <t>Armadura</t>
        </is>
      </c>
    </row>
    <row r="31">
      <c r="A31" s="10">
        <f>COUNTIFS($B$2:$B$996,B31)</f>
        <v/>
      </c>
      <c r="B31" s="10" t="inlineStr">
        <is>
          <t>ESPACADOR / DISTANCIADOR CIRCULAR COM ENTRADA LATERAL, EM PLASTICO, PARA VERGALHAO *4,2 A 12,5* MM, COBRIMENTO 40 MM</t>
        </is>
      </c>
      <c r="C31" s="11" t="inlineStr">
        <is>
          <t>M2</t>
        </is>
      </c>
      <c r="D31" s="2162">
        <f>E31*$D$1</f>
        <v/>
      </c>
      <c r="E31" s="2162" t="n">
        <v>0.43</v>
      </c>
      <c r="F31" s="2162" t="inlineStr">
        <is>
          <t>Aço</t>
        </is>
      </c>
      <c r="G31" s="2162" t="inlineStr">
        <is>
          <t>Diversos</t>
        </is>
      </c>
      <c r="H31" s="2162" t="n"/>
      <c r="I31" s="4" t="inlineStr">
        <is>
          <t>Armadura</t>
        </is>
      </c>
    </row>
    <row r="32" ht="15.75" customHeight="1">
      <c r="A32" s="10">
        <f>COUNTIFS($B$2:$B$996,B32)</f>
        <v/>
      </c>
      <c r="B32" s="10" t="inlineStr">
        <is>
          <t>TELA ACO CARBONO CA60 M.150X150MM F.03,4MM 245X600CM Q61 (14,26KG/UN)</t>
        </is>
      </c>
      <c r="C32" s="11" t="inlineStr">
        <is>
          <t>KG</t>
        </is>
      </c>
      <c r="D32" s="2162">
        <f>E32*$D$1</f>
        <v/>
      </c>
      <c r="E32" s="2162" t="n">
        <v>6.1</v>
      </c>
      <c r="F32" s="2162" t="inlineStr">
        <is>
          <t>Aço</t>
        </is>
      </c>
      <c r="G32" s="2162" t="inlineStr">
        <is>
          <t>Tela de Aço CA60</t>
        </is>
      </c>
      <c r="H32" s="2162" t="n"/>
      <c r="I32" s="4" t="inlineStr">
        <is>
          <t>Armadura</t>
        </is>
      </c>
    </row>
    <row r="33" ht="15.75" customHeight="1">
      <c r="A33" s="10">
        <f>COUNTIFS($B$2:$B$996,B33)</f>
        <v/>
      </c>
      <c r="B33" s="10" t="inlineStr">
        <is>
          <t>TELA ACO CARBONO CA60 M.150X150MM F.04,2MM 245X600CM Q92 (21,8KG/UN)</t>
        </is>
      </c>
      <c r="C33" s="11" t="inlineStr">
        <is>
          <t>KG</t>
        </is>
      </c>
      <c r="D33" s="2162">
        <f>E33*$D$1</f>
        <v/>
      </c>
      <c r="E33" s="2162" t="n">
        <v>4.88</v>
      </c>
      <c r="F33" s="2162" t="inlineStr">
        <is>
          <t>Aço</t>
        </is>
      </c>
      <c r="G33" s="2162" t="inlineStr">
        <is>
          <t>Tela de Aço CA60</t>
        </is>
      </c>
      <c r="H33" s="2162" t="n"/>
      <c r="I33" s="4" t="inlineStr">
        <is>
          <t>Armadura</t>
        </is>
      </c>
    </row>
    <row r="34" ht="14.25" customHeight="1">
      <c r="A34" s="10">
        <f>COUNTIFS($B$2:$B$996,B34)</f>
        <v/>
      </c>
      <c r="B34" s="82" t="inlineStr">
        <is>
          <t>TELA ACO CARBONO CA60 M.100X100MM F.04,2MM 245X600CM Q113 (26,46KG/UN)</t>
        </is>
      </c>
      <c r="C34" s="83" t="inlineStr">
        <is>
          <t>KG</t>
        </is>
      </c>
      <c r="D34" s="2165">
        <f>E34*$D$1</f>
        <v/>
      </c>
      <c r="E34" s="2165">
        <f>225.89/26.46</f>
        <v/>
      </c>
      <c r="F34" s="2165" t="inlineStr">
        <is>
          <t>Aço</t>
        </is>
      </c>
      <c r="G34" s="2165" t="inlineStr">
        <is>
          <t>Tela de Aço CA60</t>
        </is>
      </c>
      <c r="H34" s="2165" t="n"/>
      <c r="I34" s="85" t="inlineStr">
        <is>
          <t>Armadura</t>
        </is>
      </c>
    </row>
    <row r="35" ht="15.75" customHeight="1">
      <c r="A35" s="10">
        <f>COUNTIFS($B$2:$B$996,B35)</f>
        <v/>
      </c>
      <c r="B35" s="10" t="inlineStr">
        <is>
          <t>TELA ACO CARBONO CA60 M.100X100MM F.04,2MM 245X600CM Q138 (32,34KG/UN)</t>
        </is>
      </c>
      <c r="C35" s="11" t="inlineStr">
        <is>
          <t>KG</t>
        </is>
      </c>
      <c r="D35" s="2162">
        <f>E35*$D$1</f>
        <v/>
      </c>
      <c r="E35" s="2162" t="n">
        <v>9.144712430426715</v>
      </c>
      <c r="F35" s="2162" t="inlineStr">
        <is>
          <t>Aço</t>
        </is>
      </c>
      <c r="G35" s="2162" t="inlineStr">
        <is>
          <t>Tela de Aço CA60</t>
        </is>
      </c>
      <c r="H35" s="2162" t="n"/>
      <c r="I35" s="4" t="inlineStr">
        <is>
          <t>Armadura</t>
        </is>
      </c>
    </row>
    <row r="36" ht="15.75" customHeight="1">
      <c r="A36" s="10">
        <f>COUNTIFS($B$2:$B$996,B36)</f>
        <v/>
      </c>
      <c r="B36" s="10" t="inlineStr">
        <is>
          <t>TELA DE ACO SOLDADA GALVANIZADA/ZINCADA PARA ALVENARIA, FIO D = *1,20 A 1,70* MM, MALHA 15 X 15 MM, (C X L) *50 X 17,5* CM</t>
        </is>
      </c>
      <c r="C36" s="11" t="inlineStr">
        <is>
          <t>UN</t>
        </is>
      </c>
      <c r="D36" s="2162">
        <f>E36*$D$1</f>
        <v/>
      </c>
      <c r="E36" s="2162" t="n">
        <v>2.5</v>
      </c>
      <c r="F36" s="2162" t="inlineStr">
        <is>
          <t>Aço</t>
        </is>
      </c>
      <c r="G36" s="2162" t="inlineStr">
        <is>
          <t>Tela de Aço Carbono</t>
        </is>
      </c>
      <c r="H36" s="2162" t="n"/>
      <c r="I36" s="4" t="inlineStr">
        <is>
          <t>Armadura</t>
        </is>
      </c>
    </row>
    <row r="37" ht="15.75" customHeight="1">
      <c r="A37" s="10">
        <f>COUNTIFS($B$2:$B$996,B37)</f>
        <v/>
      </c>
      <c r="B37" s="10" t="inlineStr">
        <is>
          <t>Tela de arame galvanizada, hexagonal, fio 0,56 mm (24 bwg), malha 1/2", h = 1 m</t>
        </is>
      </c>
      <c r="C37" s="11" t="inlineStr">
        <is>
          <t>M2</t>
        </is>
      </c>
      <c r="D37" s="2162">
        <f>E37*$D$1</f>
        <v/>
      </c>
      <c r="E37" s="2162" t="n">
        <v>14.27</v>
      </c>
      <c r="F37" s="2162" t="inlineStr">
        <is>
          <t>Aço</t>
        </is>
      </c>
      <c r="G37" s="2162" t="inlineStr">
        <is>
          <t>Tela de Aço Carbono</t>
        </is>
      </c>
      <c r="H37" s="2162" t="n"/>
      <c r="I37" s="4" t="inlineStr">
        <is>
          <t>Armadura</t>
        </is>
      </c>
    </row>
    <row r="38" ht="15.75" customHeight="1">
      <c r="A38" s="10">
        <f>COUNTIFS($B$2:$B$996,B38)</f>
        <v/>
      </c>
      <c r="B38" s="10" t="inlineStr">
        <is>
          <t>TIJOLO REFRATÁRIO 5 X 11,5 X 23 CM</t>
        </is>
      </c>
      <c r="C38" s="11" t="inlineStr">
        <is>
          <t>UN</t>
        </is>
      </c>
      <c r="D38" s="2162">
        <f>E38*$D$1</f>
        <v/>
      </c>
      <c r="E38" s="2162" t="n">
        <v>7</v>
      </c>
      <c r="F38" s="2162" t="inlineStr">
        <is>
          <t>Alvenaria</t>
        </is>
      </c>
      <c r="G38" s="2162" t="inlineStr">
        <is>
          <t>Alvenaria Refratária</t>
        </is>
      </c>
      <c r="H38" s="2162" t="n"/>
      <c r="I38" s="4" t="inlineStr">
        <is>
          <t>Pintura</t>
        </is>
      </c>
    </row>
    <row r="39" ht="15.75" customHeight="1">
      <c r="A39" s="10">
        <f>COUNTIFS($B$2:$B$996,B39)</f>
        <v/>
      </c>
      <c r="B39" s="10" t="inlineStr">
        <is>
          <t>TIJOLO REFRATÁRIO 2,5 X 11,5 X 23 CM</t>
        </is>
      </c>
      <c r="C39" s="11" t="inlineStr">
        <is>
          <t>UN</t>
        </is>
      </c>
      <c r="D39" s="2162">
        <f>E39*$D$1</f>
        <v/>
      </c>
      <c r="E39" s="2162" t="n">
        <v>5.95</v>
      </c>
      <c r="F39" s="2162" t="inlineStr">
        <is>
          <t>Alvenaria</t>
        </is>
      </c>
      <c r="G39" s="2162" t="inlineStr">
        <is>
          <t>Alvenaria Refratária</t>
        </is>
      </c>
      <c r="H39" s="2162" t="n"/>
      <c r="I39" s="4" t="inlineStr">
        <is>
          <t>Pintura</t>
        </is>
      </c>
    </row>
    <row r="40" ht="15.75" customHeight="1">
      <c r="A40" s="10">
        <f>COUNTIFS($B$2:$B$996,B40)</f>
        <v/>
      </c>
      <c r="B40" s="10" t="inlineStr">
        <is>
          <t>BLOCO CONCRETO ESTRUTURAL 03MPA 14X19X39CM NBR 6136</t>
        </is>
      </c>
      <c r="C40" s="11" t="inlineStr">
        <is>
          <t>UN</t>
        </is>
      </c>
      <c r="D40" s="2162">
        <f>E40*$D$1</f>
        <v/>
      </c>
      <c r="E40" s="2162" t="n">
        <v>2.95</v>
      </c>
      <c r="F40" s="2162" t="inlineStr">
        <is>
          <t>Alvenaria</t>
        </is>
      </c>
      <c r="G40" s="2162" t="inlineStr">
        <is>
          <t>Alvenaria Estrutural</t>
        </is>
      </c>
      <c r="H40" s="2162" t="n"/>
      <c r="I40" s="4" t="inlineStr">
        <is>
          <t>Elementos de Vedação (Cerâmica)</t>
        </is>
      </c>
    </row>
    <row r="41" ht="15.75" customHeight="1">
      <c r="A41" s="10">
        <f>COUNTIFS($B$2:$B$996,B41)</f>
        <v/>
      </c>
      <c r="B41" s="10" t="inlineStr">
        <is>
          <t>BLOCO CONCRETO ESTRUTURAL 04MPA 14X19X04CM NBR 6136</t>
        </is>
      </c>
      <c r="C41" s="11" t="inlineStr">
        <is>
          <t>UN</t>
        </is>
      </c>
      <c r="D41" s="2162">
        <f>E41*$D$1</f>
        <v/>
      </c>
      <c r="E41" s="2162" t="n">
        <v>4.186153846153847</v>
      </c>
      <c r="F41" s="2162" t="inlineStr">
        <is>
          <t>Alvenaria</t>
        </is>
      </c>
      <c r="G41" s="2162" t="inlineStr">
        <is>
          <t>Alvenaria Estrutural</t>
        </is>
      </c>
      <c r="H41" s="2162" t="n"/>
      <c r="I41" s="4" t="inlineStr">
        <is>
          <t>Elementos de Vedação (Cerâmica)</t>
        </is>
      </c>
    </row>
    <row r="42" ht="15.75" customHeight="1">
      <c r="A42" s="10">
        <f>COUNTIFS($B$2:$B$996,B42)</f>
        <v/>
      </c>
      <c r="B42" s="10" t="inlineStr">
        <is>
          <t>BLOCO CONCRETO ESTRUTURAL 04MPA 14X19X09CM NBR 6136</t>
        </is>
      </c>
      <c r="C42" s="11" t="inlineStr">
        <is>
          <t>UN</t>
        </is>
      </c>
      <c r="D42" s="2162">
        <f>E42*$D$1</f>
        <v/>
      </c>
      <c r="E42" s="2162" t="n">
        <v>3.988974358974359</v>
      </c>
      <c r="F42" s="2162" t="inlineStr">
        <is>
          <t>Alvenaria</t>
        </is>
      </c>
      <c r="G42" s="2162" t="inlineStr">
        <is>
          <t>Alvenaria Estrutural</t>
        </is>
      </c>
      <c r="H42" s="2162" t="n"/>
      <c r="I42" s="4" t="inlineStr">
        <is>
          <t>Elementos de Vedação (Cerâmica)</t>
        </is>
      </c>
    </row>
    <row r="43" ht="15.75" customHeight="1">
      <c r="A43" s="10">
        <f>COUNTIFS($B$2:$B$996,B43)</f>
        <v/>
      </c>
      <c r="B43" s="10" t="inlineStr">
        <is>
          <t>BLOCO CONCRETO ESTRUTURAL 04MPA 14X19X14CM NBR 6136</t>
        </is>
      </c>
      <c r="C43" s="11" t="inlineStr">
        <is>
          <t>UN</t>
        </is>
      </c>
      <c r="D43" s="2162">
        <f>E43*$D$1</f>
        <v/>
      </c>
      <c r="E43" s="2162" t="n">
        <v>1.376</v>
      </c>
      <c r="F43" s="2162" t="inlineStr">
        <is>
          <t>Alvenaria</t>
        </is>
      </c>
      <c r="G43" s="2162" t="inlineStr">
        <is>
          <t>Alvenaria Estrutural</t>
        </is>
      </c>
      <c r="H43" s="2162" t="n"/>
      <c r="I43" s="4" t="inlineStr">
        <is>
          <t>Elementos de Vedação (Cerâmica)</t>
        </is>
      </c>
    </row>
    <row r="44" ht="15.75" customHeight="1">
      <c r="A44" s="10">
        <f>COUNTIFS($B$2:$B$996,B44)</f>
        <v/>
      </c>
      <c r="B44" s="10" t="inlineStr">
        <is>
          <t>BLOCO CONCRETO ESTRUTURAL 04MPA 11,5X19X29CM NBR 6136</t>
        </is>
      </c>
      <c r="C44" s="11" t="inlineStr">
        <is>
          <t>UN</t>
        </is>
      </c>
      <c r="D44" s="2162">
        <f>E44*$D$1</f>
        <v/>
      </c>
      <c r="E44" s="2162" t="n">
        <v>1.998</v>
      </c>
      <c r="F44" s="2162" t="inlineStr">
        <is>
          <t>Alvenaria</t>
        </is>
      </c>
      <c r="G44" s="2162" t="inlineStr">
        <is>
          <t>Alvenaria Estrutural</t>
        </is>
      </c>
      <c r="H44" s="2162" t="n"/>
      <c r="I44" s="4" t="inlineStr">
        <is>
          <t>Elementos de Vedação (Cerâmica)</t>
        </is>
      </c>
    </row>
    <row r="45" ht="15.75" customHeight="1">
      <c r="A45" s="10">
        <f>COUNTIFS($B$2:$B$996,B45)</f>
        <v/>
      </c>
      <c r="B45" s="10" t="inlineStr">
        <is>
          <t>BLOCO CONCRETO ESTRUTURAL 04MPA 14X19X29CM NBR 6136</t>
        </is>
      </c>
      <c r="C45" s="11" t="inlineStr">
        <is>
          <t>UN</t>
        </is>
      </c>
      <c r="D45" s="2162">
        <f>E45*$D$1</f>
        <v/>
      </c>
      <c r="E45" s="2162" t="n">
        <v>1.998</v>
      </c>
      <c r="F45" s="2162" t="inlineStr">
        <is>
          <t>Alvenaria</t>
        </is>
      </c>
      <c r="G45" s="2162" t="inlineStr">
        <is>
          <t>Alvenaria Estrutural</t>
        </is>
      </c>
      <c r="H45" s="2162" t="n"/>
      <c r="I45" s="4" t="inlineStr">
        <is>
          <t>Elementos de Vedação (Cerâmica)</t>
        </is>
      </c>
    </row>
    <row r="46" ht="15.75" customHeight="1">
      <c r="A46" s="10">
        <f>COUNTIFS($B$2:$B$996,B46)</f>
        <v/>
      </c>
      <c r="B46" s="10" t="inlineStr">
        <is>
          <t>BLOCO CONCRETO ESTRUTURAL 04MPA 14X19X44CM NBR 6136</t>
        </is>
      </c>
      <c r="C46" s="11" t="inlineStr">
        <is>
          <t>UN</t>
        </is>
      </c>
      <c r="D46" s="2162">
        <f>E46*$D$1</f>
        <v/>
      </c>
      <c r="E46" s="2162" t="n">
        <v>4.02</v>
      </c>
      <c r="F46" s="2162" t="inlineStr">
        <is>
          <t>Alvenaria</t>
        </is>
      </c>
      <c r="G46" s="2162" t="inlineStr">
        <is>
          <t>Alvenaria Estrutural</t>
        </is>
      </c>
      <c r="H46" s="2162" t="n"/>
      <c r="I46" s="4" t="inlineStr">
        <is>
          <t>Elementos de Vedação (Cerâmica)</t>
        </is>
      </c>
    </row>
    <row r="47" ht="15.75" customHeight="1">
      <c r="A47" s="10">
        <f>COUNTIFS($B$2:$B$996,B47)</f>
        <v/>
      </c>
      <c r="B47" s="10" t="inlineStr">
        <is>
          <t>BLOCO CONCRETO ESTRUTURAL 06MPA 14X19X04CM NBR 6136</t>
        </is>
      </c>
      <c r="C47" s="11" t="inlineStr">
        <is>
          <t>UN</t>
        </is>
      </c>
      <c r="D47" s="2162">
        <f>E47*$D$1</f>
        <v/>
      </c>
      <c r="E47" s="2162" t="n">
        <v>4.186153846153847</v>
      </c>
      <c r="F47" s="2162" t="inlineStr">
        <is>
          <t>Alvenaria</t>
        </is>
      </c>
      <c r="G47" s="2162" t="inlineStr">
        <is>
          <t>Alvenaria Estrutural</t>
        </is>
      </c>
      <c r="H47" s="2162" t="n"/>
      <c r="I47" s="4" t="inlineStr">
        <is>
          <t>Elementos de Vedação (Cerâmica)</t>
        </is>
      </c>
    </row>
    <row r="48" ht="15.75" customHeight="1">
      <c r="A48" s="10">
        <f>COUNTIFS($B$2:$B$996,B48)</f>
        <v/>
      </c>
      <c r="B48" s="10" t="inlineStr">
        <is>
          <t>BLOCO CONCRETO ESTRUTURAL 06MPA 14X19X09CM NBR 6136</t>
        </is>
      </c>
      <c r="C48" s="11" t="inlineStr">
        <is>
          <t>UN</t>
        </is>
      </c>
      <c r="D48" s="2162">
        <f>E48*$D$1</f>
        <v/>
      </c>
      <c r="E48" s="2162" t="n">
        <v>3.988974358974359</v>
      </c>
      <c r="F48" s="2162" t="inlineStr">
        <is>
          <t>Alvenaria</t>
        </is>
      </c>
      <c r="G48" s="2162" t="inlineStr">
        <is>
          <t>Alvenaria Estrutural</t>
        </is>
      </c>
      <c r="H48" s="2162" t="n"/>
      <c r="I48" s="4" t="inlineStr">
        <is>
          <t>Elementos de Vedação (Cerâmica)</t>
        </is>
      </c>
    </row>
    <row r="49" ht="15.75" customHeight="1">
      <c r="A49" s="10">
        <f>COUNTIFS($B$2:$B$996,B49)</f>
        <v/>
      </c>
      <c r="B49" s="10" t="inlineStr">
        <is>
          <t>BLOCO CONCRETO ESTRUTURAL 06MPA 14X19X14CM NBR 6136</t>
        </is>
      </c>
      <c r="C49" s="11" t="inlineStr">
        <is>
          <t>UN</t>
        </is>
      </c>
      <c r="D49" s="2162">
        <f>E49*$D$1</f>
        <v/>
      </c>
      <c r="E49" s="2162" t="n">
        <v>1.436</v>
      </c>
      <c r="F49" s="2162" t="inlineStr">
        <is>
          <t>Alvenaria</t>
        </is>
      </c>
      <c r="G49" s="2162" t="inlineStr">
        <is>
          <t>Alvenaria Estrutural</t>
        </is>
      </c>
      <c r="H49" s="2162" t="n"/>
      <c r="I49" s="4" t="inlineStr">
        <is>
          <t>Elementos de Vedação (Cerâmica)</t>
        </is>
      </c>
    </row>
    <row r="50" ht="15.75" customHeight="1">
      <c r="A50" s="10">
        <f>COUNTIFS($B$2:$B$996,B50)</f>
        <v/>
      </c>
      <c r="B50" s="10" t="inlineStr">
        <is>
          <t>BLOCO CONCRETO ESTRUTURAL 06MPA 14X19X29CM NBR 6136</t>
        </is>
      </c>
      <c r="C50" s="11" t="inlineStr">
        <is>
          <t>UN</t>
        </is>
      </c>
      <c r="D50" s="2162">
        <f>E50*$D$1</f>
        <v/>
      </c>
      <c r="E50" s="2162" t="n">
        <v>2.098</v>
      </c>
      <c r="F50" s="2162" t="inlineStr">
        <is>
          <t>Alvenaria</t>
        </is>
      </c>
      <c r="G50" s="2162" t="inlineStr">
        <is>
          <t>Alvenaria Estrutural</t>
        </is>
      </c>
      <c r="H50" s="2162" t="n"/>
      <c r="I50" s="4" t="inlineStr">
        <is>
          <t>Elementos de Vedação (Cerâmica)</t>
        </is>
      </c>
    </row>
    <row r="51" ht="15.75" customHeight="1">
      <c r="A51" s="10">
        <f>COUNTIFS($B$2:$B$996,B51)</f>
        <v/>
      </c>
      <c r="B51" s="10" t="inlineStr">
        <is>
          <t>BLOCO CONCRETO ESTRUTURAL 06MPA 14X19X44CM NBR 6136</t>
        </is>
      </c>
      <c r="C51" s="11" t="inlineStr">
        <is>
          <t>UN</t>
        </is>
      </c>
      <c r="D51" s="2162">
        <f>E51*$D$1</f>
        <v/>
      </c>
      <c r="E51" s="2162" t="n">
        <v>4.189</v>
      </c>
      <c r="F51" s="2162" t="inlineStr">
        <is>
          <t>Alvenaria</t>
        </is>
      </c>
      <c r="G51" s="2162" t="inlineStr">
        <is>
          <t>Alvenaria Estrutural</t>
        </is>
      </c>
      <c r="H51" s="2162" t="n"/>
      <c r="I51" s="4" t="inlineStr">
        <is>
          <t>Elementos de Vedação (Cerâmica)</t>
        </is>
      </c>
    </row>
    <row r="52" ht="15.75" customHeight="1">
      <c r="A52" s="10">
        <f>COUNTIFS($B$2:$B$996,B52)</f>
        <v/>
      </c>
      <c r="B52" s="10" t="inlineStr">
        <is>
          <t>BLOCO CONCRETO ESTRUTURAL 08MPA 19X19X39CM NBR 6136</t>
        </is>
      </c>
      <c r="C52" s="11" t="inlineStr">
        <is>
          <t>UN</t>
        </is>
      </c>
      <c r="D52" s="2162">
        <f>E52*$D$1</f>
        <v/>
      </c>
      <c r="E52" s="2162" t="n">
        <v>3.22</v>
      </c>
      <c r="F52" s="2162" t="inlineStr">
        <is>
          <t>Alvenaria</t>
        </is>
      </c>
      <c r="G52" s="2162" t="inlineStr">
        <is>
          <t>Alvenaria Estrutural</t>
        </is>
      </c>
      <c r="H52" s="2162" t="n"/>
      <c r="I52" s="4" t="inlineStr">
        <is>
          <t>Elementos de Vedação (Cerâmica)</t>
        </is>
      </c>
    </row>
    <row r="53" ht="14.25" customHeight="1">
      <c r="A53" s="10">
        <f>COUNTIFS($B$2:$B$996,B53)</f>
        <v/>
      </c>
      <c r="B53" s="82" t="inlineStr">
        <is>
          <t>BLOCO DE concreto CORTA-FOGO  09X19X39 CM</t>
        </is>
      </c>
      <c r="C53" s="83" t="inlineStr">
        <is>
          <t>UN</t>
        </is>
      </c>
      <c r="D53" s="2165">
        <f>E53*$D$1</f>
        <v/>
      </c>
      <c r="E53" s="2165" t="n">
        <v>4.5</v>
      </c>
      <c r="F53" s="2165" t="inlineStr">
        <is>
          <t>Alvenaria</t>
        </is>
      </c>
      <c r="G53" s="2165" t="inlineStr">
        <is>
          <t>Alvenaria vedação</t>
        </is>
      </c>
      <c r="H53" s="2165" t="n"/>
      <c r="I53" s="85" t="inlineStr">
        <is>
          <t>Elementos de Vedação (Cerâmica)</t>
        </is>
      </c>
    </row>
    <row r="54" ht="14.25" customHeight="1">
      <c r="A54" s="10">
        <f>COUNTIFS($B$2:$B$996,B54)</f>
        <v/>
      </c>
      <c r="B54" s="82" t="inlineStr">
        <is>
          <t>BLOCO DE concreto CORTA-FOGO  14X19X39 CM</t>
        </is>
      </c>
      <c r="C54" s="83" t="inlineStr">
        <is>
          <t>UN</t>
        </is>
      </c>
      <c r="D54" s="2165">
        <f>E54*$D$1</f>
        <v/>
      </c>
      <c r="E54" s="2165" t="n">
        <v>6.5</v>
      </c>
      <c r="F54" s="2165" t="inlineStr">
        <is>
          <t>Alvenaria</t>
        </is>
      </c>
      <c r="G54" s="2165" t="inlineStr">
        <is>
          <t>Alvenaria vedação</t>
        </is>
      </c>
      <c r="H54" s="2165" t="n"/>
      <c r="I54" s="85" t="inlineStr">
        <is>
          <t>Elementos de Vedação (Cerâmica)</t>
        </is>
      </c>
    </row>
    <row r="55" ht="14.25" customHeight="1">
      <c r="A55" s="10">
        <f>COUNTIFS($B$2:$B$996,B55)</f>
        <v/>
      </c>
      <c r="B55" s="82" t="inlineStr">
        <is>
          <t>BLOCO DE concreto CORTA-FOGO ACUSTICA REFORÇADO  14X19X39 CM</t>
        </is>
      </c>
      <c r="C55" s="83" t="inlineStr">
        <is>
          <t>UN</t>
        </is>
      </c>
      <c r="D55" s="2165">
        <f>E55*$D$1</f>
        <v/>
      </c>
      <c r="E55" s="2165" t="n">
        <v>10</v>
      </c>
      <c r="F55" s="2165" t="inlineStr">
        <is>
          <t>Alvenaria</t>
        </is>
      </c>
      <c r="G55" s="2165" t="inlineStr">
        <is>
          <t>Alvenaria vedação</t>
        </is>
      </c>
      <c r="H55" s="2165" t="n"/>
      <c r="I55" s="85" t="inlineStr">
        <is>
          <t>Elementos de Vedação (Cerâmica)</t>
        </is>
      </c>
    </row>
    <row r="56" ht="14.25" customHeight="1">
      <c r="A56" s="10">
        <f>COUNTIFS($B$2:$B$996,B56)</f>
        <v/>
      </c>
      <c r="B56" s="82" t="inlineStr">
        <is>
          <t>BLOCO DE concreto CORTA-FOGO  19X19X39 CM</t>
        </is>
      </c>
      <c r="C56" s="83" t="inlineStr">
        <is>
          <t>UN</t>
        </is>
      </c>
      <c r="D56" s="2165">
        <f>E56*$D$1</f>
        <v/>
      </c>
      <c r="E56" s="2165" t="n">
        <v>9.5</v>
      </c>
      <c r="F56" s="2165" t="inlineStr">
        <is>
          <t>Alvenaria</t>
        </is>
      </c>
      <c r="G56" s="2165" t="inlineStr">
        <is>
          <t>Alvenaria vedação</t>
        </is>
      </c>
      <c r="H56" s="2165" t="n"/>
      <c r="I56" s="85" t="inlineStr">
        <is>
          <t>Elementos de Vedação (Cerâmica)</t>
        </is>
      </c>
    </row>
    <row r="57" ht="14.25" customHeight="1">
      <c r="A57" s="10">
        <f>COUNTIFS($B$2:$B$996,B57)</f>
        <v/>
      </c>
      <c r="B57" s="82" t="inlineStr">
        <is>
          <t>BLOCO DE concreto CORTA-FOGO  ACUSTICA REFORÇADO 19X19X39 CM</t>
        </is>
      </c>
      <c r="C57" s="83" t="inlineStr">
        <is>
          <t>UN</t>
        </is>
      </c>
      <c r="D57" s="2165">
        <f>E57*$D$1</f>
        <v/>
      </c>
      <c r="E57" s="2165" t="n">
        <v>14.5</v>
      </c>
      <c r="F57" s="2165" t="inlineStr">
        <is>
          <t>Alvenaria</t>
        </is>
      </c>
      <c r="G57" s="2165" t="inlineStr">
        <is>
          <t>Alvenaria vedação</t>
        </is>
      </c>
      <c r="H57" s="2165" t="n"/>
      <c r="I57" s="85" t="inlineStr">
        <is>
          <t>Elementos de Vedação (Cerâmica)</t>
        </is>
      </c>
    </row>
    <row r="58" ht="14.25" customHeight="1">
      <c r="A58" s="10">
        <f>COUNTIFS($B$2:$B$996,B58)</f>
        <v/>
      </c>
      <c r="B58" s="82" t="inlineStr">
        <is>
          <t>BLOCO DE CERÂMICO CORTA-FOGO  09X19X39 CM</t>
        </is>
      </c>
      <c r="C58" s="83" t="inlineStr">
        <is>
          <t>UN</t>
        </is>
      </c>
      <c r="D58" s="2165">
        <f>E58*$D$1</f>
        <v/>
      </c>
      <c r="E58" s="2165" t="n">
        <v>4.8</v>
      </c>
      <c r="F58" s="2165" t="inlineStr">
        <is>
          <t>Alvenaria</t>
        </is>
      </c>
      <c r="G58" s="2165" t="inlineStr">
        <is>
          <t>Alvenaria vedação</t>
        </is>
      </c>
      <c r="H58" s="2165" t="n"/>
      <c r="I58" s="85" t="inlineStr">
        <is>
          <t>Elementos de Vedação (Cerâmica)</t>
        </is>
      </c>
    </row>
    <row r="59" ht="14.25" customHeight="1">
      <c r="A59" s="10">
        <f>COUNTIFS($B$2:$B$996,B59)</f>
        <v/>
      </c>
      <c r="B59" s="82" t="inlineStr">
        <is>
          <t>BLOCO DE CERÂMICO CORTA-FOGO  14X19X39 CM</t>
        </is>
      </c>
      <c r="C59" s="83" t="inlineStr">
        <is>
          <t>UN</t>
        </is>
      </c>
      <c r="D59" s="2165">
        <f>E59*$D$1</f>
        <v/>
      </c>
      <c r="E59" s="2165" t="n">
        <v>6.8</v>
      </c>
      <c r="F59" s="2165" t="inlineStr">
        <is>
          <t>Alvenaria</t>
        </is>
      </c>
      <c r="G59" s="2165" t="inlineStr">
        <is>
          <t>Alvenaria vedação</t>
        </is>
      </c>
      <c r="H59" s="2165" t="n"/>
      <c r="I59" s="85" t="inlineStr">
        <is>
          <t>Elementos de Vedação (Cerâmica)</t>
        </is>
      </c>
    </row>
    <row r="60" ht="14.25" customHeight="1">
      <c r="A60" s="10">
        <f>COUNTIFS($B$2:$B$996,B60)</f>
        <v/>
      </c>
      <c r="B60" s="82" t="inlineStr">
        <is>
          <t>BLOCO DE CERÂMICO CORTA-FOGO ACUSTICA REFORÇADO  14X19X39 CM</t>
        </is>
      </c>
      <c r="C60" s="83" t="inlineStr">
        <is>
          <t>UN</t>
        </is>
      </c>
      <c r="D60" s="2165">
        <f>E60*$D$1</f>
        <v/>
      </c>
      <c r="E60" s="2165" t="n">
        <v>9.800000000000001</v>
      </c>
      <c r="F60" s="2165" t="inlineStr">
        <is>
          <t>Alvenaria</t>
        </is>
      </c>
      <c r="G60" s="2165" t="inlineStr">
        <is>
          <t>Alvenaria vedação</t>
        </is>
      </c>
      <c r="H60" s="2165" t="n"/>
      <c r="I60" s="85" t="inlineStr">
        <is>
          <t>Elementos de Vedação (Cerâmica)</t>
        </is>
      </c>
    </row>
    <row r="61" ht="14.25" customHeight="1">
      <c r="A61" s="10">
        <f>COUNTIFS($B$2:$B$996,B61)</f>
        <v/>
      </c>
      <c r="B61" s="82" t="inlineStr">
        <is>
          <t>BLOCO DE CERÂMICO CORTA-FOGO  19X19X39 CM</t>
        </is>
      </c>
      <c r="C61" s="83" t="inlineStr">
        <is>
          <t>UN</t>
        </is>
      </c>
      <c r="D61" s="2165">
        <f>E61*$D$1</f>
        <v/>
      </c>
      <c r="E61" s="2165" t="n">
        <v>8.5</v>
      </c>
      <c r="F61" s="2165" t="inlineStr">
        <is>
          <t>Alvenaria</t>
        </is>
      </c>
      <c r="G61" s="2165" t="inlineStr">
        <is>
          <t>Alvenaria vedação</t>
        </is>
      </c>
      <c r="H61" s="2165" t="n"/>
      <c r="I61" s="85" t="inlineStr">
        <is>
          <t>Elementos de Vedação (Cerâmica)</t>
        </is>
      </c>
    </row>
    <row r="62" ht="15.75" customHeight="1">
      <c r="A62" s="10">
        <f>COUNTIFS($B$2:$B$996,B62)</f>
        <v/>
      </c>
      <c r="B62" s="10" t="inlineStr">
        <is>
          <t>CANALETA CONCRETO ESTRUTURAL "U" 06MPA 14X19X29CM NBR 6136</t>
        </is>
      </c>
      <c r="C62" s="11" t="inlineStr">
        <is>
          <t>UN</t>
        </is>
      </c>
      <c r="D62" s="2162">
        <f>E62*$D$1</f>
        <v/>
      </c>
      <c r="E62" s="2162" t="n">
        <v>3.305</v>
      </c>
      <c r="F62" s="2162" t="inlineStr">
        <is>
          <t>Alvenaria</t>
        </is>
      </c>
      <c r="G62" s="2162" t="inlineStr">
        <is>
          <t>Alvenaria Estrutural</t>
        </is>
      </c>
      <c r="H62" s="2162" t="n"/>
      <c r="I62" s="4" t="inlineStr">
        <is>
          <t>Elementos de Vedação (Cerâmica)</t>
        </is>
      </c>
    </row>
    <row r="63" ht="15.75" customHeight="1">
      <c r="A63" s="10">
        <f>COUNTIFS($B$2:$B$996,B63)</f>
        <v/>
      </c>
      <c r="B63" s="10" t="inlineStr">
        <is>
          <t>CANALETA CONCRETO ESTRUTURAL "U" 08MPA 19X19X39CM NBR 6136</t>
        </is>
      </c>
      <c r="C63" s="11" t="inlineStr">
        <is>
          <t>UN</t>
        </is>
      </c>
      <c r="D63" s="2162">
        <f>E63*$D$1</f>
        <v/>
      </c>
      <c r="E63" s="2162" t="n">
        <v>4.09</v>
      </c>
      <c r="F63" s="2162" t="inlineStr">
        <is>
          <t>Alvenaria</t>
        </is>
      </c>
      <c r="G63" s="2162" t="inlineStr">
        <is>
          <t>Alvenaria Estrutural</t>
        </is>
      </c>
      <c r="H63" s="2162" t="n"/>
      <c r="I63" s="4" t="inlineStr">
        <is>
          <t>Elementos de Vedação (Cerâmica)</t>
        </is>
      </c>
    </row>
    <row r="64" ht="15.75" customHeight="1">
      <c r="A64" s="10">
        <f>COUNTIFS($B$2:$B$996,B64)</f>
        <v/>
      </c>
      <c r="B64" s="10" t="inlineStr">
        <is>
          <t>BLOCO CERÂMICO ESTRUTURAL 04MPA 11,5X19X29CM NBR 6136</t>
        </is>
      </c>
      <c r="C64" s="11" t="inlineStr">
        <is>
          <t>UN</t>
        </is>
      </c>
      <c r="D64" s="2162">
        <f>E64*$D$1</f>
        <v/>
      </c>
      <c r="E64" s="2162" t="n">
        <v>1.69</v>
      </c>
      <c r="F64" s="2162" t="inlineStr">
        <is>
          <t>Alvenaria</t>
        </is>
      </c>
      <c r="G64" s="2162" t="inlineStr">
        <is>
          <t>Alvenaria Estrutural</t>
        </is>
      </c>
      <c r="H64" s="2162" t="n"/>
      <c r="I64" s="4" t="inlineStr">
        <is>
          <t>Elementos de Vedação (Cerâmica)</t>
        </is>
      </c>
    </row>
    <row r="65" ht="15.75" customHeight="1">
      <c r="A65" s="10">
        <f>COUNTIFS($B$2:$B$996,B65)</f>
        <v/>
      </c>
      <c r="B65" s="10" t="inlineStr">
        <is>
          <t>BLOCO CERÂMICO ESTRUTURAL 04MPA 14X19X29CM NBR 6136</t>
        </is>
      </c>
      <c r="C65" s="11" t="inlineStr">
        <is>
          <t>UN</t>
        </is>
      </c>
      <c r="D65" s="2162">
        <f>E65*$D$1</f>
        <v/>
      </c>
      <c r="E65" s="2162" t="n">
        <v>2.76</v>
      </c>
      <c r="F65" s="2162" t="inlineStr">
        <is>
          <t>Alvenaria</t>
        </is>
      </c>
      <c r="G65" s="2162" t="inlineStr">
        <is>
          <t>Alvenaria Estrutural</t>
        </is>
      </c>
      <c r="H65" s="2162" t="n"/>
      <c r="I65" s="4" t="inlineStr">
        <is>
          <t>Elementos de Vedação (Cerâmica)</t>
        </is>
      </c>
    </row>
    <row r="66" ht="15.75" customHeight="1">
      <c r="A66" s="10">
        <f>COUNTIFS($B$2:$B$996,B66)</f>
        <v/>
      </c>
      <c r="B66" s="10" t="inlineStr">
        <is>
          <t>BLOCO CERÂMICO - 14X19X39cm</t>
        </is>
      </c>
      <c r="C66" s="11" t="inlineStr">
        <is>
          <t>UN</t>
        </is>
      </c>
      <c r="D66" s="2162">
        <f>E66*$D$1</f>
        <v/>
      </c>
      <c r="E66" s="2162" t="n">
        <v>1.4</v>
      </c>
      <c r="F66" s="2162" t="inlineStr">
        <is>
          <t>Alvenaria</t>
        </is>
      </c>
      <c r="G66" s="2162" t="inlineStr">
        <is>
          <t>Alvenaria vedação</t>
        </is>
      </c>
      <c r="H66" s="2162" t="n"/>
      <c r="I66" s="4" t="inlineStr">
        <is>
          <t>Elementos de Vedação (Cerâmica)</t>
        </is>
      </c>
    </row>
    <row r="67" ht="15.75" customHeight="1">
      <c r="A67" s="10">
        <f>COUNTIFS($B$2:$B$996,B67)</f>
        <v/>
      </c>
      <c r="B67" s="10" t="inlineStr">
        <is>
          <t>BLOCO CERÂMICO - 9X19X39cm</t>
        </is>
      </c>
      <c r="C67" s="11" t="inlineStr">
        <is>
          <t>UN</t>
        </is>
      </c>
      <c r="D67" s="2162">
        <f>E67*$D$1</f>
        <v/>
      </c>
      <c r="E67" s="2162" t="n">
        <v>0.99</v>
      </c>
      <c r="F67" s="2162" t="inlineStr">
        <is>
          <t>Alvenaria</t>
        </is>
      </c>
      <c r="G67" s="2162" t="inlineStr">
        <is>
          <t>Alvenaria vedação</t>
        </is>
      </c>
      <c r="H67" s="2162" t="n"/>
      <c r="I67" s="4" t="inlineStr">
        <is>
          <t>Elementos de Vedação (Cerâmica)</t>
        </is>
      </c>
    </row>
    <row r="68" ht="15.75" customHeight="1">
      <c r="A68" s="10">
        <f>COUNTIFS($B$2:$B$996,B68)</f>
        <v/>
      </c>
      <c r="B68" s="10" t="inlineStr">
        <is>
          <t>BLOCO CERÂMICO - 11,5X19X39cm</t>
        </is>
      </c>
      <c r="C68" s="11" t="inlineStr">
        <is>
          <t>UN</t>
        </is>
      </c>
      <c r="D68" s="2162">
        <f>E68*$D$1</f>
        <v/>
      </c>
      <c r="E68" s="2162">
        <f>E66*11.5/14</f>
        <v/>
      </c>
      <c r="F68" s="2162" t="inlineStr">
        <is>
          <t>Alvenaria</t>
        </is>
      </c>
      <c r="G68" s="2162" t="inlineStr">
        <is>
          <t>Alvenaria vedação</t>
        </is>
      </c>
      <c r="H68" s="2162" t="n"/>
      <c r="I68" s="4" t="inlineStr">
        <is>
          <t>Elementos de Vedação (Cerâmica)</t>
        </is>
      </c>
    </row>
    <row r="69" ht="15.75" customHeight="1">
      <c r="A69" s="10">
        <f>COUNTIFS($B$2:$B$996,B69)</f>
        <v/>
      </c>
      <c r="B69" s="10" t="inlineStr">
        <is>
          <t>BLOCO CERÂMICO - 19X19X39cm</t>
        </is>
      </c>
      <c r="C69" s="11" t="inlineStr">
        <is>
          <t>UN</t>
        </is>
      </c>
      <c r="D69" s="2162">
        <f>E69*$D$1</f>
        <v/>
      </c>
      <c r="E69" s="2162">
        <f>E66*19/14</f>
        <v/>
      </c>
      <c r="F69" s="2162" t="inlineStr">
        <is>
          <t>Alvenaria</t>
        </is>
      </c>
      <c r="G69" s="2162" t="inlineStr">
        <is>
          <t>Alvenaria vedação</t>
        </is>
      </c>
      <c r="H69" s="2162" t="n"/>
      <c r="I69" s="4" t="inlineStr">
        <is>
          <t>Elementos de Vedação (Cerâmica)</t>
        </is>
      </c>
    </row>
    <row r="70" ht="15.75" customHeight="1">
      <c r="A70" s="10">
        <f>COUNTIFS($B$2:$B$996,B70)</f>
        <v/>
      </c>
      <c r="B70" s="10" t="inlineStr">
        <is>
          <t>BLOCO CERÂMICO - 9X19X19cm</t>
        </is>
      </c>
      <c r="C70" s="11" t="inlineStr">
        <is>
          <t>UN</t>
        </is>
      </c>
      <c r="D70" s="2162">
        <f>E70*$D$1</f>
        <v/>
      </c>
      <c r="E70" s="2162" t="n">
        <v>0.99</v>
      </c>
      <c r="F70" s="2162" t="inlineStr">
        <is>
          <t>Alvenaria</t>
        </is>
      </c>
      <c r="G70" s="2162" t="inlineStr">
        <is>
          <t>Alvenaria vedação</t>
        </is>
      </c>
      <c r="H70" s="2162" t="n"/>
      <c r="I70" s="4" t="inlineStr">
        <is>
          <t>Elementos de Vedação (Cerâmica)</t>
        </is>
      </c>
    </row>
    <row r="71" ht="15.75" customHeight="1">
      <c r="A71" s="10">
        <f>COUNTIFS($B$2:$B$996,B71)</f>
        <v/>
      </c>
      <c r="B71" s="10" t="inlineStr">
        <is>
          <t>BLOCO CERÂMICO - 11,5X19X19cm</t>
        </is>
      </c>
      <c r="C71" s="11" t="inlineStr">
        <is>
          <t>UN</t>
        </is>
      </c>
      <c r="D71" s="2162">
        <f>E71*$D$1</f>
        <v/>
      </c>
      <c r="E71" s="2162" t="n">
        <v>1.24</v>
      </c>
      <c r="F71" s="2162" t="inlineStr">
        <is>
          <t>Alvenaria</t>
        </is>
      </c>
      <c r="G71" s="2162" t="inlineStr">
        <is>
          <t>Alvenaria vedação</t>
        </is>
      </c>
      <c r="H71" s="2162" t="n"/>
      <c r="I71" s="4" t="inlineStr">
        <is>
          <t>Elementos de Vedação (Cerâmica)</t>
        </is>
      </c>
    </row>
    <row r="72" ht="15.75" customHeight="1">
      <c r="A72" s="10">
        <f>COUNTIFS($B$2:$B$996,B72)</f>
        <v/>
      </c>
      <c r="B72" s="10" t="inlineStr">
        <is>
          <t>BLOCO CERÂMICO - 14X19X19cm</t>
        </is>
      </c>
      <c r="C72" s="11" t="inlineStr">
        <is>
          <t>UN</t>
        </is>
      </c>
      <c r="D72" s="2162">
        <f>E72*$D$1</f>
        <v/>
      </c>
      <c r="E72" s="2162" t="n">
        <v>2.6</v>
      </c>
      <c r="F72" s="2162" t="inlineStr">
        <is>
          <t>Alvenaria</t>
        </is>
      </c>
      <c r="G72" s="2162" t="inlineStr">
        <is>
          <t>Alvenaria vedação</t>
        </is>
      </c>
      <c r="H72" s="2162" t="n"/>
      <c r="I72" s="4" t="inlineStr">
        <is>
          <t>Elementos de Vedação (Cerâmica)</t>
        </is>
      </c>
    </row>
    <row r="73" ht="15.75" customHeight="1">
      <c r="A73" s="10">
        <f>COUNTIFS($B$2:$B$996,B73)</f>
        <v/>
      </c>
      <c r="B73" s="10" t="inlineStr">
        <is>
          <t>BLOCO CERÂMICO - 19X19X19cm</t>
        </is>
      </c>
      <c r="C73" s="11" t="inlineStr">
        <is>
          <t>UN</t>
        </is>
      </c>
      <c r="D73" s="2162">
        <f>E73*$D$1</f>
        <v/>
      </c>
      <c r="E73" s="2162" t="n">
        <v>1.59</v>
      </c>
      <c r="F73" s="2162" t="inlineStr">
        <is>
          <t>Alvenaria</t>
        </is>
      </c>
      <c r="G73" s="2162" t="inlineStr">
        <is>
          <t>Alvenaria vedação</t>
        </is>
      </c>
      <c r="H73" s="2162" t="n"/>
      <c r="I73" s="4" t="inlineStr">
        <is>
          <t>Elementos de Vedação (Cerâmica)</t>
        </is>
      </c>
    </row>
    <row r="74" ht="15.75" customHeight="1">
      <c r="A74" s="10">
        <f>COUNTIFS($B$2:$B$996,B74)</f>
        <v/>
      </c>
      <c r="B74" s="10" t="inlineStr">
        <is>
          <t>BLOCO DE VEDACAO CONCRETO 09X19X39 CM</t>
        </is>
      </c>
      <c r="C74" s="11" t="inlineStr">
        <is>
          <t>UN</t>
        </is>
      </c>
      <c r="D74" s="2162">
        <f>E74*$D$1</f>
        <v/>
      </c>
      <c r="E74" s="2162" t="n">
        <v>2.7</v>
      </c>
      <c r="F74" s="2162" t="inlineStr">
        <is>
          <t>Alvenaria</t>
        </is>
      </c>
      <c r="G74" s="2162" t="inlineStr">
        <is>
          <t>Alvenaria vedação</t>
        </is>
      </c>
      <c r="H74" s="2162" t="n"/>
      <c r="I74" s="4" t="inlineStr">
        <is>
          <t>Elementos de Vedação (Cerâmica)</t>
        </is>
      </c>
    </row>
    <row r="75" ht="15.75" customHeight="1">
      <c r="A75" s="10">
        <f>COUNTIFS($B$2:$B$996,B75)</f>
        <v/>
      </c>
      <c r="B75" s="10" t="inlineStr">
        <is>
          <t>BLOCO DE VEDACAO CONCRETO 11,5X19X39 CM</t>
        </is>
      </c>
      <c r="C75" s="11" t="inlineStr">
        <is>
          <t>UN</t>
        </is>
      </c>
      <c r="D75" s="2162">
        <f>E75*$D$1</f>
        <v/>
      </c>
      <c r="E75" s="2162">
        <f>E74/9*11.5</f>
        <v/>
      </c>
      <c r="F75" s="2162" t="inlineStr">
        <is>
          <t>Alvenaria</t>
        </is>
      </c>
      <c r="G75" s="2162" t="inlineStr">
        <is>
          <t>Alvenaria vedação</t>
        </is>
      </c>
      <c r="H75" s="2162" t="n"/>
      <c r="I75" s="4" t="inlineStr">
        <is>
          <t>Elementos de Vedação (Cerâmica)</t>
        </is>
      </c>
    </row>
    <row r="76" ht="15.75" customHeight="1">
      <c r="A76" s="10">
        <f>COUNTIFS($B$2:$B$996,B76)</f>
        <v/>
      </c>
      <c r="B76" s="10" t="inlineStr">
        <is>
          <t>BLOCO DE VEDACAO CONCRETO 19X19X39 CM</t>
        </is>
      </c>
      <c r="C76" s="11" t="inlineStr">
        <is>
          <t>UN</t>
        </is>
      </c>
      <c r="D76" s="2162">
        <f>E76*$D$1</f>
        <v/>
      </c>
      <c r="E76" s="2162">
        <f>E74/9*19</f>
        <v/>
      </c>
      <c r="F76" s="2162" t="inlineStr">
        <is>
          <t>Alvenaria</t>
        </is>
      </c>
      <c r="G76" s="2162" t="inlineStr">
        <is>
          <t>Alvenaria vedação</t>
        </is>
      </c>
      <c r="H76" s="2162" t="n"/>
      <c r="I76" s="4" t="inlineStr">
        <is>
          <t>Elementos de Vedação (Cerâmica)</t>
        </is>
      </c>
    </row>
    <row r="77" ht="15.75" customHeight="1">
      <c r="A77" s="10">
        <f>COUNTIFS($B$2:$B$996,B77)</f>
        <v/>
      </c>
      <c r="B77" s="10" t="inlineStr">
        <is>
          <t>ELEMENTO VAZADO CONCRETO QUADRADO</t>
        </is>
      </c>
      <c r="C77" s="11" t="inlineStr">
        <is>
          <t>UN</t>
        </is>
      </c>
      <c r="D77" s="2162">
        <f>E77*$D$1</f>
        <v/>
      </c>
      <c r="E77" s="2162" t="n">
        <v>15</v>
      </c>
      <c r="F77" s="2162" t="inlineStr">
        <is>
          <t>Alvenaria</t>
        </is>
      </c>
      <c r="G77" s="2162" t="inlineStr">
        <is>
          <t>Alvenaria vedação</t>
        </is>
      </c>
      <c r="H77" s="4" t="n"/>
      <c r="I77" s="4" t="inlineStr">
        <is>
          <t>Elementos de Vedação (Cerâmica)</t>
        </is>
      </c>
    </row>
    <row r="78" ht="15.75" customHeight="1">
      <c r="A78" s="10">
        <f>COUNTIFS($B$2:$B$996,B78)</f>
        <v/>
      </c>
      <c r="B78" s="10" t="inlineStr">
        <is>
          <t>ELEMENTO VAZADO CERAMICO QUADRADO</t>
        </is>
      </c>
      <c r="C78" s="11" t="inlineStr">
        <is>
          <t>UN</t>
        </is>
      </c>
      <c r="D78" s="2162">
        <f>E78*$D$1</f>
        <v/>
      </c>
      <c r="E78" s="2162" t="n">
        <v>11.99</v>
      </c>
      <c r="F78" s="2162" t="inlineStr">
        <is>
          <t>Alvenaria</t>
        </is>
      </c>
      <c r="G78" s="2162" t="inlineStr">
        <is>
          <t>Alvenaria vedação</t>
        </is>
      </c>
      <c r="H78" s="2162" t="n"/>
      <c r="I78" s="4" t="inlineStr">
        <is>
          <t>Elementos de Vedação (Cerâmica)</t>
        </is>
      </c>
    </row>
    <row r="79" ht="15.75" customHeight="1">
      <c r="A79" s="10">
        <f>COUNTIFS($B$2:$B$996,B79)</f>
        <v/>
      </c>
      <c r="B79" s="10" t="inlineStr">
        <is>
          <t>BLOCO DE VEDACAO CERAMICO MACIÇO 5,5X11,5X24 CM</t>
        </is>
      </c>
      <c r="C79" s="11" t="inlineStr">
        <is>
          <t>UN</t>
        </is>
      </c>
      <c r="D79" s="2162">
        <f>E79*$D$1</f>
        <v/>
      </c>
      <c r="E79" s="2162" t="n">
        <v>1.05</v>
      </c>
      <c r="F79" s="2162" t="inlineStr">
        <is>
          <t>Alvenaria</t>
        </is>
      </c>
      <c r="G79" s="2162" t="inlineStr">
        <is>
          <t>Alvenaria vedação</t>
        </is>
      </c>
      <c r="H79" s="2162" t="n"/>
      <c r="I79" s="4" t="inlineStr">
        <is>
          <t>Elementos de Vedação (Cerâmica)</t>
        </is>
      </c>
    </row>
    <row r="80" ht="15.75" customHeight="1">
      <c r="A80" s="10">
        <f>COUNTIFS($B$2:$B$996,B80)</f>
        <v/>
      </c>
      <c r="B80" s="10" t="inlineStr">
        <is>
          <t>BLOCO DE VEDACAO CERAMICO 09X19X29 CM</t>
        </is>
      </c>
      <c r="C80" s="11" t="inlineStr">
        <is>
          <t>UN</t>
        </is>
      </c>
      <c r="D80" s="2162">
        <f>E80*$D$1</f>
        <v/>
      </c>
      <c r="E80" s="2162" t="n">
        <v>1.18</v>
      </c>
      <c r="F80" s="2162" t="inlineStr">
        <is>
          <t>Alvenaria</t>
        </is>
      </c>
      <c r="G80" s="2162" t="inlineStr">
        <is>
          <t>Alvenaria vedação</t>
        </is>
      </c>
      <c r="H80" s="2162" t="n"/>
      <c r="I80" s="4" t="inlineStr">
        <is>
          <t>Elementos de Vedação (Cerâmica)</t>
        </is>
      </c>
    </row>
    <row r="81" ht="15.75" customHeight="1">
      <c r="A81" s="10">
        <f>COUNTIFS($B$2:$B$996,B81)</f>
        <v/>
      </c>
      <c r="B81" s="10" t="inlineStr">
        <is>
          <t>BLOCO DE VEDACAO CERAMICO 11,5X19X29 CM</t>
        </is>
      </c>
      <c r="C81" s="11" t="inlineStr">
        <is>
          <t>UN</t>
        </is>
      </c>
      <c r="D81" s="2162">
        <f>E81*$D$1</f>
        <v/>
      </c>
      <c r="E81" s="2162" t="n">
        <v>1.43</v>
      </c>
      <c r="F81" s="2162" t="inlineStr">
        <is>
          <t>Alvenaria</t>
        </is>
      </c>
      <c r="G81" s="2162" t="inlineStr">
        <is>
          <t>Alvenaria vedação</t>
        </is>
      </c>
      <c r="H81" s="2162" t="n"/>
      <c r="I81" s="4" t="inlineStr">
        <is>
          <t>Elementos de Vedação (Cerâmica)</t>
        </is>
      </c>
    </row>
    <row r="82" ht="15.75" customHeight="1">
      <c r="A82" s="10">
        <f>COUNTIFS($B$2:$B$996,B82)</f>
        <v/>
      </c>
      <c r="B82" s="10" t="inlineStr">
        <is>
          <t>BLOCO DE VEDACAO CERAMICO 14X19X29 CM</t>
        </is>
      </c>
      <c r="C82" s="11" t="inlineStr">
        <is>
          <t>UN</t>
        </is>
      </c>
      <c r="D82" s="2162">
        <f>E82*$D$1</f>
        <v/>
      </c>
      <c r="E82" s="2162" t="n">
        <v>1.72</v>
      </c>
      <c r="F82" s="2162" t="inlineStr">
        <is>
          <t>Alvenaria</t>
        </is>
      </c>
      <c r="G82" s="2162" t="inlineStr">
        <is>
          <t>Alvenaria vedação</t>
        </is>
      </c>
      <c r="H82" s="2162" t="n"/>
      <c r="I82" s="4" t="inlineStr">
        <is>
          <t>Elementos de Vedação (Cerâmica)</t>
        </is>
      </c>
    </row>
    <row r="83" ht="15.75" customHeight="1">
      <c r="A83" s="10">
        <f>COUNTIFS($B$2:$B$996,B83)</f>
        <v/>
      </c>
      <c r="B83" s="10" t="inlineStr">
        <is>
          <t>BLOCO DE VEDACAO CERAMICO 19X19X29 CM</t>
        </is>
      </c>
      <c r="C83" s="11" t="inlineStr">
        <is>
          <t>UN</t>
        </is>
      </c>
      <c r="D83" s="2162">
        <f>E83*$D$1</f>
        <v/>
      </c>
      <c r="E83" s="2162">
        <f>E82/14*19</f>
        <v/>
      </c>
      <c r="F83" s="2162" t="inlineStr">
        <is>
          <t>Alvenaria</t>
        </is>
      </c>
      <c r="G83" s="2162" t="inlineStr">
        <is>
          <t>Alvenaria vedação</t>
        </is>
      </c>
      <c r="H83" s="2162" t="n"/>
      <c r="I83" s="4" t="inlineStr">
        <is>
          <t>Elementos de Vedação (Cerâmica)</t>
        </is>
      </c>
    </row>
    <row r="84" ht="15.75" customHeight="1">
      <c r="A84" s="10">
        <f>COUNTIFS($B$2:$B$996,B84)</f>
        <v/>
      </c>
      <c r="B84" s="15" t="inlineStr">
        <is>
          <t>Bloco Concreto Celular 7,5x30x60</t>
        </is>
      </c>
      <c r="C84" s="11" t="inlineStr">
        <is>
          <t>M3</t>
        </is>
      </c>
      <c r="D84" s="2162">
        <f>E84*$D$1</f>
        <v/>
      </c>
      <c r="E84" s="2162" t="n">
        <v>10.71</v>
      </c>
      <c r="F84" s="2162" t="inlineStr">
        <is>
          <t>Argamassa</t>
        </is>
      </c>
      <c r="G84" s="2162" t="inlineStr">
        <is>
          <t>Sical</t>
        </is>
      </c>
      <c r="H84" s="2162" t="n"/>
      <c r="I84" s="4" t="inlineStr">
        <is>
          <t>Argamassa</t>
        </is>
      </c>
    </row>
    <row r="85" ht="15.75" customHeight="1">
      <c r="A85" s="10">
        <f>COUNTIFS($B$2:$B$996,B85)</f>
        <v/>
      </c>
      <c r="B85" s="15" t="inlineStr">
        <is>
          <t>Bloco Concreto Celular 10x30x60</t>
        </is>
      </c>
      <c r="C85" s="11" t="inlineStr">
        <is>
          <t>M3</t>
        </is>
      </c>
      <c r="D85" s="2162">
        <f>E85*$D$1</f>
        <v/>
      </c>
      <c r="E85" s="2162" t="n">
        <v>12.41</v>
      </c>
      <c r="F85" s="2162" t="inlineStr">
        <is>
          <t>Argamassa</t>
        </is>
      </c>
      <c r="G85" s="2162" t="inlineStr">
        <is>
          <t>Sical</t>
        </is>
      </c>
      <c r="H85" s="2162" t="n"/>
      <c r="I85" s="4" t="inlineStr">
        <is>
          <t>Argamassa</t>
        </is>
      </c>
    </row>
    <row r="86" ht="15.75" customHeight="1">
      <c r="A86" s="10">
        <f>COUNTIFS($B$2:$B$996,B86)</f>
        <v/>
      </c>
      <c r="B86" s="15" t="inlineStr">
        <is>
          <t>Bloco Concreto Celular 12,5x30x60</t>
        </is>
      </c>
      <c r="C86" s="11" t="inlineStr">
        <is>
          <t>M3</t>
        </is>
      </c>
      <c r="D86" s="2162">
        <f>E86*$D$1</f>
        <v/>
      </c>
      <c r="E86" s="2162" t="n">
        <v>17.91</v>
      </c>
      <c r="F86" s="2162" t="inlineStr">
        <is>
          <t>Argamassa</t>
        </is>
      </c>
      <c r="G86" s="2162" t="inlineStr">
        <is>
          <t>Sical</t>
        </is>
      </c>
      <c r="H86" s="2162" t="n"/>
      <c r="I86" s="4" t="inlineStr">
        <is>
          <t>Argamassa</t>
        </is>
      </c>
    </row>
    <row r="87" ht="15.75" customHeight="1">
      <c r="A87" s="10">
        <f>COUNTIFS($B$2:$B$996,B87)</f>
        <v/>
      </c>
      <c r="B87" s="15" t="inlineStr">
        <is>
          <t>Bloco Concreto Celular 15x30x60</t>
        </is>
      </c>
      <c r="C87" s="11" t="inlineStr">
        <is>
          <t>M3</t>
        </is>
      </c>
      <c r="D87" s="2162">
        <f>E87*$D$1</f>
        <v/>
      </c>
      <c r="E87" s="2162" t="n">
        <v>16.44</v>
      </c>
      <c r="F87" s="2162" t="inlineStr">
        <is>
          <t>Argamassa</t>
        </is>
      </c>
      <c r="G87" s="2162" t="inlineStr">
        <is>
          <t>Sical</t>
        </is>
      </c>
      <c r="H87" s="2162" t="n"/>
      <c r="I87" s="4" t="inlineStr">
        <is>
          <t>Argamassa</t>
        </is>
      </c>
    </row>
    <row r="88" ht="14.25" customHeight="1">
      <c r="A88" s="10">
        <f>COUNTIFS($B$2:$B$996,B88)</f>
        <v/>
      </c>
      <c r="B88" s="87" t="inlineStr">
        <is>
          <t>ARGAMASSA TRAÇO 1:3 (EM VOLUME DE CIMENTO E AREIA GROSSA ÚMIDA) PARA CONTRAPISO TIPO FAROFA</t>
        </is>
      </c>
      <c r="C88" s="83" t="inlineStr">
        <is>
          <t>M3</t>
        </is>
      </c>
      <c r="D88" s="2165">
        <f>E88*$D$1</f>
        <v/>
      </c>
      <c r="E88" s="2165" t="n">
        <v>43.48</v>
      </c>
      <c r="F88" s="2165" t="inlineStr">
        <is>
          <t>Argamassa</t>
        </is>
      </c>
      <c r="G88" s="2165" t="inlineStr">
        <is>
          <t>Argamassa de Assentamento de Revestimentos</t>
        </is>
      </c>
      <c r="H88" s="2165" t="n"/>
      <c r="I88" s="85" t="inlineStr">
        <is>
          <t>Argamassa</t>
        </is>
      </c>
    </row>
    <row r="89" ht="15.75" customHeight="1">
      <c r="A89" s="10">
        <f>COUNTIFS($B$2:$B$996,B89)</f>
        <v/>
      </c>
      <c r="B89" s="15" t="inlineStr">
        <is>
          <t xml:space="preserve">ARGAMASSA TRAÇO 1:4 (EM VOLUME DE CIMENTO E AREIA GROSSA ÚMIDA) PARA CHAPISCO CONVENCIONAL, PREPARO MANUAL. </t>
        </is>
      </c>
      <c r="C89" s="11" t="inlineStr">
        <is>
          <t>M3</t>
        </is>
      </c>
      <c r="D89" s="2162">
        <f>E89*$D$1</f>
        <v/>
      </c>
      <c r="E89" s="2162" t="n">
        <v>657.89</v>
      </c>
      <c r="F89" s="2162" t="inlineStr">
        <is>
          <t>Argamassa</t>
        </is>
      </c>
      <c r="G89" s="2162" t="inlineStr">
        <is>
          <t>Argamassa de Assentamento de Revestimentos</t>
        </is>
      </c>
      <c r="H89" s="2162" t="n"/>
      <c r="I89" s="4" t="inlineStr">
        <is>
          <t>Argamassa</t>
        </is>
      </c>
    </row>
    <row r="90" ht="15.75" customHeight="1">
      <c r="A90" s="10">
        <f>COUNTIFS($B$2:$B$996,B90)</f>
        <v/>
      </c>
      <c r="B90" s="15" t="inlineStr">
        <is>
          <t xml:space="preserve">ARGAMASSA TRAÇO 1:5 (EM VOLUME DE CIMENTO E AREIA GROSSA ÚMIDA) PARA CHAPISCO CONVENCIONAL, PREPARO MANUAL. </t>
        </is>
      </c>
      <c r="C90" s="11" t="inlineStr">
        <is>
          <t>M3</t>
        </is>
      </c>
      <c r="D90" s="2162">
        <f>E90*$D$1</f>
        <v/>
      </c>
      <c r="E90" s="2162" t="n">
        <v>633.27</v>
      </c>
      <c r="F90" s="2162" t="inlineStr">
        <is>
          <t>Argamassa</t>
        </is>
      </c>
      <c r="G90" s="2162" t="inlineStr">
        <is>
          <t>Argamassa de Assentamento de Revestimentos</t>
        </is>
      </c>
      <c r="H90" s="2162" t="n"/>
      <c r="I90" s="4" t="inlineStr">
        <is>
          <t>Argamassa</t>
        </is>
      </c>
    </row>
    <row r="91" ht="15.75" customHeight="1">
      <c r="A91" s="10">
        <f>COUNTIFS($B$2:$B$996,B91)</f>
        <v/>
      </c>
      <c r="B91" s="10" t="inlineStr">
        <is>
          <t>ARGAMASSA ENSACADA P/ASSENTAMENTO BLOCO 04MPA NBR 13281</t>
        </is>
      </c>
      <c r="C91" s="11" t="inlineStr">
        <is>
          <t>KG</t>
        </is>
      </c>
      <c r="D91" s="2162">
        <f>E91*$D$1</f>
        <v/>
      </c>
      <c r="E91" s="2162" t="n">
        <v>0.46</v>
      </c>
      <c r="F91" s="2162" t="inlineStr">
        <is>
          <t>Argamassa</t>
        </is>
      </c>
      <c r="G91" s="2162" t="inlineStr">
        <is>
          <t>Argamassa de Assentamento Bloco</t>
        </is>
      </c>
      <c r="H91" s="2162" t="n"/>
      <c r="I91" s="4" t="inlineStr">
        <is>
          <t>Argamassa</t>
        </is>
      </c>
    </row>
    <row r="92" ht="15.75" customHeight="1">
      <c r="A92" s="10">
        <f>COUNTIFS($B$2:$B$996,B92)</f>
        <v/>
      </c>
      <c r="B92" s="10" t="inlineStr">
        <is>
          <t>Massa cimentícia armada</t>
        </is>
      </c>
      <c r="C92" s="11" t="inlineStr">
        <is>
          <t>KG</t>
        </is>
      </c>
      <c r="D92" s="2162">
        <f>E92*$D$1</f>
        <v/>
      </c>
      <c r="E92" s="2162">
        <f>274.9/15</f>
        <v/>
      </c>
      <c r="F92" s="2162" t="inlineStr">
        <is>
          <t>Argamassa</t>
        </is>
      </c>
      <c r="G92" s="2162" t="inlineStr">
        <is>
          <t>Argamassa de Assentamento Bloco</t>
        </is>
      </c>
      <c r="H92" s="2162" t="n"/>
      <c r="I92" s="4" t="inlineStr">
        <is>
          <t>Argamassa</t>
        </is>
      </c>
    </row>
    <row r="93" ht="15.75" customHeight="1">
      <c r="A93" s="10">
        <f>COUNTIFS($B$2:$B$996,B93)</f>
        <v/>
      </c>
      <c r="B93" s="10" t="inlineStr">
        <is>
          <t>Argamassa para encunhamento</t>
        </is>
      </c>
      <c r="C93" s="11" t="inlineStr">
        <is>
          <t>kg</t>
        </is>
      </c>
      <c r="D93" s="2162">
        <f>E93*$D$1</f>
        <v/>
      </c>
      <c r="E93" s="2162" t="n">
        <v>2.562</v>
      </c>
      <c r="F93" s="2162" t="inlineStr">
        <is>
          <t>Argamassa</t>
        </is>
      </c>
      <c r="G93" s="2162" t="inlineStr">
        <is>
          <t>Argamassa Diversas</t>
        </is>
      </c>
      <c r="H93" s="2162" t="n"/>
      <c r="I93" s="4" t="inlineStr">
        <is>
          <t>Argamassa</t>
        </is>
      </c>
    </row>
    <row r="94" ht="15.75" customHeight="1">
      <c r="A94" s="10">
        <f>COUNTIFS($B$2:$B$996,B94)</f>
        <v/>
      </c>
      <c r="B94" s="10" t="inlineStr">
        <is>
          <t>Argamassa ACIII</t>
        </is>
      </c>
      <c r="C94" s="11" t="inlineStr">
        <is>
          <t>KG</t>
        </is>
      </c>
      <c r="D94" s="2162">
        <f>E94*$D$1</f>
        <v/>
      </c>
      <c r="E94" s="2162">
        <f>21.29/20</f>
        <v/>
      </c>
      <c r="F94" s="2162" t="inlineStr">
        <is>
          <t>Argamassa</t>
        </is>
      </c>
      <c r="G94" s="2162" t="inlineStr">
        <is>
          <t>Argamassa de Assentamento de Revestimentos</t>
        </is>
      </c>
      <c r="H94" s="2162" t="n"/>
      <c r="I94" s="4" t="inlineStr">
        <is>
          <t>Argamassa</t>
        </is>
      </c>
    </row>
    <row r="95" ht="15.75" customHeight="1">
      <c r="A95" s="10">
        <f>COUNTIFS($B$2:$B$996,B95)</f>
        <v/>
      </c>
      <c r="B95" s="10" t="inlineStr">
        <is>
          <t>Argamassa ACII</t>
        </is>
      </c>
      <c r="C95" s="11" t="inlineStr">
        <is>
          <t>KG</t>
        </is>
      </c>
      <c r="D95" s="2162">
        <f>E95*$D$1</f>
        <v/>
      </c>
      <c r="E95" s="2162">
        <f>19/20</f>
        <v/>
      </c>
      <c r="F95" s="2162" t="inlineStr">
        <is>
          <t>Argamassa</t>
        </is>
      </c>
      <c r="G95" s="2162" t="inlineStr">
        <is>
          <t>Argamassa de Assentamento de Revestimentos</t>
        </is>
      </c>
      <c r="H95" s="2162" t="n"/>
      <c r="I95" s="4" t="inlineStr">
        <is>
          <t>Argamassa</t>
        </is>
      </c>
    </row>
    <row r="96" ht="15.75" customHeight="1">
      <c r="A96" s="10">
        <f>COUNTIFS($B$2:$B$996,B96)</f>
        <v/>
      </c>
      <c r="B96" s="10" t="inlineStr">
        <is>
          <t>ARGAMASSA ENSACADA PARA CONTRAPISO</t>
        </is>
      </c>
      <c r="C96" s="11" t="inlineStr">
        <is>
          <t>KG</t>
        </is>
      </c>
      <c r="D96" s="2162">
        <f>E96*$D$1</f>
        <v/>
      </c>
      <c r="E96" s="2162" t="n">
        <v>4</v>
      </c>
      <c r="F96" s="2162" t="inlineStr">
        <is>
          <t>Argamassa</t>
        </is>
      </c>
      <c r="G96" s="2162" t="inlineStr">
        <is>
          <t>Argamassa de Assentamento de Revestimentos</t>
        </is>
      </c>
      <c r="H96" s="2162" t="n"/>
      <c r="I96" s="4" t="inlineStr">
        <is>
          <t>Argamassa</t>
        </is>
      </c>
    </row>
    <row r="97" ht="15.75" customHeight="1">
      <c r="A97" s="10">
        <f>COUNTIFS($B$2:$B$996,B97)</f>
        <v/>
      </c>
      <c r="B97" s="10" t="inlineStr">
        <is>
          <t>ARGAMASSA COLANTE AC II</t>
        </is>
      </c>
      <c r="C97" s="11" t="inlineStr">
        <is>
          <t>KG</t>
        </is>
      </c>
      <c r="D97" s="2162">
        <f>E97*$D$1</f>
        <v/>
      </c>
      <c r="E97" s="2162" t="n">
        <v>1.36</v>
      </c>
      <c r="F97" s="2162" t="inlineStr">
        <is>
          <t>Argamassa</t>
        </is>
      </c>
      <c r="G97" s="2162" t="inlineStr">
        <is>
          <t>Argamassa de Assentamento de Revestimentos</t>
        </is>
      </c>
      <c r="H97" s="2162" t="n"/>
      <c r="I97" s="4" t="inlineStr">
        <is>
          <t>Argamassa</t>
        </is>
      </c>
    </row>
    <row r="98" ht="15.75" customHeight="1">
      <c r="A98" s="10">
        <f>COUNTIFS($B$2:$B$996,B98)</f>
        <v/>
      </c>
      <c r="B98" s="10" t="inlineStr">
        <is>
          <t>Argamassa industrializada para Para Chapisco Colante</t>
        </is>
      </c>
      <c r="C98" s="11" t="inlineStr">
        <is>
          <t>KG</t>
        </is>
      </c>
      <c r="D98" s="2162">
        <f>E98*$D$1</f>
        <v/>
      </c>
      <c r="E98" s="2162" t="n">
        <v>0.8</v>
      </c>
      <c r="F98" s="2162" t="inlineStr">
        <is>
          <t>Argamassa</t>
        </is>
      </c>
      <c r="G98" s="2162" t="inlineStr">
        <is>
          <t>Argamassa Diversas</t>
        </is>
      </c>
      <c r="H98" s="2162" t="n"/>
      <c r="I98" s="4" t="inlineStr">
        <is>
          <t>Argamassa</t>
        </is>
      </c>
    </row>
    <row r="99" ht="15.75" customHeight="1">
      <c r="A99" s="10">
        <f>COUNTIFS($B$2:$B$996,B99)</f>
        <v/>
      </c>
      <c r="B99" s="10" t="inlineStr">
        <is>
          <t>Argamassa industrializada para Para Reboco</t>
        </is>
      </c>
      <c r="C99" s="11" t="inlineStr">
        <is>
          <t>KG</t>
        </is>
      </c>
      <c r="D99" s="2162">
        <f>E99*$D$1</f>
        <v/>
      </c>
      <c r="E99" s="2162" t="n">
        <v>0.95</v>
      </c>
      <c r="F99" s="2162" t="inlineStr">
        <is>
          <t>Argamassa</t>
        </is>
      </c>
      <c r="G99" s="2162" t="inlineStr">
        <is>
          <t>Argamassa Diversas</t>
        </is>
      </c>
      <c r="H99" s="2162" t="n"/>
      <c r="I99" s="4" t="inlineStr">
        <is>
          <t>Argamassa</t>
        </is>
      </c>
    </row>
    <row r="100" ht="15.75" customHeight="1">
      <c r="A100" s="10">
        <f>COUNTIFS($B$2:$B$996,B100)</f>
        <v/>
      </c>
      <c r="B100" s="10" t="inlineStr">
        <is>
          <t>Massa Dundun Para Assentamento De Tijolos E Blocos</t>
        </is>
      </c>
      <c r="C100" s="11" t="inlineStr">
        <is>
          <t>KG</t>
        </is>
      </c>
      <c r="D100" s="2162">
        <f>E100*$D$1</f>
        <v/>
      </c>
      <c r="E100" s="2162" t="n">
        <v>19.116</v>
      </c>
      <c r="F100" s="2162" t="inlineStr">
        <is>
          <t>Argamassa</t>
        </is>
      </c>
      <c r="G100" s="2162" t="inlineStr">
        <is>
          <t>Argamassa Diversas</t>
        </is>
      </c>
      <c r="H100" s="2162" t="n"/>
      <c r="I100" s="4" t="inlineStr">
        <is>
          <t>Argamassa</t>
        </is>
      </c>
    </row>
    <row r="101" ht="15.75" customHeight="1">
      <c r="A101" s="10">
        <f>COUNTIFS($B$2:$B$996,B101)</f>
        <v/>
      </c>
      <c r="B101" s="10" t="inlineStr">
        <is>
          <t>ARGAMASSA REFRATÁRIA</t>
        </is>
      </c>
      <c r="C101" s="11" t="inlineStr">
        <is>
          <t>M3</t>
        </is>
      </c>
      <c r="D101" s="2162">
        <f>E101*$D$1</f>
        <v/>
      </c>
      <c r="E101" s="2162" t="n">
        <v>1.75</v>
      </c>
      <c r="F101" s="2162" t="inlineStr">
        <is>
          <t>Argamassa</t>
        </is>
      </c>
      <c r="G101" s="2162" t="inlineStr">
        <is>
          <t>Argamassa Diversas</t>
        </is>
      </c>
      <c r="H101" s="2162" t="n"/>
      <c r="I101" s="4" t="inlineStr">
        <is>
          <t>Argamassa</t>
        </is>
      </c>
    </row>
    <row r="102" ht="15.75" customHeight="1">
      <c r="A102" s="10">
        <f>COUNTIFS($B$2:$B$996,B102)</f>
        <v/>
      </c>
      <c r="B102" s="10" t="inlineStr">
        <is>
          <t>Argamassa Usinada para emboço/massa única</t>
        </is>
      </c>
      <c r="C102" s="11" t="inlineStr">
        <is>
          <t>M3</t>
        </is>
      </c>
      <c r="D102" s="2162">
        <f>E102*$D$1</f>
        <v/>
      </c>
      <c r="E102" s="2162" t="n">
        <v>415</v>
      </c>
      <c r="F102" s="2162" t="inlineStr">
        <is>
          <t>Argamassa</t>
        </is>
      </c>
      <c r="G102" s="2162" t="inlineStr">
        <is>
          <t>Argamassa Diversas</t>
        </is>
      </c>
      <c r="H102" s="2162" t="inlineStr">
        <is>
          <t>VALOR GESSELE</t>
        </is>
      </c>
      <c r="I102" s="4" t="inlineStr">
        <is>
          <t>Argamassa</t>
        </is>
      </c>
    </row>
    <row r="103" ht="15.75" customHeight="1">
      <c r="A103" s="10">
        <f>COUNTIFS($B$2:$B$996,B103)</f>
        <v/>
      </c>
      <c r="B103" s="10" t="inlineStr">
        <is>
          <t>Bombeamento Argamassa Usinada para emboço/massa única</t>
        </is>
      </c>
      <c r="C103" s="11" t="inlineStr">
        <is>
          <t>M3</t>
        </is>
      </c>
      <c r="D103" s="2162">
        <f>E103*$D$1</f>
        <v/>
      </c>
      <c r="E103" s="2162" t="n">
        <v>45</v>
      </c>
      <c r="F103" s="2162" t="inlineStr">
        <is>
          <t>Argamassa</t>
        </is>
      </c>
      <c r="G103" s="2162" t="inlineStr">
        <is>
          <t>Argamassa Diversas</t>
        </is>
      </c>
      <c r="H103" s="2162" t="inlineStr">
        <is>
          <t>VALOR GESSELE</t>
        </is>
      </c>
      <c r="I103" s="4" t="inlineStr">
        <is>
          <t>Argamassa</t>
        </is>
      </c>
    </row>
    <row r="104" ht="15.75" customHeight="1">
      <c r="A104" s="10">
        <f>COUNTIFS($B$2:$B$996,B104)</f>
        <v/>
      </c>
      <c r="B104" s="10" t="inlineStr">
        <is>
          <t>Argamassa usninada para contrapiso</t>
        </is>
      </c>
      <c r="C104" s="11" t="inlineStr">
        <is>
          <t>M3</t>
        </is>
      </c>
      <c r="D104" s="2162">
        <f>E104*$D$1</f>
        <v/>
      </c>
      <c r="E104" s="2162" t="n">
        <v>550</v>
      </c>
      <c r="F104" s="2162" t="inlineStr">
        <is>
          <t>Argamassa</t>
        </is>
      </c>
      <c r="G104" s="2162" t="inlineStr">
        <is>
          <t>Argamassa Diversas</t>
        </is>
      </c>
      <c r="H104" s="2162" t="n"/>
      <c r="I104" s="4" t="inlineStr">
        <is>
          <t>Argamassa</t>
        </is>
      </c>
    </row>
    <row r="105" ht="15.75" customHeight="1">
      <c r="A105" s="10">
        <f>COUNTIFS($B$2:$B$996,B105)</f>
        <v/>
      </c>
      <c r="B105" s="10" t="inlineStr">
        <is>
          <t>Argamassa usninada para contrapiso nivelada</t>
        </is>
      </c>
      <c r="C105" s="11" t="inlineStr">
        <is>
          <t>M3</t>
        </is>
      </c>
      <c r="D105" s="2162">
        <f>E105*$D$1</f>
        <v/>
      </c>
      <c r="E105" s="2162" t="n">
        <v>515</v>
      </c>
      <c r="F105" s="2162" t="inlineStr">
        <is>
          <t>Argamassa</t>
        </is>
      </c>
      <c r="G105" s="2162" t="inlineStr">
        <is>
          <t>Argamassa Diversas</t>
        </is>
      </c>
      <c r="H105" s="2162" t="inlineStr">
        <is>
          <t>VALOR GESSELE</t>
        </is>
      </c>
      <c r="I105" s="4" t="inlineStr">
        <is>
          <t>Argamassa</t>
        </is>
      </c>
    </row>
    <row r="106" ht="15.75" customHeight="1">
      <c r="A106" s="10">
        <f>COUNTIFS($B$2:$B$996,B106)</f>
        <v/>
      </c>
      <c r="B106" s="10" t="inlineStr">
        <is>
          <t>Argila expandida</t>
        </is>
      </c>
      <c r="C106" s="11" t="inlineStr">
        <is>
          <t>KG</t>
        </is>
      </c>
      <c r="D106" s="2162">
        <f>E106*$D$1</f>
        <v/>
      </c>
      <c r="E106" s="2162" t="n">
        <v>2.945</v>
      </c>
      <c r="F106" s="2162" t="inlineStr">
        <is>
          <t>Argamassa</t>
        </is>
      </c>
      <c r="G106" s="2162" t="inlineStr">
        <is>
          <t>Argamassa Diversas</t>
        </is>
      </c>
      <c r="H106" s="2162" t="n"/>
      <c r="I106" s="4" t="inlineStr">
        <is>
          <t>Argamassa</t>
        </is>
      </c>
    </row>
    <row r="107" ht="15.75" customHeight="1">
      <c r="A107" s="10">
        <f>COUNTIFS($B$2:$B$996,B107)</f>
        <v/>
      </c>
      <c r="B107" s="10" t="inlineStr">
        <is>
          <t>ARGAMASSA ESTABILIZADA PARA ASSENTAMENTO</t>
        </is>
      </c>
      <c r="C107" s="11" t="inlineStr">
        <is>
          <t>M3</t>
        </is>
      </c>
      <c r="D107" s="2162">
        <f>E107*$D$1</f>
        <v/>
      </c>
      <c r="E107" s="2162" t="n">
        <v>425</v>
      </c>
      <c r="F107" s="2162" t="inlineStr">
        <is>
          <t>Argamassa</t>
        </is>
      </c>
      <c r="G107" s="2162" t="inlineStr">
        <is>
          <t>Argamassa Usinada</t>
        </is>
      </c>
      <c r="H107" s="2162" t="n"/>
      <c r="I107" s="4" t="inlineStr">
        <is>
          <t>Argamassa</t>
        </is>
      </c>
    </row>
    <row r="108" ht="15.75" customHeight="1">
      <c r="A108" s="10">
        <f>COUNTIFS($B$2:$B$996,B108)</f>
        <v/>
      </c>
      <c r="B108" s="10" t="inlineStr">
        <is>
          <t>ARGAMASSA ESTABILIZADA PARA CHAPISCO</t>
        </is>
      </c>
      <c r="C108" s="11" t="inlineStr">
        <is>
          <t>M3</t>
        </is>
      </c>
      <c r="D108" s="2162">
        <f>E108*$D$1</f>
        <v/>
      </c>
      <c r="E108" s="2162" t="n">
        <v>480</v>
      </c>
      <c r="F108" s="2162" t="inlineStr">
        <is>
          <t>Argamassa</t>
        </is>
      </c>
      <c r="G108" s="2162" t="inlineStr">
        <is>
          <t>Argamassa Usinada</t>
        </is>
      </c>
      <c r="H108" s="2162" t="n"/>
      <c r="I108" s="4" t="inlineStr">
        <is>
          <t>Argamassa</t>
        </is>
      </c>
    </row>
    <row r="109" ht="15.75" customHeight="1">
      <c r="A109" s="10">
        <f>COUNTIFS($B$2:$B$996,B109)</f>
        <v/>
      </c>
      <c r="B109" s="10" t="inlineStr">
        <is>
          <t>ARGAMASSA INDUSTRIALIZADA MULTIUSO, PARA REVESTIMENTO INTERNO E EXTERNO E ASSENTAMENTO DE BLOCOS DIVERSOS</t>
        </is>
      </c>
      <c r="C109" s="11" t="inlineStr">
        <is>
          <t>M3</t>
        </is>
      </c>
      <c r="D109" s="2162">
        <f>E109*$D$1</f>
        <v/>
      </c>
      <c r="E109" s="2162" t="n">
        <v>425</v>
      </c>
      <c r="F109" s="2162" t="inlineStr">
        <is>
          <t>Argamassa</t>
        </is>
      </c>
      <c r="G109" s="2162" t="inlineStr">
        <is>
          <t>Argamassa Usinada</t>
        </is>
      </c>
      <c r="H109" s="2162" t="n"/>
      <c r="I109" s="4" t="inlineStr">
        <is>
          <t>Argamassa</t>
        </is>
      </c>
    </row>
    <row r="110" ht="15.75" customHeight="1">
      <c r="A110" s="10">
        <f>COUNTIFS($B$2:$B$996,B110)</f>
        <v/>
      </c>
      <c r="B110" s="10" t="inlineStr">
        <is>
          <t>PISO INTERTRAVADO CONCRETO SEXTAVADO 35MPA 30X30X06CM NATURAL</t>
        </is>
      </c>
      <c r="C110" s="11" t="inlineStr">
        <is>
          <t>M2</t>
        </is>
      </c>
      <c r="D110" s="2162">
        <f>E110*$D$1</f>
        <v/>
      </c>
      <c r="E110" s="2162" t="n">
        <v>75.90000000000001</v>
      </c>
      <c r="F110" s="2162" t="inlineStr">
        <is>
          <t>Artefatos de concreto</t>
        </is>
      </c>
      <c r="G110" s="2162" t="inlineStr">
        <is>
          <t>Artefatos de concreto</t>
        </is>
      </c>
      <c r="H110" s="2162" t="n"/>
      <c r="I110" s="4" t="inlineStr">
        <is>
          <t>Concretos</t>
        </is>
      </c>
    </row>
    <row r="111" ht="15.75" customHeight="1">
      <c r="A111" s="10">
        <f>COUNTIFS($B$2:$B$996,B111)</f>
        <v/>
      </c>
      <c r="B111" s="10" t="inlineStr">
        <is>
          <t>Ladrilho hidráulico 20x20 cm</t>
        </is>
      </c>
      <c r="C111" s="11" t="inlineStr">
        <is>
          <t>M2</t>
        </is>
      </c>
      <c r="D111" s="2162">
        <f>E111*$D$1</f>
        <v/>
      </c>
      <c r="E111" s="2162" t="n">
        <v>180</v>
      </c>
      <c r="F111" s="2162" t="inlineStr">
        <is>
          <t>Artefatos de concreto</t>
        </is>
      </c>
      <c r="G111" s="2162" t="inlineStr">
        <is>
          <t>Artefatos de concreto</t>
        </is>
      </c>
      <c r="H111" s="2162" t="n"/>
      <c r="I111" s="4" t="inlineStr">
        <is>
          <t>Concretos</t>
        </is>
      </c>
    </row>
    <row r="112" ht="15.75" customHeight="1">
      <c r="A112" s="10">
        <f>COUNTIFS($B$2:$B$996,B112)</f>
        <v/>
      </c>
      <c r="B112" s="10" t="inlineStr">
        <is>
          <t xml:space="preserve">Piso Intertravado Retangular 10x20x08 </t>
        </is>
      </c>
      <c r="C112" s="11" t="inlineStr">
        <is>
          <t>M2</t>
        </is>
      </c>
      <c r="D112" s="2162">
        <f>E112*$D$1</f>
        <v/>
      </c>
      <c r="E112" s="2162" t="n">
        <v>65.90000000000001</v>
      </c>
      <c r="F112" s="2162" t="inlineStr">
        <is>
          <t>Artefatos de concreto</t>
        </is>
      </c>
      <c r="G112" s="2162" t="inlineStr">
        <is>
          <t>Artefatos de concreto</t>
        </is>
      </c>
      <c r="H112" s="2162" t="n"/>
      <c r="I112" s="4" t="inlineStr">
        <is>
          <t>Concretos</t>
        </is>
      </c>
    </row>
    <row r="113" ht="15.75" customHeight="1">
      <c r="A113" s="10">
        <f>COUNTIFS($B$2:$B$996,B113)</f>
        <v/>
      </c>
      <c r="B113" s="10" t="inlineStr">
        <is>
          <t>Piso Podotátil Alerta Amarelo 20x20cm Cimartex</t>
        </is>
      </c>
      <c r="C113" s="11" t="inlineStr">
        <is>
          <t>M2</t>
        </is>
      </c>
      <c r="D113" s="2162">
        <f>E113*$D$1</f>
        <v/>
      </c>
      <c r="E113" s="2162" t="n">
        <v>102.9</v>
      </c>
      <c r="F113" s="2162" t="inlineStr">
        <is>
          <t>Artefatos de concreto</t>
        </is>
      </c>
      <c r="G113" s="2162" t="inlineStr">
        <is>
          <t>Artefatos de concreto</t>
        </is>
      </c>
      <c r="H113" s="2162" t="n"/>
      <c r="I113" s="4" t="inlineStr">
        <is>
          <t>Concretos</t>
        </is>
      </c>
    </row>
    <row r="114" ht="15.75" customHeight="1">
      <c r="A114" s="10">
        <f>COUNTIFS($B$2:$B$996,B114)</f>
        <v/>
      </c>
      <c r="B114" s="10" t="inlineStr">
        <is>
          <t>Tampo de Granito, para Lavatório com saia e rodamão</t>
        </is>
      </c>
      <c r="C114" s="11" t="inlineStr">
        <is>
          <t>M²</t>
        </is>
      </c>
      <c r="D114" s="2162">
        <f>E114*$D$1</f>
        <v/>
      </c>
      <c r="E114" s="2162" t="n">
        <v>750</v>
      </c>
      <c r="F114" s="2162" t="inlineStr">
        <is>
          <t>Bancadas</t>
        </is>
      </c>
      <c r="G114" s="2162" t="inlineStr">
        <is>
          <t>Bancadas</t>
        </is>
      </c>
      <c r="H114" s="2162" t="n"/>
      <c r="I114" s="4" t="inlineStr">
        <is>
          <t>Louças e Acessórios</t>
        </is>
      </c>
    </row>
    <row r="115" ht="15.75" customHeight="1">
      <c r="A115" s="10">
        <f>COUNTIFS($B$2:$B$996,B115)</f>
        <v/>
      </c>
      <c r="B115" s="10" t="inlineStr">
        <is>
          <t>Tampo de Granito, para pia com saia e rodamão</t>
        </is>
      </c>
      <c r="C115" s="11" t="inlineStr">
        <is>
          <t>M²</t>
        </is>
      </c>
      <c r="D115" s="2162">
        <f>E115*$D$1</f>
        <v/>
      </c>
      <c r="E115" s="2162" t="n">
        <v>750</v>
      </c>
      <c r="F115" s="2162" t="inlineStr">
        <is>
          <t>Bancadas</t>
        </is>
      </c>
      <c r="G115" s="2162" t="inlineStr">
        <is>
          <t>Bancadas</t>
        </is>
      </c>
      <c r="H115" s="2162" t="n"/>
      <c r="I115" s="4" t="inlineStr">
        <is>
          <t>Louças e Acessórios</t>
        </is>
      </c>
    </row>
    <row r="116" ht="15.75" customHeight="1">
      <c r="A116" s="10">
        <f>COUNTIFS($B$2:$B$996,B116)</f>
        <v/>
      </c>
      <c r="B116" s="10" t="inlineStr">
        <is>
          <t>Tampo de Granito, para tanque com saia e rodamão</t>
        </is>
      </c>
      <c r="C116" s="11" t="inlineStr">
        <is>
          <t>M²</t>
        </is>
      </c>
      <c r="D116" s="2162">
        <f>E116*$D$1</f>
        <v/>
      </c>
      <c r="E116" s="2162" t="n">
        <v>750</v>
      </c>
      <c r="F116" s="2162" t="inlineStr">
        <is>
          <t>Bancadas</t>
        </is>
      </c>
      <c r="G116" s="2162" t="inlineStr">
        <is>
          <t>Bancadas</t>
        </is>
      </c>
      <c r="H116" s="2162" t="n"/>
      <c r="I116" s="4" t="inlineStr">
        <is>
          <t>Louças e Acessórios</t>
        </is>
      </c>
    </row>
    <row r="117" ht="15.75" customHeight="1">
      <c r="A117" s="10">
        <f>COUNTIFS($B$2:$B$996,B117)</f>
        <v/>
      </c>
      <c r="B117" s="10" t="inlineStr">
        <is>
          <t>Calha Beiral Alumínio Com 2 Tampas Corte 13</t>
        </is>
      </c>
      <c r="C117" s="11" t="inlineStr">
        <is>
          <t>M</t>
        </is>
      </c>
      <c r="D117" s="2162">
        <f>E117*$D$1</f>
        <v/>
      </c>
      <c r="E117" s="2162" t="n">
        <v>18.7148</v>
      </c>
      <c r="F117" s="2162" t="inlineStr">
        <is>
          <t>Cobertura</t>
        </is>
      </c>
      <c r="G117" s="2162" t="inlineStr">
        <is>
          <t>Calha</t>
        </is>
      </c>
      <c r="H117" s="2162" t="n"/>
      <c r="I117" s="4" t="inlineStr">
        <is>
          <t>Calhas e Acessórios</t>
        </is>
      </c>
    </row>
    <row r="118" ht="15.75" customHeight="1">
      <c r="A118" s="10">
        <f>COUNTIFS($B$2:$B$996,B118)</f>
        <v/>
      </c>
      <c r="B118" s="10" t="inlineStr">
        <is>
          <t>Calha Beiral Alumínio Com 2 Tampas Corte 16</t>
        </is>
      </c>
      <c r="C118" s="11" t="inlineStr">
        <is>
          <t>M</t>
        </is>
      </c>
      <c r="D118" s="2162">
        <f>E118*$D$1</f>
        <v/>
      </c>
      <c r="E118" s="2162" t="n">
        <v>23.0336</v>
      </c>
      <c r="F118" s="2162" t="inlineStr">
        <is>
          <t>Cobertura</t>
        </is>
      </c>
      <c r="G118" s="2162" t="inlineStr">
        <is>
          <t>Calha</t>
        </is>
      </c>
      <c r="H118" s="2162" t="n"/>
      <c r="I118" s="4" t="inlineStr">
        <is>
          <t>Calhas e Acessórios</t>
        </is>
      </c>
    </row>
    <row r="119" ht="15.75" customHeight="1">
      <c r="A119" s="10">
        <f>COUNTIFS($B$2:$B$996,B119)</f>
        <v/>
      </c>
      <c r="B119" s="10" t="inlineStr">
        <is>
          <t>Calha Beiral Alumínio Com 2 Tampas Corte 25</t>
        </is>
      </c>
      <c r="C119" s="11" t="inlineStr">
        <is>
          <t>M</t>
        </is>
      </c>
      <c r="D119" s="2162">
        <f>E119*$D$1</f>
        <v/>
      </c>
      <c r="E119" s="2162" t="n">
        <v>35.99</v>
      </c>
      <c r="F119" s="2162" t="inlineStr">
        <is>
          <t>Cobertura</t>
        </is>
      </c>
      <c r="G119" s="2162" t="inlineStr">
        <is>
          <t>Calha</t>
        </is>
      </c>
      <c r="H119" s="2162" t="n"/>
      <c r="I119" s="4" t="inlineStr">
        <is>
          <t>Calhas e Acessórios</t>
        </is>
      </c>
    </row>
    <row r="120" ht="15.75" customHeight="1">
      <c r="A120" s="10">
        <f>COUNTIFS($B$2:$B$996,B120)</f>
        <v/>
      </c>
      <c r="B120" s="10" t="inlineStr">
        <is>
          <t>Calha Beiral Alumínio Com 2 Tampas Corte 30</t>
        </is>
      </c>
      <c r="C120" s="11" t="inlineStr">
        <is>
          <t>M</t>
        </is>
      </c>
      <c r="D120" s="2162">
        <f>E120*$D$1</f>
        <v/>
      </c>
      <c r="E120" s="2162" t="n">
        <v>46.66666666666666</v>
      </c>
      <c r="F120" s="2162" t="inlineStr">
        <is>
          <t>Cobertura</t>
        </is>
      </c>
      <c r="G120" s="2162" t="inlineStr">
        <is>
          <t>Calha</t>
        </is>
      </c>
      <c r="H120" s="2162" t="n"/>
      <c r="I120" s="4" t="inlineStr">
        <is>
          <t>Calhas e Acessórios</t>
        </is>
      </c>
    </row>
    <row r="121" ht="15.75" customHeight="1">
      <c r="A121" s="10">
        <f>COUNTIFS($B$2:$B$996,B121)</f>
        <v/>
      </c>
      <c r="B121" s="10" t="inlineStr">
        <is>
          <t>Calha em alumínio - 94x94</t>
        </is>
      </c>
      <c r="C121" s="11" t="inlineStr">
        <is>
          <t>M</t>
        </is>
      </c>
      <c r="D121" s="2162">
        <f>E121*$D$1</f>
        <v/>
      </c>
      <c r="E121" s="2162" t="n">
        <v>59.96666666666667</v>
      </c>
      <c r="F121" s="2162" t="inlineStr">
        <is>
          <t>Cobertura</t>
        </is>
      </c>
      <c r="G121" s="2162" t="inlineStr">
        <is>
          <t>Calha</t>
        </is>
      </c>
      <c r="H121" s="2162" t="n"/>
      <c r="I121" s="4" t="inlineStr">
        <is>
          <t>Calhas e Acessórios</t>
        </is>
      </c>
    </row>
    <row r="122" ht="15.75" customHeight="1">
      <c r="A122" s="10">
        <f>COUNTIFS($B$2:$B$996,B122)</f>
        <v/>
      </c>
      <c r="B122" s="10" t="inlineStr">
        <is>
          <t xml:space="preserve">Rufo Externo Corte 20cm Aluminio </t>
        </is>
      </c>
      <c r="C122" s="11" t="inlineStr">
        <is>
          <t>M</t>
        </is>
      </c>
      <c r="D122" s="2162">
        <f>E122*$D$1</f>
        <v/>
      </c>
      <c r="E122" s="2162" t="n">
        <v>25</v>
      </c>
      <c r="F122" s="2162" t="inlineStr">
        <is>
          <t>Cobertura</t>
        </is>
      </c>
      <c r="G122" s="2162" t="inlineStr">
        <is>
          <t>Rufo</t>
        </is>
      </c>
      <c r="H122" s="2162" t="n"/>
      <c r="I122" s="4" t="inlineStr">
        <is>
          <t>Calhas e Acessórios</t>
        </is>
      </c>
    </row>
    <row r="123" ht="15.75" customHeight="1">
      <c r="A123" s="10">
        <f>COUNTIFS($B$2:$B$996,B123)</f>
        <v/>
      </c>
      <c r="B123" s="10" t="inlineStr">
        <is>
          <t>RUFO INTERNO/EXTERNO DE CHAPA DE ACO GALVANIZADA NUM 24, CORTE 25 CM</t>
        </is>
      </c>
      <c r="C123" s="11" t="inlineStr">
        <is>
          <t>M</t>
        </is>
      </c>
      <c r="D123" s="2162">
        <f>E123*$D$1</f>
        <v/>
      </c>
      <c r="E123" s="2162" t="n">
        <v>28</v>
      </c>
      <c r="F123" s="2162" t="inlineStr">
        <is>
          <t>Cobertura</t>
        </is>
      </c>
      <c r="G123" s="2162" t="inlineStr">
        <is>
          <t>Rufo</t>
        </is>
      </c>
      <c r="H123" s="2162" t="n"/>
      <c r="I123" s="4" t="inlineStr">
        <is>
          <t>Calhas e Acessórios</t>
        </is>
      </c>
    </row>
    <row r="124" ht="15.75" customHeight="1">
      <c r="A124" s="10">
        <f>COUNTIFS($B$2:$B$996,B124)</f>
        <v/>
      </c>
      <c r="B124" s="10" t="inlineStr">
        <is>
          <t>Isotelha Trapezoidal Térmica Sanduiche branco neve</t>
        </is>
      </c>
      <c r="C124" s="11" t="inlineStr">
        <is>
          <t>M2</t>
        </is>
      </c>
      <c r="D124" s="2162">
        <f>E124*$D$1</f>
        <v/>
      </c>
      <c r="E124" s="2162" t="n">
        <v>198.19</v>
      </c>
      <c r="F124" s="2162" t="inlineStr">
        <is>
          <t>Cobertura</t>
        </is>
      </c>
      <c r="G124" s="2162" t="inlineStr">
        <is>
          <t>Telha</t>
        </is>
      </c>
      <c r="H124" s="2162" t="n"/>
      <c r="I124" s="4" t="inlineStr">
        <is>
          <t>Calhas e Acessórios</t>
        </is>
      </c>
    </row>
    <row r="125" ht="15.75" customHeight="1">
      <c r="A125" s="10">
        <f>COUNTIFS($B$2:$B$996,B125)</f>
        <v/>
      </c>
      <c r="B125" s="10" t="inlineStr">
        <is>
          <t>Policarbonato Compacto</t>
        </is>
      </c>
      <c r="C125" s="11" t="inlineStr">
        <is>
          <t>UN</t>
        </is>
      </c>
      <c r="D125" s="2162">
        <f>E125*$D$1</f>
        <v/>
      </c>
      <c r="E125" s="2162" t="n">
        <v>30657</v>
      </c>
      <c r="F125" s="2162" t="inlineStr">
        <is>
          <t>Cobertura</t>
        </is>
      </c>
      <c r="G125" s="2162" t="inlineStr">
        <is>
          <t>Telha</t>
        </is>
      </c>
      <c r="H125" s="2162" t="n"/>
      <c r="I125" s="4" t="inlineStr">
        <is>
          <t>Calhas e Acessórios</t>
        </is>
      </c>
    </row>
    <row r="126" ht="15.75" customHeight="1">
      <c r="A126" s="10">
        <f>COUNTIFS($B$2:$B$996,B126)</f>
        <v/>
      </c>
      <c r="B126" s="10" t="inlineStr">
        <is>
          <t>TELHA DE FIBROCIMENTO ONDULADA E = 6 MM, DE 2,44 X 1,10 M (SEM AMIANTO)</t>
        </is>
      </c>
      <c r="C126" s="11" t="inlineStr">
        <is>
          <t>M2</t>
        </is>
      </c>
      <c r="D126" s="2162">
        <f>E126*$D$1</f>
        <v/>
      </c>
      <c r="E126" s="2162" t="n">
        <v>66.05</v>
      </c>
      <c r="F126" s="2162" t="inlineStr">
        <is>
          <t>Cobertura</t>
        </is>
      </c>
      <c r="G126" s="2162" t="inlineStr">
        <is>
          <t>Telha</t>
        </is>
      </c>
      <c r="H126" s="2162" t="n"/>
      <c r="I126" s="4" t="inlineStr">
        <is>
          <t>Calhas e Acessórios</t>
        </is>
      </c>
    </row>
    <row r="127" ht="15.75" customHeight="1">
      <c r="A127" s="10">
        <f>COUNTIFS($B$2:$B$996,B127)</f>
        <v/>
      </c>
      <c r="B127" s="10" t="inlineStr">
        <is>
          <t>TELHA FIBROCIMENTO NATURAL S/AMIANTO 06X1100X1530MM NBR 7581/15210</t>
        </is>
      </c>
      <c r="C127" s="11" t="inlineStr">
        <is>
          <t>M2</t>
        </is>
      </c>
      <c r="D127" s="2162">
        <f>E127*$D$1</f>
        <v/>
      </c>
      <c r="E127" s="2162" t="n">
        <v>21.31</v>
      </c>
      <c r="F127" s="2162" t="inlineStr">
        <is>
          <t>Cobertura</t>
        </is>
      </c>
      <c r="G127" s="2162" t="inlineStr">
        <is>
          <t>Telha</t>
        </is>
      </c>
      <c r="H127" s="2162" t="n"/>
      <c r="I127" s="4" t="inlineStr">
        <is>
          <t>Calhas e Acessórios</t>
        </is>
      </c>
    </row>
    <row r="128" ht="15.75" customHeight="1">
      <c r="A128" s="10">
        <f>COUNTIFS($B$2:$B$996,B128)</f>
        <v/>
      </c>
      <c r="B128" s="10" t="inlineStr">
        <is>
          <t>TELHA METALICA GALVANIZADA TRAPEZOIDAL 0,43MM NBR 14514</t>
        </is>
      </c>
      <c r="C128" s="11" t="inlineStr">
        <is>
          <t>M2</t>
        </is>
      </c>
      <c r="D128" s="2162">
        <f>E128*$D$1</f>
        <v/>
      </c>
      <c r="E128" s="2162" t="n">
        <v>31</v>
      </c>
      <c r="F128" s="2162" t="inlineStr">
        <is>
          <t>Cobertura</t>
        </is>
      </c>
      <c r="G128" s="2162" t="inlineStr">
        <is>
          <t>Telha</t>
        </is>
      </c>
      <c r="H128" s="2162" t="n"/>
      <c r="I128" s="4" t="inlineStr">
        <is>
          <t>Calhas e Acessórios</t>
        </is>
      </c>
    </row>
    <row r="129" ht="15.75" customHeight="1">
      <c r="A129" s="10">
        <f>COUNTIFS($B$2:$B$996,B129)</f>
        <v/>
      </c>
      <c r="B129" s="10" t="inlineStr">
        <is>
          <t>TELHA TRAPEZOIDAL EM ACO ZINCADO, ESPESSURA DE 0,50 MM</t>
        </is>
      </c>
      <c r="C129" s="11" t="inlineStr">
        <is>
          <t>M2</t>
        </is>
      </c>
      <c r="D129" s="2162">
        <f>E129*$D$1</f>
        <v/>
      </c>
      <c r="E129" s="2162" t="n">
        <v>97</v>
      </c>
      <c r="F129" s="2162" t="inlineStr">
        <is>
          <t>Cobertura</t>
        </is>
      </c>
      <c r="G129" s="2162" t="inlineStr">
        <is>
          <t>Telha</t>
        </is>
      </c>
      <c r="H129" s="2162" t="n"/>
      <c r="I129" s="4" t="inlineStr">
        <is>
          <t>Calhas e Acessórios</t>
        </is>
      </c>
    </row>
    <row r="130" ht="15.75" customHeight="1">
      <c r="A130" s="10">
        <f>COUNTIFS($B$2:$B$996,B130)</f>
        <v/>
      </c>
      <c r="B130" s="10" t="inlineStr">
        <is>
          <t>Estrutura horizontal</t>
        </is>
      </c>
      <c r="C130" s="11" t="inlineStr">
        <is>
          <t>UN</t>
        </is>
      </c>
      <c r="D130" s="2162">
        <f>E130*$D$1</f>
        <v/>
      </c>
      <c r="E130" s="2162" t="n">
        <v>120.0873362445415</v>
      </c>
      <c r="F130" s="2162" t="inlineStr">
        <is>
          <t>Cobertura</t>
        </is>
      </c>
      <c r="G130" s="2162" t="inlineStr">
        <is>
          <t>Telha</t>
        </is>
      </c>
      <c r="H130" s="2162" t="n"/>
      <c r="I130" s="4" t="inlineStr">
        <is>
          <t>Calhas e Acessórios</t>
        </is>
      </c>
    </row>
    <row r="131" ht="15.75" customHeight="1">
      <c r="A131" s="10">
        <f>COUNTIFS($B$2:$B$996,B131)</f>
        <v/>
      </c>
      <c r="B131" s="10" t="inlineStr">
        <is>
          <t xml:space="preserve"> Pilar de Sustentação</t>
        </is>
      </c>
      <c r="C131" s="11" t="inlineStr">
        <is>
          <t>UN</t>
        </is>
      </c>
      <c r="D131" s="2162">
        <f>E131*$D$1</f>
        <v/>
      </c>
      <c r="E131" s="2162" t="n">
        <v>382</v>
      </c>
      <c r="F131" s="2162" t="inlineStr">
        <is>
          <t>Cobertura</t>
        </is>
      </c>
      <c r="G131" s="2162" t="inlineStr">
        <is>
          <t>Telha</t>
        </is>
      </c>
      <c r="H131" s="2162" t="n"/>
      <c r="I131" s="4" t="inlineStr">
        <is>
          <t>Calhas e Acessórios</t>
        </is>
      </c>
    </row>
    <row r="132" ht="15.75" customHeight="1">
      <c r="A132" s="10">
        <f>COUNTIFS($B$2:$B$996,B132)</f>
        <v/>
      </c>
      <c r="B132" s="10" t="inlineStr">
        <is>
          <t>CONCRETO MAGRO PARA LASTRO</t>
        </is>
      </c>
      <c r="C132" s="11" t="inlineStr">
        <is>
          <t>M3</t>
        </is>
      </c>
      <c r="D132" s="2162">
        <f>E132*$D$1</f>
        <v/>
      </c>
      <c r="E132" s="2162" t="n">
        <v>430.94</v>
      </c>
      <c r="F132" s="2162" t="inlineStr">
        <is>
          <t>Concreto</t>
        </is>
      </c>
      <c r="G132" s="2162" t="inlineStr">
        <is>
          <t>Concreto</t>
        </is>
      </c>
      <c r="H132" s="2162" t="n"/>
      <c r="I132" s="4" t="inlineStr">
        <is>
          <t>Concretos</t>
        </is>
      </c>
    </row>
    <row r="133" ht="15.75" customHeight="1">
      <c r="A133" s="10">
        <f>COUNTIFS($B$2:$B$996,B133)</f>
        <v/>
      </c>
      <c r="B133" s="10" t="inlineStr">
        <is>
          <t>CONCRETO MAGRO USINADO, COM BRITA 1</t>
        </is>
      </c>
      <c r="C133" s="11" t="inlineStr">
        <is>
          <t>M3</t>
        </is>
      </c>
      <c r="D133" s="2162">
        <f>E133*$D$1</f>
        <v/>
      </c>
      <c r="E133" s="2162" t="n">
        <v>352</v>
      </c>
      <c r="F133" s="2162" t="inlineStr">
        <is>
          <t>Concreto</t>
        </is>
      </c>
      <c r="G133" s="2162" t="inlineStr">
        <is>
          <t>Concreto</t>
        </is>
      </c>
      <c r="H133" s="2162" t="n"/>
      <c r="I133" s="4" t="inlineStr">
        <is>
          <t>Concretos</t>
        </is>
      </c>
    </row>
    <row r="134" ht="15.75" customHeight="1">
      <c r="A134" s="10">
        <f>COUNTIFS($B$2:$B$996,B134)</f>
        <v/>
      </c>
      <c r="B134" s="10" t="inlineStr">
        <is>
          <t>Concreto Usinado bombeável 20MPa para Estacas</t>
        </is>
      </c>
      <c r="C134" s="11" t="inlineStr">
        <is>
          <t>M3</t>
        </is>
      </c>
      <c r="D134" s="2162">
        <f>E134*$D$1</f>
        <v/>
      </c>
      <c r="E134" s="2162" t="n">
        <v>502</v>
      </c>
      <c r="F134" s="2162" t="inlineStr">
        <is>
          <t>Concreto</t>
        </is>
      </c>
      <c r="G134" s="2162" t="inlineStr">
        <is>
          <t>Concreto</t>
        </is>
      </c>
      <c r="H134" s="2162" t="n"/>
      <c r="I134" s="4" t="inlineStr">
        <is>
          <t>Concretos</t>
        </is>
      </c>
    </row>
    <row r="135" ht="15.75" customHeight="1">
      <c r="A135" s="10">
        <f>COUNTIFS($B$2:$B$996,B135)</f>
        <v/>
      </c>
      <c r="B135" s="10" t="inlineStr">
        <is>
          <t>Concreto Usinado bombeável 20MPa Convencional</t>
        </is>
      </c>
      <c r="C135" s="11" t="inlineStr">
        <is>
          <t>M3</t>
        </is>
      </c>
      <c r="D135" s="2162">
        <f>E135*$D$1</f>
        <v/>
      </c>
      <c r="E135" s="2162" t="n">
        <v>490</v>
      </c>
      <c r="F135" s="2162" t="inlineStr">
        <is>
          <t>Concreto</t>
        </is>
      </c>
      <c r="G135" s="2162" t="inlineStr">
        <is>
          <t>Concreto</t>
        </is>
      </c>
      <c r="H135" s="2162" t="n"/>
      <c r="I135" s="4" t="inlineStr">
        <is>
          <t>Concretos</t>
        </is>
      </c>
    </row>
    <row r="136" ht="15.75" customHeight="1">
      <c r="A136" s="10">
        <f>COUNTIFS($B$2:$B$996,B136)</f>
        <v/>
      </c>
      <c r="B136" s="10" t="inlineStr">
        <is>
          <t>Concreto Usinado bombeável 25MPa</t>
        </is>
      </c>
      <c r="C136" s="11" t="inlineStr">
        <is>
          <t>M3</t>
        </is>
      </c>
      <c r="D136" s="2162">
        <f>E136*$D$1</f>
        <v/>
      </c>
      <c r="E136" s="2162" t="n">
        <v>492.9999999999999</v>
      </c>
      <c r="F136" s="2162" t="inlineStr">
        <is>
          <t>Concreto</t>
        </is>
      </c>
      <c r="G136" s="2162" t="inlineStr">
        <is>
          <t>Concreto</t>
        </is>
      </c>
      <c r="H136" s="2162" t="n"/>
      <c r="I136" s="4" t="inlineStr">
        <is>
          <t>Concretos</t>
        </is>
      </c>
    </row>
    <row r="137" ht="15.75" customHeight="1">
      <c r="A137" s="10">
        <f>COUNTIFS($B$2:$B$996,B137)</f>
        <v/>
      </c>
      <c r="B137" s="10" t="inlineStr">
        <is>
          <t>Concreto Usinado bombeável 30MPa Convencional</t>
        </is>
      </c>
      <c r="C137" s="11" t="inlineStr">
        <is>
          <t>M3</t>
        </is>
      </c>
      <c r="D137" s="2162">
        <f>E137*$D$1</f>
        <v/>
      </c>
      <c r="E137" s="2162" t="n">
        <v>510</v>
      </c>
      <c r="F137" s="2162" t="inlineStr">
        <is>
          <t>Concreto</t>
        </is>
      </c>
      <c r="G137" s="2162" t="inlineStr">
        <is>
          <t>Concreto</t>
        </is>
      </c>
      <c r="H137" s="2162" t="n"/>
      <c r="I137" s="4" t="inlineStr">
        <is>
          <t>Concretos</t>
        </is>
      </c>
    </row>
    <row r="138" ht="15.75" customHeight="1">
      <c r="A138" s="10">
        <f>COUNTIFS($B$2:$B$996,B138)</f>
        <v/>
      </c>
      <c r="B138" s="10" t="inlineStr">
        <is>
          <t>Concreto Usinado bombeável 30MPa para estacas</t>
        </is>
      </c>
      <c r="C138" s="11" t="inlineStr">
        <is>
          <t>M3</t>
        </is>
      </c>
      <c r="D138" s="2162">
        <f>E138*$D$1</f>
        <v/>
      </c>
      <c r="E138" s="2162" t="n">
        <v>517.65</v>
      </c>
      <c r="F138" s="2162" t="inlineStr">
        <is>
          <t>Concreto</t>
        </is>
      </c>
      <c r="G138" s="2162" t="inlineStr">
        <is>
          <t>Concreto</t>
        </is>
      </c>
      <c r="H138" s="2162" t="n"/>
      <c r="I138" s="4" t="inlineStr">
        <is>
          <t>Concretos</t>
        </is>
      </c>
    </row>
    <row r="139" ht="15.75" customHeight="1">
      <c r="A139" s="10">
        <f>COUNTIFS($B$2:$B$996,B139)</f>
        <v/>
      </c>
      <c r="B139" s="10" t="inlineStr">
        <is>
          <t>Concreto Usinado bombeável 35MPa Convencional</t>
        </is>
      </c>
      <c r="C139" s="11" t="inlineStr">
        <is>
          <t>M3</t>
        </is>
      </c>
      <c r="D139" s="2162">
        <f>E139*$D$1</f>
        <v/>
      </c>
      <c r="E139" s="2176" t="n">
        <v>604.73</v>
      </c>
      <c r="F139" s="2162" t="inlineStr">
        <is>
          <t>Concreto</t>
        </is>
      </c>
      <c r="G139" s="2162" t="inlineStr">
        <is>
          <t>Concreto</t>
        </is>
      </c>
      <c r="H139" s="2176" t="inlineStr">
        <is>
          <t>Proposta Gessele</t>
        </is>
      </c>
      <c r="I139" s="4" t="inlineStr">
        <is>
          <t>Concretos</t>
        </is>
      </c>
    </row>
    <row r="140" ht="15.75" customHeight="1">
      <c r="A140" s="10">
        <f>COUNTIFS($B$2:$B$996,B140)</f>
        <v/>
      </c>
      <c r="B140" s="10" t="inlineStr">
        <is>
          <t>Concreto Usinado bombeável 35MPa para estacas</t>
        </is>
      </c>
      <c r="C140" s="11" t="inlineStr">
        <is>
          <t>M3</t>
        </is>
      </c>
      <c r="D140" s="2162">
        <f>E140*$D$1</f>
        <v/>
      </c>
      <c r="E140" s="2162" t="n">
        <v>565</v>
      </c>
      <c r="F140" s="2162" t="inlineStr">
        <is>
          <t>Concreto</t>
        </is>
      </c>
      <c r="G140" s="2162" t="inlineStr">
        <is>
          <t>Concreto</t>
        </is>
      </c>
      <c r="H140" s="2162" t="n"/>
      <c r="I140" s="4" t="inlineStr">
        <is>
          <t>Concretos</t>
        </is>
      </c>
    </row>
    <row r="141" ht="15.75" customHeight="1">
      <c r="A141" s="10">
        <f>COUNTIFS($B$2:$B$996,B141)</f>
        <v/>
      </c>
      <c r="B141" s="10" t="inlineStr">
        <is>
          <t>Concreto Usinado bombeável 40MPa para estacas</t>
        </is>
      </c>
      <c r="C141" s="11" t="inlineStr">
        <is>
          <t>M3</t>
        </is>
      </c>
      <c r="D141" s="2162">
        <f>E141*$D$1</f>
        <v/>
      </c>
      <c r="E141" s="2162" t="n">
        <v>530</v>
      </c>
      <c r="F141" s="2162" t="inlineStr">
        <is>
          <t>Concreto</t>
        </is>
      </c>
      <c r="G141" s="2162" t="inlineStr">
        <is>
          <t>Concreto</t>
        </is>
      </c>
      <c r="H141" s="2162" t="n"/>
      <c r="I141" s="4" t="inlineStr">
        <is>
          <t>Concretos</t>
        </is>
      </c>
    </row>
    <row r="142" ht="15.75" customHeight="1">
      <c r="A142" s="10">
        <f>COUNTIFS($B$2:$B$996,B142)</f>
        <v/>
      </c>
      <c r="B142" s="10" t="inlineStr">
        <is>
          <t>Concreto Usinado bombeável 40MPa Convencional</t>
        </is>
      </c>
      <c r="C142" s="11" t="inlineStr">
        <is>
          <t>M3</t>
        </is>
      </c>
      <c r="D142" s="2162">
        <f>E142*$D$1</f>
        <v/>
      </c>
      <c r="E142" s="2176" t="n">
        <v>560.52</v>
      </c>
      <c r="F142" s="2162" t="inlineStr">
        <is>
          <t>Concreto</t>
        </is>
      </c>
      <c r="G142" s="2162" t="inlineStr">
        <is>
          <t>Concreto</t>
        </is>
      </c>
      <c r="H142" s="2176" t="inlineStr">
        <is>
          <t>Proposta Gessele</t>
        </is>
      </c>
      <c r="I142" s="4" t="inlineStr">
        <is>
          <t>Concretos</t>
        </is>
      </c>
    </row>
    <row r="143" ht="15.75" customHeight="1">
      <c r="A143" s="10">
        <f>COUNTIFS($B$2:$B$996,B143)</f>
        <v/>
      </c>
      <c r="B143" s="10" t="inlineStr">
        <is>
          <t>Concreto Usinado bombeável 45MPa Convencional</t>
        </is>
      </c>
      <c r="C143" s="11" t="inlineStr">
        <is>
          <t>M3</t>
        </is>
      </c>
      <c r="D143" s="2162">
        <f>E143*$D$1</f>
        <v/>
      </c>
      <c r="E143" s="2176" t="n">
        <v>550.14</v>
      </c>
      <c r="F143" s="2162" t="inlineStr">
        <is>
          <t>Concreto</t>
        </is>
      </c>
      <c r="G143" s="2162" t="inlineStr">
        <is>
          <t>Concreto</t>
        </is>
      </c>
      <c r="H143" s="2176" t="inlineStr">
        <is>
          <t>Proposta Gessele</t>
        </is>
      </c>
      <c r="I143" s="4" t="inlineStr">
        <is>
          <t>Concretos</t>
        </is>
      </c>
    </row>
    <row r="144" ht="15.75" customHeight="1">
      <c r="A144" s="10">
        <f>COUNTIFS($B$2:$B$996,B144)</f>
        <v/>
      </c>
      <c r="B144" s="10" t="inlineStr">
        <is>
          <t>Concreto Usinado bombeável 50MPa Fundação Profunda</t>
        </is>
      </c>
      <c r="C144" s="11" t="inlineStr">
        <is>
          <t>M3</t>
        </is>
      </c>
      <c r="D144" s="2162">
        <f>E144*$D$1</f>
        <v/>
      </c>
      <c r="E144" s="2176" t="n">
        <v>683.9</v>
      </c>
      <c r="F144" s="2162" t="inlineStr">
        <is>
          <t>Concreto</t>
        </is>
      </c>
      <c r="G144" s="2162" t="inlineStr">
        <is>
          <t>Concreto</t>
        </is>
      </c>
      <c r="H144" s="2176" t="inlineStr">
        <is>
          <t>Proposta Gessele</t>
        </is>
      </c>
      <c r="I144" s="4" t="inlineStr">
        <is>
          <t>Concretos</t>
        </is>
      </c>
    </row>
    <row r="145" ht="15.75" customHeight="1">
      <c r="A145" s="10">
        <f>COUNTIFS($B$2:$B$996,B145)</f>
        <v/>
      </c>
      <c r="B145" s="10" t="inlineStr">
        <is>
          <t>Concreto Usinado bombeável 50MPa Com Penetron</t>
        </is>
      </c>
      <c r="C145" s="11" t="inlineStr">
        <is>
          <t>M3</t>
        </is>
      </c>
      <c r="D145" s="2162">
        <f>E145*$D$1</f>
        <v/>
      </c>
      <c r="E145" s="2176">
        <f>607.72+150</f>
        <v/>
      </c>
      <c r="F145" s="2162" t="inlineStr">
        <is>
          <t>Concreto</t>
        </is>
      </c>
      <c r="G145" s="2162" t="inlineStr">
        <is>
          <t>Concreto</t>
        </is>
      </c>
      <c r="H145" s="2176" t="inlineStr">
        <is>
          <t>Proposta Gessele</t>
        </is>
      </c>
      <c r="I145" s="4" t="inlineStr">
        <is>
          <t>Concretos</t>
        </is>
      </c>
    </row>
    <row r="146" ht="15.75" customHeight="1">
      <c r="A146" s="10">
        <f>COUNTIFS($B$2:$B$875,B146)</f>
        <v/>
      </c>
      <c r="B146" s="10" t="inlineStr">
        <is>
          <t>Concreto Usinado bombeável 50MPa Convencional</t>
        </is>
      </c>
      <c r="C146" s="11" t="inlineStr">
        <is>
          <t>M3</t>
        </is>
      </c>
      <c r="D146" s="2162">
        <f>E146*$D$1</f>
        <v/>
      </c>
      <c r="E146" s="2176" t="n">
        <v>607.72</v>
      </c>
      <c r="F146" s="2162" t="inlineStr">
        <is>
          <t>Concreto</t>
        </is>
      </c>
      <c r="G146" s="2162" t="inlineStr">
        <is>
          <t>Concreto</t>
        </is>
      </c>
      <c r="H146" s="2176" t="inlineStr">
        <is>
          <t>Proposta Gessele</t>
        </is>
      </c>
      <c r="I146" s="4" t="inlineStr">
        <is>
          <t>Concretos</t>
        </is>
      </c>
    </row>
    <row r="147" ht="15.75" customHeight="1">
      <c r="A147" s="10">
        <f>COUNTIFS($B$2:$B$996,B147)</f>
        <v/>
      </c>
      <c r="B147" s="10" t="inlineStr">
        <is>
          <t>Concreto Usinado bombeável 50MPa Convencional Supraestrtura</t>
        </is>
      </c>
      <c r="C147" s="11" t="inlineStr">
        <is>
          <t>M3</t>
        </is>
      </c>
      <c r="D147" s="2162">
        <f>E147*$D$1</f>
        <v/>
      </c>
      <c r="E147" s="2176" t="n">
        <v>607.72</v>
      </c>
      <c r="F147" s="2162" t="inlineStr">
        <is>
          <t>Concreto</t>
        </is>
      </c>
      <c r="G147" s="2162" t="inlineStr">
        <is>
          <t>Concreto</t>
        </is>
      </c>
      <c r="H147" s="2176" t="inlineStr">
        <is>
          <t>Proposta Gessele</t>
        </is>
      </c>
      <c r="I147" s="4" t="inlineStr">
        <is>
          <t>Concretos</t>
        </is>
      </c>
    </row>
    <row r="148" ht="15.75" customHeight="1">
      <c r="A148" s="10">
        <f>COUNTIFS($B$2:$B$996,B148)</f>
        <v/>
      </c>
      <c r="B148" s="10" t="inlineStr">
        <is>
          <t>Concreto Usinado bombeável 60MPa Convencional</t>
        </is>
      </c>
      <c r="C148" s="11" t="inlineStr">
        <is>
          <t>M3</t>
        </is>
      </c>
      <c r="D148" s="2162">
        <f>E148*$D$1</f>
        <v/>
      </c>
      <c r="E148" s="2162" t="n">
        <v>585.04</v>
      </c>
      <c r="F148" s="2162" t="inlineStr">
        <is>
          <t>Concreto</t>
        </is>
      </c>
      <c r="G148" s="2162" t="inlineStr">
        <is>
          <t>Concreto</t>
        </is>
      </c>
      <c r="H148" s="2162" t="n"/>
      <c r="I148" s="4" t="inlineStr">
        <is>
          <t>Concretos</t>
        </is>
      </c>
    </row>
    <row r="149" ht="15.75" customHeight="1">
      <c r="A149" s="10">
        <f>COUNTIFS($B$2:$B$996,B149)</f>
        <v/>
      </c>
      <c r="B149" s="10" t="inlineStr">
        <is>
          <t>Grout 15 Mpa</t>
        </is>
      </c>
      <c r="C149" s="11" t="inlineStr">
        <is>
          <t>M3</t>
        </is>
      </c>
      <c r="D149" s="2162">
        <f>E149*$D$1</f>
        <v/>
      </c>
      <c r="E149" s="2162" t="n">
        <v>468.86</v>
      </c>
      <c r="F149" s="2162" t="inlineStr">
        <is>
          <t>Concreto</t>
        </is>
      </c>
      <c r="G149" s="2162" t="inlineStr">
        <is>
          <t>Concreto</t>
        </is>
      </c>
      <c r="H149" s="2162" t="n"/>
      <c r="I149" s="4" t="inlineStr">
        <is>
          <t>Concretos</t>
        </is>
      </c>
    </row>
    <row r="150" ht="15.75" customHeight="1">
      <c r="A150" s="10">
        <f>COUNTIFS($B$2:$B$996,B150)</f>
        <v/>
      </c>
      <c r="B150" s="10" t="inlineStr">
        <is>
          <t>Grout 20 Mpa</t>
        </is>
      </c>
      <c r="C150" s="11" t="inlineStr">
        <is>
          <t>M3</t>
        </is>
      </c>
      <c r="D150" s="2162">
        <f>E150*$D$1</f>
        <v/>
      </c>
      <c r="E150" s="2162" t="n">
        <v>493.5</v>
      </c>
      <c r="F150" s="2162" t="inlineStr">
        <is>
          <t>Concreto</t>
        </is>
      </c>
      <c r="G150" s="2162" t="inlineStr">
        <is>
          <t>Concreto</t>
        </is>
      </c>
      <c r="H150" s="2162" t="n"/>
      <c r="I150" s="4" t="inlineStr">
        <is>
          <t>Concretos</t>
        </is>
      </c>
    </row>
    <row r="151" ht="15.75" customHeight="1">
      <c r="A151" s="10">
        <f>COUNTIFS($B$2:$B$996,B151)</f>
        <v/>
      </c>
      <c r="B151" s="10" t="inlineStr">
        <is>
          <t>Acompanhamento e fiscalização na montagem da Protensão, locação de macaco hidráulico e maçarico</t>
        </is>
      </c>
      <c r="C151" s="11" t="inlineStr">
        <is>
          <t>KG</t>
        </is>
      </c>
      <c r="D151" s="2162">
        <f>E151*$D$1</f>
        <v/>
      </c>
      <c r="E151" s="2162" t="n">
        <v>4.44</v>
      </c>
      <c r="F151" s="2162" t="inlineStr">
        <is>
          <t>Concreto</t>
        </is>
      </c>
      <c r="G151" s="2162" t="inlineStr">
        <is>
          <t>Protendido</t>
        </is>
      </c>
      <c r="H151" s="2162" t="n"/>
      <c r="I151" s="4" t="inlineStr">
        <is>
          <t>Concretos</t>
        </is>
      </c>
    </row>
    <row r="152" ht="15.75" customHeight="1">
      <c r="A152" s="10">
        <f>COUNTIFS($B$2:$B$996,B152)</f>
        <v/>
      </c>
      <c r="B152" s="10" t="inlineStr">
        <is>
          <t>Corte Final dos Cabos</t>
        </is>
      </c>
      <c r="C152" s="11" t="inlineStr">
        <is>
          <t>KG</t>
        </is>
      </c>
      <c r="D152" s="2162">
        <f>E152*$D$1</f>
        <v/>
      </c>
      <c r="E152" s="2162" t="n">
        <v>0.4</v>
      </c>
      <c r="F152" s="2162" t="inlineStr">
        <is>
          <t>Concreto</t>
        </is>
      </c>
      <c r="G152" s="2162" t="inlineStr">
        <is>
          <t>Protendido</t>
        </is>
      </c>
      <c r="H152" s="2162" t="n"/>
      <c r="I152" s="4" t="inlineStr">
        <is>
          <t>Concretos</t>
        </is>
      </c>
    </row>
    <row r="153" ht="15.75" customHeight="1">
      <c r="A153" s="10">
        <f>COUNTIFS($B$2:$B$996,B153)</f>
        <v/>
      </c>
      <c r="B153" s="10" t="inlineStr">
        <is>
          <t>Fechamento dos nichos de Protensão</t>
        </is>
      </c>
      <c r="C153" s="11" t="inlineStr">
        <is>
          <t>KG</t>
        </is>
      </c>
      <c r="D153" s="2162">
        <f>E153*$D$1</f>
        <v/>
      </c>
      <c r="E153" s="2162" t="n">
        <v>0.4</v>
      </c>
      <c r="F153" s="2162" t="inlineStr">
        <is>
          <t>Concreto</t>
        </is>
      </c>
      <c r="G153" s="2162" t="inlineStr">
        <is>
          <t>Protendido</t>
        </is>
      </c>
      <c r="H153" s="2162" t="n"/>
      <c r="I153" s="4" t="inlineStr">
        <is>
          <t>Concretos</t>
        </is>
      </c>
    </row>
    <row r="154" ht="15.75" customHeight="1">
      <c r="A154" s="10">
        <f>COUNTIFS($B$2:$B$996,B154)</f>
        <v/>
      </c>
      <c r="B154" s="10" t="inlineStr">
        <is>
          <t>Compatibilização e elaboração do plano de execução dos materiais EVEHX</t>
        </is>
      </c>
      <c r="C154" s="11" t="inlineStr">
        <is>
          <t>KG</t>
        </is>
      </c>
      <c r="D154" s="2162">
        <f>E154*$D$1</f>
        <v/>
      </c>
      <c r="E154" s="2162" t="n">
        <v>0.2</v>
      </c>
      <c r="F154" s="2162" t="inlineStr">
        <is>
          <t>Concreto</t>
        </is>
      </c>
      <c r="G154" s="2162" t="inlineStr">
        <is>
          <t>Protendido</t>
        </is>
      </c>
      <c r="H154" s="2162" t="n"/>
      <c r="I154" s="4" t="inlineStr">
        <is>
          <t>Concretos</t>
        </is>
      </c>
    </row>
    <row r="155" ht="15.75" customHeight="1">
      <c r="A155" s="10">
        <f>COUNTIFS($B$2:$B$996,B155)</f>
        <v/>
      </c>
      <c r="B155" s="10" t="inlineStr">
        <is>
          <t>Controle tecnológico da Protensão</t>
        </is>
      </c>
      <c r="C155" s="11" t="inlineStr">
        <is>
          <t>UN</t>
        </is>
      </c>
      <c r="D155" s="2162">
        <f>E155*$D$1</f>
        <v/>
      </c>
      <c r="E155" s="2162" t="n">
        <v>0.5</v>
      </c>
      <c r="F155" s="2162" t="inlineStr">
        <is>
          <t>Concreto</t>
        </is>
      </c>
      <c r="G155" s="2162" t="inlineStr">
        <is>
          <t>Protendido</t>
        </is>
      </c>
      <c r="H155" s="2162" t="n"/>
      <c r="I155" s="4" t="inlineStr">
        <is>
          <t>Concretos</t>
        </is>
      </c>
    </row>
    <row r="156" ht="15.75" customHeight="1">
      <c r="A156" s="10">
        <f>COUNTIFS($B$2:$B$996,B156)</f>
        <v/>
      </c>
      <c r="B156" s="10" t="inlineStr">
        <is>
          <t>Ancoragem base 1/2" - EHX 0063</t>
        </is>
      </c>
      <c r="C156" s="11" t="inlineStr">
        <is>
          <t>UN</t>
        </is>
      </c>
      <c r="D156" s="2162">
        <f>E156*$D$1</f>
        <v/>
      </c>
      <c r="E156" s="2162" t="n">
        <v>12.5</v>
      </c>
      <c r="F156" s="2162" t="inlineStr">
        <is>
          <t>Concreto</t>
        </is>
      </c>
      <c r="G156" s="2162" t="inlineStr">
        <is>
          <t>Protendido</t>
        </is>
      </c>
      <c r="H156" s="2162" t="n"/>
      <c r="I156" s="4" t="inlineStr">
        <is>
          <t>Concretos</t>
        </is>
      </c>
    </row>
    <row r="157" ht="15.75" customHeight="1">
      <c r="A157" s="10">
        <f>COUNTIFS($B$2:$B$996,B157)</f>
        <v/>
      </c>
      <c r="B157" s="10" t="inlineStr">
        <is>
          <t>Cunha 1/2" BI Partida - EHX 0036</t>
        </is>
      </c>
      <c r="C157" s="11" t="inlineStr">
        <is>
          <t>PAR</t>
        </is>
      </c>
      <c r="D157" s="2162">
        <f>E157*$D$1</f>
        <v/>
      </c>
      <c r="E157" s="2162" t="n">
        <v>9.130000000000001</v>
      </c>
      <c r="F157" s="2162" t="inlineStr">
        <is>
          <t>Concreto</t>
        </is>
      </c>
      <c r="G157" s="2162" t="inlineStr">
        <is>
          <t>Protendido</t>
        </is>
      </c>
      <c r="H157" s="2162" t="n"/>
      <c r="I157" s="4" t="inlineStr">
        <is>
          <t>Concretos</t>
        </is>
      </c>
    </row>
    <row r="158" ht="15.75" customHeight="1">
      <c r="A158" s="10">
        <f>COUNTIFS($B$2:$B$996,B158)</f>
        <v/>
      </c>
      <c r="B158" s="10" t="inlineStr">
        <is>
          <t>Pocket Former 1/2 - EHX 0009</t>
        </is>
      </c>
      <c r="C158" s="11" t="inlineStr">
        <is>
          <t>UN</t>
        </is>
      </c>
      <c r="D158" s="2162">
        <f>E158*$D$1</f>
        <v/>
      </c>
      <c r="E158" s="2162" t="n">
        <v>2.85</v>
      </c>
      <c r="F158" s="2162" t="inlineStr">
        <is>
          <t>Concreto</t>
        </is>
      </c>
      <c r="G158" s="2162" t="inlineStr">
        <is>
          <t>Protendido</t>
        </is>
      </c>
      <c r="H158" s="2162" t="n"/>
      <c r="I158" s="4" t="inlineStr">
        <is>
          <t>Concretos</t>
        </is>
      </c>
    </row>
    <row r="159" ht="15.75" customHeight="1">
      <c r="A159" s="10">
        <f>COUNTIFS($B$2:$B$996,B159)</f>
        <v/>
      </c>
      <c r="B159" s="10" t="inlineStr">
        <is>
          <t>Adaptador Ancor. (AP2)B Chupeta-EHX 0027</t>
        </is>
      </c>
      <c r="C159" s="11" t="inlineStr">
        <is>
          <t>UN</t>
        </is>
      </c>
      <c r="D159" s="2162">
        <f>E159*$D$1</f>
        <v/>
      </c>
      <c r="E159" s="2162" t="n">
        <v>1.42</v>
      </c>
      <c r="F159" s="2162" t="inlineStr">
        <is>
          <t>Concreto</t>
        </is>
      </c>
      <c r="G159" s="2162" t="inlineStr">
        <is>
          <t>Protendido</t>
        </is>
      </c>
      <c r="H159" s="2162" t="n"/>
      <c r="I159" s="4" t="inlineStr">
        <is>
          <t>Concretos</t>
        </is>
      </c>
    </row>
    <row r="160" ht="15.75" customHeight="1">
      <c r="A160" s="10">
        <f>COUNTIFS($B$2:$B$996,B160)</f>
        <v/>
      </c>
      <c r="B160" s="10" t="inlineStr">
        <is>
          <t>Pt-Plug Ø12,7 - 3,8cm</t>
        </is>
      </c>
      <c r="C160" s="11" t="inlineStr">
        <is>
          <t>UN</t>
        </is>
      </c>
      <c r="D160" s="2162">
        <f>E160*$D$1</f>
        <v/>
      </c>
      <c r="E160" s="2162" t="n">
        <v>5.68</v>
      </c>
      <c r="F160" s="2162" t="inlineStr">
        <is>
          <t>Concreto</t>
        </is>
      </c>
      <c r="G160" s="2162" t="inlineStr">
        <is>
          <t>Protendido</t>
        </is>
      </c>
      <c r="H160" s="2162" t="n"/>
      <c r="I160" s="4" t="inlineStr">
        <is>
          <t>Concretos</t>
        </is>
      </c>
    </row>
    <row r="161" ht="15.75" customHeight="1">
      <c r="A161" s="10">
        <f>COUNTIFS($B$2:$B$996,B161)</f>
        <v/>
      </c>
      <c r="B161" s="10" t="inlineStr">
        <is>
          <t>Tirante Plast - EHX 0621</t>
        </is>
      </c>
      <c r="C161" s="11" t="inlineStr">
        <is>
          <t>PAR</t>
        </is>
      </c>
      <c r="D161" s="2162">
        <f>E161*$D$1</f>
        <v/>
      </c>
      <c r="E161" s="2162" t="n">
        <v>2.3</v>
      </c>
      <c r="F161" s="2162" t="inlineStr">
        <is>
          <t>Concreto</t>
        </is>
      </c>
      <c r="G161" s="2162" t="inlineStr">
        <is>
          <t>Protendido</t>
        </is>
      </c>
      <c r="H161" s="2162" t="n"/>
      <c r="I161" s="4" t="inlineStr">
        <is>
          <t>Concretos</t>
        </is>
      </c>
    </row>
    <row r="162" ht="15.75" customHeight="1">
      <c r="A162" s="10">
        <f>COUNTIFS($B$2:$B$996,B162)</f>
        <v/>
      </c>
      <c r="B162" s="10" t="inlineStr">
        <is>
          <t>Apoio Metálico EHX 0072</t>
        </is>
      </c>
      <c r="C162" s="11" t="inlineStr">
        <is>
          <t>PAR</t>
        </is>
      </c>
      <c r="D162" s="2162">
        <f>E162*$D$1</f>
        <v/>
      </c>
      <c r="E162" s="2162" t="n">
        <v>3.4</v>
      </c>
      <c r="F162" s="2162" t="inlineStr">
        <is>
          <t>Concreto</t>
        </is>
      </c>
      <c r="G162" s="2162" t="inlineStr">
        <is>
          <t>Protendido</t>
        </is>
      </c>
      <c r="H162" s="2162" t="n"/>
      <c r="I162" s="4" t="inlineStr">
        <is>
          <t>Concretos</t>
        </is>
      </c>
    </row>
    <row r="163" ht="15.75" customHeight="1">
      <c r="A163" s="10">
        <f>COUNTIFS($B$2:$B$996,B163)</f>
        <v/>
      </c>
      <c r="B163" s="10" t="inlineStr">
        <is>
          <t>Industrialização dos cabos (Corte, enrolação, pré-blocagem e identificação por cores)</t>
        </is>
      </c>
      <c r="C163" s="11" t="inlineStr">
        <is>
          <t>PAR</t>
        </is>
      </c>
      <c r="D163" s="2162">
        <f>E163*$D$1</f>
        <v/>
      </c>
      <c r="E163" s="2162" t="n">
        <v>1.1</v>
      </c>
      <c r="F163" s="2162" t="inlineStr">
        <is>
          <t>Concreto</t>
        </is>
      </c>
      <c r="G163" s="2162" t="inlineStr">
        <is>
          <t>Protendido</t>
        </is>
      </c>
      <c r="H163" s="2162" t="n"/>
      <c r="I163" s="4" t="inlineStr">
        <is>
          <t>Concretos</t>
        </is>
      </c>
    </row>
    <row r="164" ht="15.75" customHeight="1">
      <c r="A164" s="10">
        <f>COUNTIFS($B$2:$B$996,B164)</f>
        <v/>
      </c>
      <c r="B164" s="10" t="inlineStr">
        <is>
          <t>FITA DE PAPEL MICROPERFURADO, 50 X 150 MM, PARA TRATAMENTO DE JUNTAS DE CHAPA DE GESSO PARA DRYWALL</t>
        </is>
      </c>
      <c r="C164" s="11" t="inlineStr">
        <is>
          <t>M</t>
        </is>
      </c>
      <c r="D164" s="2162">
        <f>E164*$D$1</f>
        <v/>
      </c>
      <c r="E164" s="2162" t="n">
        <v>0.31</v>
      </c>
      <c r="F164" s="2162" t="inlineStr">
        <is>
          <t>Drywall/Shaft/Forro</t>
        </is>
      </c>
      <c r="G164" s="2162" t="inlineStr">
        <is>
          <t>Diversos</t>
        </is>
      </c>
      <c r="H164" s="2162" t="n"/>
      <c r="I164" s="4" t="inlineStr">
        <is>
          <t>Diversos</t>
        </is>
      </c>
    </row>
    <row r="165" ht="15.75" customHeight="1">
      <c r="A165" s="10">
        <f>COUNTIFS($B$2:$B$996,B165)</f>
        <v/>
      </c>
      <c r="B165" s="10" t="inlineStr">
        <is>
          <t>FITA DE PAPEL REFORCADA COM LAMINA DE METAL PARA REFORCO DE CANTOS DE CHAPA DE GESSO PARA DRYWALL</t>
        </is>
      </c>
      <c r="C165" s="11" t="inlineStr">
        <is>
          <t>M</t>
        </is>
      </c>
      <c r="D165" s="2162">
        <f>E165*$D$1</f>
        <v/>
      </c>
      <c r="E165" s="2162" t="n">
        <v>2.74</v>
      </c>
      <c r="F165" s="2162" t="inlineStr">
        <is>
          <t>Drywall/Shaft/Forro</t>
        </is>
      </c>
      <c r="G165" s="2162" t="inlineStr">
        <is>
          <t>Diversos</t>
        </is>
      </c>
      <c r="H165" s="2162" t="n"/>
      <c r="I165" s="4" t="inlineStr">
        <is>
          <t>Diversos</t>
        </is>
      </c>
    </row>
    <row r="166" ht="15.75" customHeight="1">
      <c r="A166" s="10">
        <f>COUNTIFS($B$2:$B$996,B166)</f>
        <v/>
      </c>
      <c r="B166" s="10" t="inlineStr">
        <is>
          <t>MASSA DE REJUNTE EM PO PARA DRYWALL, A BASE DE GESSO, SECAGEM RAPIDA, PARA TRATAMENTO DE JUNTAS DE CHAPA DE GESSO (NECESSITA ADICAO DE AGUA)</t>
        </is>
      </c>
      <c r="C166" s="11" t="inlineStr">
        <is>
          <t>KG</t>
        </is>
      </c>
      <c r="D166" s="2162">
        <f>E166*$D$1</f>
        <v/>
      </c>
      <c r="E166" s="2162" t="n">
        <v>3.43</v>
      </c>
      <c r="F166" s="2162" t="inlineStr">
        <is>
          <t>Drywall/Shaft/Forro</t>
        </is>
      </c>
      <c r="G166" s="2162" t="inlineStr">
        <is>
          <t>Diversos</t>
        </is>
      </c>
      <c r="H166" s="2162" t="n"/>
      <c r="I166" s="4" t="inlineStr">
        <is>
          <t>Diversos</t>
        </is>
      </c>
    </row>
    <row r="167" ht="15.75" customHeight="1">
      <c r="A167" s="10">
        <f>COUNTIFS($B$2:$B$979,B167)</f>
        <v/>
      </c>
      <c r="B167" s="10" t="inlineStr">
        <is>
          <t>PLACA / CHAPA DE GESSO ACARTONADO, RESISTENTE A UMIDADE (RU), COR VERDE, E = 12,5 MM, 1200 X 2400 MM (L X C)</t>
        </is>
      </c>
      <c r="C167" s="11" t="inlineStr">
        <is>
          <t>M2</t>
        </is>
      </c>
      <c r="D167" s="2162">
        <f>E167*$D$1</f>
        <v/>
      </c>
      <c r="E167" s="2176" t="n">
        <v>27.1</v>
      </c>
      <c r="F167" s="2162" t="inlineStr">
        <is>
          <t>Drywall/Shaft/Forro</t>
        </is>
      </c>
      <c r="G167" s="2162" t="inlineStr">
        <is>
          <t>Diversos</t>
        </is>
      </c>
      <c r="H167" s="2162" t="inlineStr">
        <is>
          <t>Custo infromado FG</t>
        </is>
      </c>
      <c r="I167" s="4" t="inlineStr">
        <is>
          <t>Diversos</t>
        </is>
      </c>
    </row>
    <row r="168" ht="15.75" customHeight="1">
      <c r="A168" s="10">
        <f>COUNTIFS($B$2:$B$979,B168)</f>
        <v/>
      </c>
      <c r="B168" s="10" t="inlineStr">
        <is>
          <t>PLACA / CHAPA DE GESSO ACARTONADO, STANDARD (ST), COR BRANCA, E = 12,5 MM, 1200 X 2400 MM (L X C)</t>
        </is>
      </c>
      <c r="C168" s="11" t="inlineStr">
        <is>
          <t>M2</t>
        </is>
      </c>
      <c r="D168" s="2162">
        <f>E168*$D$1</f>
        <v/>
      </c>
      <c r="E168" s="2176" t="n">
        <v>20.16</v>
      </c>
      <c r="F168" s="2162" t="inlineStr">
        <is>
          <t>Drywall/Shaft/Forro</t>
        </is>
      </c>
      <c r="G168" s="2162" t="inlineStr">
        <is>
          <t>Diversos</t>
        </is>
      </c>
      <c r="H168" s="2162" t="inlineStr">
        <is>
          <t>Custo infromado FG</t>
        </is>
      </c>
      <c r="I168" s="4" t="inlineStr">
        <is>
          <t>Diversos</t>
        </is>
      </c>
    </row>
    <row r="169" ht="15.75" customHeight="1">
      <c r="A169" s="10">
        <f>COUNTIFS($B$2:$B$979,B169)</f>
        <v/>
      </c>
      <c r="B169" s="10" t="inlineStr">
        <is>
          <t>PLACA / CHAPA DE GESSO ACARTONADO HARDBOARD (HB) E = 12,5 MM, 1200 X 1800 MM (L X C)</t>
        </is>
      </c>
      <c r="C169" s="11" t="inlineStr">
        <is>
          <t>M2</t>
        </is>
      </c>
      <c r="D169" s="2162">
        <f>E169*$D$1</f>
        <v/>
      </c>
      <c r="E169" s="2176" t="n">
        <v>34.51388888888889</v>
      </c>
      <c r="F169" s="2162" t="inlineStr">
        <is>
          <t>Drywall/Shaft/Forro</t>
        </is>
      </c>
      <c r="G169" s="2162" t="inlineStr">
        <is>
          <t>Diversos</t>
        </is>
      </c>
      <c r="H169" s="2162" t="inlineStr">
        <is>
          <t>Custo infromado FG</t>
        </is>
      </c>
      <c r="I169" s="4" t="inlineStr">
        <is>
          <t>Diversos</t>
        </is>
      </c>
    </row>
    <row r="170" ht="15.75" customHeight="1">
      <c r="A170" s="10">
        <f>COUNTIFS($B$2:$B$979,B170)</f>
        <v/>
      </c>
      <c r="B170" s="10" t="inlineStr">
        <is>
          <t>Forro De Fibra Mineral Armstrong Ceilings Scala Square 625 X 625 X 16mm</t>
        </is>
      </c>
      <c r="C170" s="11" t="inlineStr">
        <is>
          <t>M2</t>
        </is>
      </c>
      <c r="D170" s="2162">
        <f>E170*$D$1</f>
        <v/>
      </c>
      <c r="E170" s="2162" t="n">
        <v>95</v>
      </c>
      <c r="F170" s="2162" t="inlineStr">
        <is>
          <t>Drywall/Shaft/Forro</t>
        </is>
      </c>
      <c r="G170" s="2162" t="inlineStr">
        <is>
          <t>Diversos</t>
        </is>
      </c>
      <c r="H170" s="2162" t="n"/>
      <c r="I170" s="4" t="inlineStr">
        <is>
          <t>Diversos</t>
        </is>
      </c>
    </row>
    <row r="171" ht="15.75" customHeight="1">
      <c r="A171" s="10">
        <f>COUNTIFS($B$2:$B$979,B171)</f>
        <v/>
      </c>
      <c r="B171" s="10" t="inlineStr">
        <is>
          <t>CHAPA DE GESSO PARA DRYWALL PLACO - KNAUF (RU) VERDE 12,5MM X 1,20M X 1,80M</t>
        </is>
      </c>
      <c r="C171" s="11" t="inlineStr">
        <is>
          <t>M2</t>
        </is>
      </c>
      <c r="D171" s="2162">
        <f>E171*$D$1</f>
        <v/>
      </c>
      <c r="E171" s="2162">
        <f>60.21/(1.2*1.8)*1.1</f>
        <v/>
      </c>
      <c r="F171" s="2162" t="inlineStr">
        <is>
          <t>Drywall/Shaft/Forro</t>
        </is>
      </c>
      <c r="G171" s="2162" t="inlineStr">
        <is>
          <t>Diversos</t>
        </is>
      </c>
      <c r="H171" s="2162" t="n"/>
      <c r="I171" s="4" t="inlineStr">
        <is>
          <t>Diversos</t>
        </is>
      </c>
    </row>
    <row r="172" ht="15.75" customHeight="1">
      <c r="A172" s="10">
        <f>COUNTIFS($B$2:$B$979,B172)</f>
        <v/>
      </c>
      <c r="B172" s="10" t="inlineStr">
        <is>
          <t>CHAPA DE GESSO PARA DRYWALL PLACO - KNAUF (HD) HARDBOARD 12,5MM X 1,20M X 1,80M</t>
        </is>
      </c>
      <c r="C172" s="11" t="inlineStr">
        <is>
          <t>M2</t>
        </is>
      </c>
      <c r="D172" s="2162">
        <f>E172*$D$1</f>
        <v/>
      </c>
      <c r="E172" s="2162">
        <f>123.41/(1.2*1.8)*1.1</f>
        <v/>
      </c>
      <c r="F172" s="2162" t="inlineStr">
        <is>
          <t>Drywall/Shaft/Forro</t>
        </is>
      </c>
      <c r="G172" s="2162" t="inlineStr">
        <is>
          <t>Diversos</t>
        </is>
      </c>
      <c r="H172" s="2162" t="n"/>
      <c r="I172" s="4" t="inlineStr">
        <is>
          <t>Diversos</t>
        </is>
      </c>
    </row>
    <row r="173" ht="15.75" customHeight="1">
      <c r="A173" s="10">
        <f>COUNTIFS($B$2:$B$979,B173)</f>
        <v/>
      </c>
      <c r="B173" s="10" t="inlineStr">
        <is>
          <t>CHAPA DE GESSO PARA DRYWALL PLACO - KNAUF (RF) VERMELHA 12,5MM X 1,20M X 1,80M</t>
        </is>
      </c>
      <c r="C173" s="11" t="inlineStr">
        <is>
          <t>M2</t>
        </is>
      </c>
      <c r="D173" s="2162">
        <f>E173*$D$1</f>
        <v/>
      </c>
      <c r="E173" s="2162">
        <f>75/(1.2*1.8)*1.1</f>
        <v/>
      </c>
      <c r="F173" s="2162" t="inlineStr">
        <is>
          <t>Drywall/Shaft/Forro</t>
        </is>
      </c>
      <c r="G173" s="2162" t="inlineStr">
        <is>
          <t>Diversos</t>
        </is>
      </c>
      <c r="H173" s="2162" t="n"/>
      <c r="I173" s="4" t="inlineStr">
        <is>
          <t>Diversos</t>
        </is>
      </c>
    </row>
    <row r="174" ht="15.75" customHeight="1">
      <c r="A174" s="10">
        <f>COUNTIFS($B$2:$B$933,B174)</f>
        <v/>
      </c>
      <c r="B174" s="10" t="inlineStr">
        <is>
          <t>PLACA CIMENTÍCIA(CT) PARA STEEL FRAME BRASILIT-ETERNIT 8MM X 1,20M X 2,40M</t>
        </is>
      </c>
      <c r="C174" s="11" t="inlineStr">
        <is>
          <t>M2</t>
        </is>
      </c>
      <c r="D174" s="2162">
        <f>E174*$D$1</f>
        <v/>
      </c>
      <c r="E174" s="2162">
        <f>78.78/(1.2*2.4)*1.1</f>
        <v/>
      </c>
      <c r="F174" s="2162" t="inlineStr">
        <is>
          <t>Drywall/Shaft/Forro</t>
        </is>
      </c>
      <c r="G174" s="2162" t="inlineStr">
        <is>
          <t>Diversos</t>
        </is>
      </c>
      <c r="H174" s="2162" t="n"/>
      <c r="I174" s="4" t="inlineStr">
        <is>
          <t>Diversos</t>
        </is>
      </c>
    </row>
    <row r="175" ht="15.75" customHeight="1">
      <c r="A175" s="10">
        <f>COUNTIFS($B$2:$B$979,B175)</f>
        <v/>
      </c>
      <c r="B175" s="10" t="inlineStr">
        <is>
          <t>Placa de Gesso Glasroc X 12,5 X 1200 X 2400mm</t>
        </is>
      </c>
      <c r="C175" s="11" t="inlineStr">
        <is>
          <t>M2</t>
        </is>
      </c>
      <c r="D175" s="2162">
        <f>E175*$D$1</f>
        <v/>
      </c>
      <c r="E175" s="2162">
        <f>220/(1.2*2.4)*1.1</f>
        <v/>
      </c>
      <c r="F175" s="2162" t="inlineStr">
        <is>
          <t>Drywall/Shaft/Forro</t>
        </is>
      </c>
      <c r="G175" s="2162" t="inlineStr">
        <is>
          <t>Diversos</t>
        </is>
      </c>
      <c r="H175" s="2162" t="n"/>
      <c r="I175" s="4" t="inlineStr">
        <is>
          <t>Diversos</t>
        </is>
      </c>
    </row>
    <row r="176" ht="15.75" customHeight="1">
      <c r="A176" s="10">
        <f>COUNTIFS($B$2:$B$979,B176)</f>
        <v/>
      </c>
      <c r="B176" s="10" t="inlineStr">
        <is>
          <t>Manta Fibra Cerâmica Alta Temperatura Tapcamp 2000 X 610 X 25 Mm</t>
        </is>
      </c>
      <c r="C176" s="11" t="inlineStr">
        <is>
          <t>M2</t>
        </is>
      </c>
      <c r="D176" s="2162">
        <f>E176*$D$1</f>
        <v/>
      </c>
      <c r="E176" s="2162">
        <f>130/(2*0.61)*1.1</f>
        <v/>
      </c>
      <c r="F176" s="2162" t="inlineStr">
        <is>
          <t>Drywall/Shaft/Forro</t>
        </is>
      </c>
      <c r="G176" s="2162" t="inlineStr">
        <is>
          <t>Drywall/Shaft/Forro</t>
        </is>
      </c>
      <c r="H176" s="2162" t="n"/>
      <c r="I176" s="4" t="inlineStr">
        <is>
          <t>Diversos</t>
        </is>
      </c>
    </row>
    <row r="177" ht="15.75" customHeight="1">
      <c r="A177" s="10">
        <f>COUNTIFS($B$2:$B$979,B177)</f>
        <v/>
      </c>
      <c r="B177" s="10" t="inlineStr">
        <is>
          <t>Lã de pet 50 X 1200 X 12500 MM</t>
        </is>
      </c>
      <c r="C177" s="11" t="inlineStr">
        <is>
          <t>M2</t>
        </is>
      </c>
      <c r="D177" s="2162">
        <f>E177*$D$1</f>
        <v/>
      </c>
      <c r="E177" s="2162">
        <f>195.29/15</f>
        <v/>
      </c>
      <c r="F177" s="2162" t="inlineStr">
        <is>
          <t>Drywall/Shaft/Forro</t>
        </is>
      </c>
      <c r="G177" s="2162" t="inlineStr">
        <is>
          <t>Drywall/Shaft/Forro</t>
        </is>
      </c>
      <c r="H177" s="2162" t="n"/>
      <c r="I177" s="4" t="inlineStr">
        <is>
          <t>Diversos</t>
        </is>
      </c>
    </row>
    <row r="178" ht="15.75" customHeight="1">
      <c r="A178" s="10">
        <f>COUNTIFS($B$2:$B$979,B178)</f>
        <v/>
      </c>
      <c r="B178" s="10" t="inlineStr">
        <is>
          <t>LÂ DE VIDRO PARA ISOLAMENTO 50mm</t>
        </is>
      </c>
      <c r="C178" s="11" t="inlineStr">
        <is>
          <t>M2</t>
        </is>
      </c>
      <c r="D178" s="2162">
        <f>E178*$D$1</f>
        <v/>
      </c>
      <c r="E178" s="2162" t="n">
        <v>12.82866666666667</v>
      </c>
      <c r="F178" s="2162" t="inlineStr">
        <is>
          <t>Drywall/Shaft/Forro</t>
        </is>
      </c>
      <c r="G178" s="2162" t="inlineStr">
        <is>
          <t>Drywall/Shaft/Forro</t>
        </is>
      </c>
      <c r="H178" s="2162" t="n"/>
      <c r="I178" s="4" t="inlineStr">
        <is>
          <t>Diversos</t>
        </is>
      </c>
    </row>
    <row r="179" ht="15.75" customHeight="1">
      <c r="A179" s="10">
        <f>COUNTIFS($B$2:$B$950,B179)</f>
        <v/>
      </c>
      <c r="B179" s="10" t="inlineStr">
        <is>
          <t>BANDA ACUSTICA</t>
        </is>
      </c>
      <c r="C179" s="11" t="inlineStr">
        <is>
          <t>M</t>
        </is>
      </c>
      <c r="D179" s="2162">
        <f>E179*$D$1</f>
        <v/>
      </c>
      <c r="E179" s="2176" t="n">
        <v>3</v>
      </c>
      <c r="F179" s="2162" t="inlineStr">
        <is>
          <t>Drywall/Shaft/Forro</t>
        </is>
      </c>
      <c r="G179" s="2162" t="inlineStr">
        <is>
          <t>Drywall/Shaft/Forro</t>
        </is>
      </c>
      <c r="H179" s="2162" t="inlineStr">
        <is>
          <t>Custo infromado FG</t>
        </is>
      </c>
      <c r="I179" s="4" t="inlineStr">
        <is>
          <t>Diversos</t>
        </is>
      </c>
    </row>
    <row r="180" ht="15.75" customHeight="1">
      <c r="A180" s="10">
        <f>COUNTIFS($B$2:$B$950,B180)</f>
        <v/>
      </c>
      <c r="B180" s="10" t="inlineStr">
        <is>
          <t>Aplicação de zarcão nas guias inferiores</t>
        </is>
      </c>
      <c r="C180" s="11" t="inlineStr">
        <is>
          <t>M</t>
        </is>
      </c>
      <c r="D180" s="2162">
        <f>E180*$D$1</f>
        <v/>
      </c>
      <c r="E180" s="2176" t="n">
        <v>0.6</v>
      </c>
      <c r="F180" s="2162" t="inlineStr">
        <is>
          <t>Drywall/Shaft/Forro</t>
        </is>
      </c>
      <c r="G180" s="2162" t="inlineStr">
        <is>
          <t>Drywall/Shaft/Forro</t>
        </is>
      </c>
      <c r="H180" s="2162" t="inlineStr">
        <is>
          <t>Custo infromado FG</t>
        </is>
      </c>
      <c r="I180" s="4" t="inlineStr">
        <is>
          <t>Diversos</t>
        </is>
      </c>
    </row>
    <row r="181" ht="15.75" customHeight="1">
      <c r="A181" s="10">
        <f>COUNTIFS($B$2:$B$996,B181)</f>
        <v/>
      </c>
      <c r="B181" s="10" t="inlineStr">
        <is>
          <t>PARAFUSO DRY WALL, EM ACO FOSFATIZADO, CABECA TROMBETA E PONTA AGULHA (TA), COMPRIMENTO 25 MM</t>
        </is>
      </c>
      <c r="C181" s="11" t="inlineStr">
        <is>
          <t>UN</t>
        </is>
      </c>
      <c r="D181" s="2162">
        <f>E181*$D$1</f>
        <v/>
      </c>
      <c r="E181" s="2162" t="n">
        <v>0.09</v>
      </c>
      <c r="F181" s="2162" t="inlineStr">
        <is>
          <t>Drywall/Shaft/Forro</t>
        </is>
      </c>
      <c r="G181" s="2162" t="inlineStr">
        <is>
          <t>Drywall/Shaft/Forro</t>
        </is>
      </c>
      <c r="H181" s="2162" t="n"/>
      <c r="I181" s="4" t="inlineStr">
        <is>
          <t>Diversos</t>
        </is>
      </c>
    </row>
    <row r="182" ht="15.75" customHeight="1">
      <c r="A182" s="10">
        <f>COUNTIFS($B$2:$B$996,B182)</f>
        <v/>
      </c>
      <c r="B182" s="10" t="inlineStr">
        <is>
          <t>PARAFUSO DRY WALL, EM ACO ZINCADO, CABECA LENTILHA E PONTA BROCA (LB), LARGURA 4,2 MM, COMPRIMENTO 13 MM</t>
        </is>
      </c>
      <c r="C182" s="11" t="inlineStr">
        <is>
          <t>UN</t>
        </is>
      </c>
      <c r="D182" s="2162">
        <f>E182*$D$1</f>
        <v/>
      </c>
      <c r="E182" s="2162" t="n">
        <v>0.2</v>
      </c>
      <c r="F182" s="2162" t="inlineStr">
        <is>
          <t>Drywall/Shaft/Forro</t>
        </is>
      </c>
      <c r="G182" s="2162" t="inlineStr">
        <is>
          <t>Drywall/Shaft/Forro</t>
        </is>
      </c>
      <c r="H182" s="2162" t="n"/>
      <c r="I182" s="4" t="inlineStr">
        <is>
          <t>Diversos</t>
        </is>
      </c>
    </row>
    <row r="183" ht="15.75" customHeight="1">
      <c r="A183" s="10">
        <f>COUNTIFS($B$2:$B$996,B183)</f>
        <v/>
      </c>
      <c r="B183" s="10" t="inlineStr">
        <is>
          <t>PERFIL GUIA, FORMATO U, EM ACO ZINCADO, PARA ESTRUTURA PAREDE DRYWALL, E = 0,5 MM, 48 X 3000 MM (L X C)</t>
        </is>
      </c>
      <c r="C183" s="11" t="inlineStr">
        <is>
          <t>M</t>
        </is>
      </c>
      <c r="D183" s="2162">
        <f>E183*$D$1</f>
        <v/>
      </c>
      <c r="E183" s="2162" t="n">
        <v>7.03</v>
      </c>
      <c r="F183" s="2162" t="inlineStr">
        <is>
          <t>Drywall/Shaft/Forro</t>
        </is>
      </c>
      <c r="G183" s="2162" t="inlineStr">
        <is>
          <t>Drywall/Shaft/Forro</t>
        </is>
      </c>
      <c r="H183" s="2162" t="n"/>
      <c r="I183" s="4" t="inlineStr">
        <is>
          <t>Diversos</t>
        </is>
      </c>
    </row>
    <row r="184" ht="15.75" customHeight="1">
      <c r="A184" s="10">
        <f>COUNTIFS($B$2:$B$996,B184)</f>
        <v/>
      </c>
      <c r="B184" s="10" t="inlineStr">
        <is>
          <t>PERFIL GUIA, FORMATO U, EM ACO ZINCADO, PARA ESTRUTURA PAREDE DRYWALL, E = 0,5 MM, 70 X 3000 MM (L X C)</t>
        </is>
      </c>
      <c r="C184" s="11" t="inlineStr">
        <is>
          <t>M</t>
        </is>
      </c>
      <c r="D184" s="2162">
        <f>E184*$D$1</f>
        <v/>
      </c>
      <c r="E184" s="2176" t="n">
        <v>7.46</v>
      </c>
      <c r="F184" s="2162" t="inlineStr">
        <is>
          <t>Drywall/Shaft/Forro</t>
        </is>
      </c>
      <c r="G184" s="2162" t="inlineStr">
        <is>
          <t>Drywall/Shaft/Forro</t>
        </is>
      </c>
      <c r="H184" s="2162" t="n"/>
      <c r="I184" s="4" t="inlineStr">
        <is>
          <t>Diversos</t>
        </is>
      </c>
    </row>
    <row r="185" ht="15.75" customHeight="1">
      <c r="A185" s="10">
        <f>COUNTIFS($B$2:$B$996,B185)</f>
        <v/>
      </c>
      <c r="B185" s="10" t="inlineStr">
        <is>
          <t>PERFIL GUIA, FORMATO U, EM ACO ZINCADO, PARA ESTRUTURA PAREDE DRYWALL, E = 0,5 MM, 90 X 3000 MM (L X C)</t>
        </is>
      </c>
      <c r="C185" s="11" t="inlineStr">
        <is>
          <t>M</t>
        </is>
      </c>
      <c r="D185" s="2162">
        <f>E185*$D$1</f>
        <v/>
      </c>
      <c r="E185" s="2176" t="n">
        <v>8.640000000000001</v>
      </c>
      <c r="F185" s="2162" t="inlineStr">
        <is>
          <t>Drywall/Shaft/Forro</t>
        </is>
      </c>
      <c r="G185" s="2162" t="inlineStr">
        <is>
          <t>Drywall/Shaft/Forro</t>
        </is>
      </c>
      <c r="H185" s="2162" t="n"/>
      <c r="I185" s="4" t="inlineStr">
        <is>
          <t>Diversos</t>
        </is>
      </c>
    </row>
    <row r="186" ht="15.75" customHeight="1">
      <c r="A186" s="10">
        <f>COUNTIFS($B$2:$B$996,B186)</f>
        <v/>
      </c>
      <c r="B186" s="10" t="inlineStr">
        <is>
          <t>PERFIL MONTANTE, FORMATO C, EM ACO ZINCADO, PARA ESTRUTURA PAREDE DRYWALL, E = 0,5 MM, 48 X 3000 MM (L X C)</t>
        </is>
      </c>
      <c r="C186" s="11" t="inlineStr">
        <is>
          <t>M</t>
        </is>
      </c>
      <c r="D186" s="2162">
        <f>E186*$D$1</f>
        <v/>
      </c>
      <c r="E186" s="2162" t="n">
        <v>7.98</v>
      </c>
      <c r="F186" s="2162" t="inlineStr">
        <is>
          <t>Drywall/Shaft/Forro</t>
        </is>
      </c>
      <c r="G186" s="2162" t="inlineStr">
        <is>
          <t>Drywall/Shaft/Forro</t>
        </is>
      </c>
      <c r="H186" s="2162" t="n"/>
      <c r="I186" s="4" t="inlineStr">
        <is>
          <t>Diversos</t>
        </is>
      </c>
    </row>
    <row r="187" ht="15.75" customHeight="1">
      <c r="A187" s="10">
        <f>COUNTIFS($B$2:$B$996,B187)</f>
        <v/>
      </c>
      <c r="B187" s="10" t="inlineStr">
        <is>
          <t>PERFIL MONTANTE, FORMATO C, EM ACO ZINCADO, PARA ESTRUTURA PAREDE DRYWALL, E = 0,5 MM, 70 X 3000 MM (L X C)</t>
        </is>
      </c>
      <c r="C187" s="11" t="inlineStr">
        <is>
          <t>M</t>
        </is>
      </c>
      <c r="D187" s="2162">
        <f>E187*$D$1</f>
        <v/>
      </c>
      <c r="E187" s="2162" t="n">
        <v>7.98</v>
      </c>
      <c r="F187" s="2162" t="inlineStr">
        <is>
          <t>Drywall/Shaft/Forro</t>
        </is>
      </c>
      <c r="G187" s="2162" t="inlineStr">
        <is>
          <t>Drywall/Shaft/Forro</t>
        </is>
      </c>
      <c r="H187" s="2162" t="n"/>
      <c r="I187" s="4" t="inlineStr">
        <is>
          <t>Diversos</t>
        </is>
      </c>
    </row>
    <row r="188" ht="15.75" customHeight="1">
      <c r="A188" s="10">
        <f>COUNTIFS($B$2:$B$996,B188)</f>
        <v/>
      </c>
      <c r="B188" s="10" t="inlineStr">
        <is>
          <t>PERFIL MONTANTE, FORMATO C, EM ACO ZINCADO, PARA ESTRUTURA PAREDE DRYWALL, E = 0,5 MM, 90 X 3000 MM (L X C)</t>
        </is>
      </c>
      <c r="C188" s="11" t="inlineStr">
        <is>
          <t>M</t>
        </is>
      </c>
      <c r="D188" s="2162">
        <f>E188*$D$1</f>
        <v/>
      </c>
      <c r="E188" s="2162" t="n">
        <v>18.09</v>
      </c>
      <c r="F188" s="2162" t="inlineStr">
        <is>
          <t>Drywall/Shaft/Forro</t>
        </is>
      </c>
      <c r="G188" s="2162" t="inlineStr">
        <is>
          <t>Drywall/Shaft/Forro</t>
        </is>
      </c>
      <c r="H188" s="2162" t="n"/>
      <c r="I188" s="4" t="inlineStr">
        <is>
          <t>Diversos</t>
        </is>
      </c>
    </row>
    <row r="189" ht="15.75" customHeight="1">
      <c r="A189" s="10">
        <f>COUNTIFS($B$2:$B$996,B189)</f>
        <v/>
      </c>
      <c r="B189" s="10" t="inlineStr">
        <is>
          <t>PINO DE ACO COM ARRUELA CONICA, DIAMETRO ARRUELA = *23* MM E COMP HASTE = *27* MM (ACAO INDIRETA)</t>
        </is>
      </c>
      <c r="C189" s="11" t="inlineStr">
        <is>
          <t>UN</t>
        </is>
      </c>
      <c r="D189" s="2162">
        <f>E189*$D$1</f>
        <v/>
      </c>
      <c r="E189" s="2162" t="n">
        <v>0.504</v>
      </c>
      <c r="F189" s="2162" t="inlineStr">
        <is>
          <t>Drywall/Shaft/Forro</t>
        </is>
      </c>
      <c r="G189" s="2162" t="inlineStr">
        <is>
          <t>Drywall/Shaft/Forro</t>
        </is>
      </c>
      <c r="H189" s="2162" t="n"/>
      <c r="I189" s="4" t="inlineStr">
        <is>
          <t>Diversos</t>
        </is>
      </c>
    </row>
    <row r="190" ht="15.75" customHeight="1">
      <c r="A190" s="10">
        <f>COUNTIFS($B$2:$B$996,B190)</f>
        <v/>
      </c>
      <c r="B190" s="10" t="inlineStr">
        <is>
          <t>PINO DE ACO COM FURO, HASTE = 27 MM (ACAO DIRETA)</t>
        </is>
      </c>
      <c r="C190" s="11" t="inlineStr">
        <is>
          <t>UN</t>
        </is>
      </c>
      <c r="D190" s="2162">
        <f>E190*$D$1</f>
        <v/>
      </c>
      <c r="E190" s="2162" t="n">
        <v>0.4336</v>
      </c>
      <c r="F190" s="2162" t="inlineStr">
        <is>
          <t>Drywall/Shaft/Forro</t>
        </is>
      </c>
      <c r="G190" s="2162" t="inlineStr">
        <is>
          <t>Drywall/Shaft/Forro</t>
        </is>
      </c>
      <c r="H190" s="2162" t="n"/>
      <c r="I190" s="4" t="inlineStr">
        <is>
          <t>Diversos</t>
        </is>
      </c>
    </row>
    <row r="191" ht="15.75" customHeight="1">
      <c r="A191" s="10">
        <f>COUNTIFS($B$2:$B$996,B191)</f>
        <v/>
      </c>
      <c r="B191" s="10" t="inlineStr">
        <is>
          <t>Tela de Fibra de Vidro</t>
        </is>
      </c>
      <c r="C191" s="11" t="inlineStr">
        <is>
          <t>m2</t>
        </is>
      </c>
      <c r="D191" s="2162">
        <f>E191*$D$1</f>
        <v/>
      </c>
      <c r="E191" s="2162">
        <f>405/(1*50)</f>
        <v/>
      </c>
      <c r="F191" s="2162" t="inlineStr">
        <is>
          <t>Drywall/Shaft/Forro</t>
        </is>
      </c>
      <c r="G191" s="2162" t="inlineStr">
        <is>
          <t>Drywall/Shaft/Forro</t>
        </is>
      </c>
      <c r="H191" s="2162" t="n"/>
      <c r="I191" s="4" t="inlineStr">
        <is>
          <t>Diversos</t>
        </is>
      </c>
    </row>
    <row r="192" ht="15.75" customHeight="1">
      <c r="A192" s="10">
        <f>COUNTIFS($B$2:$B$996,B192)</f>
        <v/>
      </c>
      <c r="B192" s="10" t="inlineStr">
        <is>
          <t>Perfil metálico “T” principal 38x24 mm</t>
        </is>
      </c>
      <c r="C192" s="11" t="inlineStr">
        <is>
          <t>M</t>
        </is>
      </c>
      <c r="D192" s="2162">
        <f>E192*$D$1</f>
        <v/>
      </c>
      <c r="E192" s="2162" t="n">
        <v>7.5</v>
      </c>
      <c r="F192" s="2162" t="inlineStr">
        <is>
          <t>Drywall/Shaft/Forro</t>
        </is>
      </c>
      <c r="G192" s="2162" t="inlineStr">
        <is>
          <t>Drywall/Shaft/Forro</t>
        </is>
      </c>
      <c r="H192" s="2162" t="n"/>
      <c r="I192" s="4" t="inlineStr">
        <is>
          <t>Diversos</t>
        </is>
      </c>
    </row>
    <row r="193" ht="15.75" customHeight="1">
      <c r="A193" s="10">
        <f>COUNTIFS($B$2:$B$996,B193)</f>
        <v/>
      </c>
      <c r="B193" s="10" t="inlineStr">
        <is>
          <t>Cantoneira perimetral galvanizada</t>
        </is>
      </c>
      <c r="C193" s="11" t="inlineStr">
        <is>
          <t>M</t>
        </is>
      </c>
      <c r="D193" s="2162">
        <f>E193*$D$1</f>
        <v/>
      </c>
      <c r="E193" s="2162" t="n">
        <v>6.5</v>
      </c>
      <c r="F193" s="2162" t="inlineStr">
        <is>
          <t>Drywall/Shaft/Forro</t>
        </is>
      </c>
      <c r="G193" s="2162" t="inlineStr">
        <is>
          <t>Drywall/Shaft/Forro</t>
        </is>
      </c>
      <c r="H193" s="2162" t="n"/>
      <c r="I193" s="4" t="inlineStr">
        <is>
          <t>Diversos</t>
        </is>
      </c>
    </row>
    <row r="194" ht="15.75" customHeight="1">
      <c r="A194" s="10">
        <f>COUNTIFS($B$2:$B$996,B194)</f>
        <v/>
      </c>
      <c r="B194" s="10" t="inlineStr">
        <is>
          <t>Arame galvanizado nº 12 e presilhas</t>
        </is>
      </c>
      <c r="C194" s="11" t="inlineStr">
        <is>
          <t>M</t>
        </is>
      </c>
      <c r="D194" s="2162">
        <f>E194*$D$1</f>
        <v/>
      </c>
      <c r="E194" s="2162" t="n">
        <v>15</v>
      </c>
      <c r="F194" s="2162" t="inlineStr">
        <is>
          <t>Drywall/Shaft/Forro</t>
        </is>
      </c>
      <c r="G194" s="2162" t="inlineStr">
        <is>
          <t>Drywall/Shaft/Forro</t>
        </is>
      </c>
      <c r="H194" s="2162" t="n"/>
      <c r="I194" s="4" t="inlineStr">
        <is>
          <t>Diversos</t>
        </is>
      </c>
    </row>
    <row r="195" ht="15.75" customHeight="1">
      <c r="A195" s="10">
        <f>COUNTIFS($B$2:$B$996,B195)</f>
        <v/>
      </c>
      <c r="B195" s="10" t="inlineStr">
        <is>
          <t>Buchas e parafusos</t>
        </is>
      </c>
      <c r="C195" s="11" t="inlineStr">
        <is>
          <t>UN</t>
        </is>
      </c>
      <c r="D195" s="2162">
        <f>E195*$D$1</f>
        <v/>
      </c>
      <c r="E195" s="2162" t="n">
        <v>0.5</v>
      </c>
      <c r="F195" s="2162" t="inlineStr">
        <is>
          <t>Drywall/Shaft/Forro</t>
        </is>
      </c>
      <c r="G195" s="2162" t="inlineStr">
        <is>
          <t>Drywall/Shaft/Forro</t>
        </is>
      </c>
      <c r="H195" s="2162" t="n"/>
      <c r="I195" s="4" t="inlineStr">
        <is>
          <t>Diversos</t>
        </is>
      </c>
    </row>
    <row r="196" ht="15.75" customHeight="1">
      <c r="A196" s="10">
        <f>COUNTIFS($B$2:$B$996,B196)</f>
        <v/>
      </c>
      <c r="B196" s="10" t="inlineStr">
        <is>
          <t xml:space="preserve">Estrutura e fechamento em drywall Parede Drywall </t>
        </is>
      </c>
      <c r="C196" s="11" t="inlineStr">
        <is>
          <t>UN</t>
        </is>
      </c>
      <c r="D196" s="2162">
        <f>E196*$D$1</f>
        <v/>
      </c>
      <c r="E196" s="2162" t="n">
        <v>377.8363900815155</v>
      </c>
      <c r="F196" s="2162" t="inlineStr">
        <is>
          <t>Drywall/Shaft/Forro</t>
        </is>
      </c>
      <c r="G196" s="2162" t="inlineStr">
        <is>
          <t>Drywall/Shaft/Forro</t>
        </is>
      </c>
      <c r="H196" s="2162" t="n"/>
      <c r="I196" s="4" t="inlineStr">
        <is>
          <t>Diversos</t>
        </is>
      </c>
    </row>
    <row r="197" ht="15.75" customHeight="1">
      <c r="A197" s="10">
        <f>COUNTIFS($B$2:$B$996,B197)</f>
        <v/>
      </c>
      <c r="B197" s="10" t="inlineStr">
        <is>
          <t>Reforços Para Paredes em Drywall</t>
        </is>
      </c>
      <c r="C197" s="11" t="inlineStr">
        <is>
          <t>UN</t>
        </is>
      </c>
      <c r="D197" s="2162">
        <f>E197*$D$1</f>
        <v/>
      </c>
      <c r="E197" s="2162" t="n">
        <v>58.98873492370869</v>
      </c>
      <c r="F197" s="2162" t="inlineStr">
        <is>
          <t>Drywall/Shaft/Forro</t>
        </is>
      </c>
      <c r="G197" s="2162" t="inlineStr">
        <is>
          <t>Drywall/Shaft/Forro</t>
        </is>
      </c>
      <c r="H197" s="2162" t="n"/>
      <c r="I197" s="4" t="inlineStr">
        <is>
          <t>Diversos</t>
        </is>
      </c>
    </row>
    <row r="198" ht="15.75" customHeight="1">
      <c r="A198" s="10">
        <f>COUNTIFS($B$2:$B$996,B198)</f>
        <v/>
      </c>
      <c r="B198" s="10" t="inlineStr">
        <is>
          <t>Presilha de fixação Painel Wall EspaçoFix</t>
        </is>
      </c>
      <c r="C198" s="11" t="inlineStr">
        <is>
          <t>UN</t>
        </is>
      </c>
      <c r="D198" s="2162">
        <f>E198*$D$1</f>
        <v/>
      </c>
      <c r="E198" s="2162" t="n">
        <v>5.17</v>
      </c>
      <c r="F198" s="2162" t="inlineStr">
        <is>
          <t>Drywall/Shaft/Forro</t>
        </is>
      </c>
      <c r="G198" s="2162" t="inlineStr">
        <is>
          <t>Drywall/Shaft/Forro</t>
        </is>
      </c>
      <c r="H198" s="2162" t="n"/>
      <c r="I198" s="4" t="inlineStr">
        <is>
          <t>Diversos</t>
        </is>
      </c>
    </row>
    <row r="199" ht="15.75" customHeight="1">
      <c r="A199" s="10">
        <f>COUNTIFS($B$2:$B$996,B199)</f>
        <v/>
      </c>
      <c r="B199" s="10" t="inlineStr">
        <is>
          <t>Locação estrutura para proteção SLQA</t>
        </is>
      </c>
      <c r="C199" s="11" t="inlineStr">
        <is>
          <t>m</t>
        </is>
      </c>
      <c r="D199" s="2162">
        <f>E199*$D$1</f>
        <v/>
      </c>
      <c r="E199" s="2162" t="n">
        <v>110</v>
      </c>
      <c r="F199" s="2162" t="inlineStr">
        <is>
          <t>EPC/EPI</t>
        </is>
      </c>
      <c r="G199" s="2162" t="inlineStr">
        <is>
          <t>EPC/EPI</t>
        </is>
      </c>
      <c r="H199" s="2162" t="n"/>
      <c r="I199" s="4" t="inlineStr">
        <is>
          <t>Material Segurança</t>
        </is>
      </c>
    </row>
    <row r="200" ht="15.75" customHeight="1">
      <c r="A200" s="10">
        <f>COUNTIFS($B$2:$B$996,B200)</f>
        <v/>
      </c>
      <c r="B200" s="10" t="inlineStr">
        <is>
          <t>Locação estrutura metálica para proteção de pesdestres</t>
        </is>
      </c>
      <c r="C200" s="11" t="inlineStr">
        <is>
          <t>m2</t>
        </is>
      </c>
      <c r="D200" s="2162">
        <f>E200*$D$1</f>
        <v/>
      </c>
      <c r="E200" s="2162" t="n">
        <v>880</v>
      </c>
      <c r="F200" s="2162" t="inlineStr">
        <is>
          <t>EPC/EPI</t>
        </is>
      </c>
      <c r="G200" s="2162" t="inlineStr">
        <is>
          <t>EPC/EPI</t>
        </is>
      </c>
      <c r="H200" s="2162" t="n"/>
      <c r="I200" s="4" t="inlineStr">
        <is>
          <t>Material Segurança</t>
        </is>
      </c>
    </row>
    <row r="201" ht="15.75" customHeight="1">
      <c r="A201" s="10">
        <f>COUNTIFS($B$2:$B$996,B201)</f>
        <v/>
      </c>
      <c r="B201" s="10" t="inlineStr">
        <is>
          <t>PERFIL METALICO BANDEJA PRIMARIA 2,50M</t>
        </is>
      </c>
      <c r="C201" s="11" t="inlineStr">
        <is>
          <t>UN</t>
        </is>
      </c>
      <c r="D201" s="2162">
        <f>E201*$D$1</f>
        <v/>
      </c>
      <c r="E201" s="2162" t="n">
        <v>45</v>
      </c>
      <c r="F201" s="2162" t="inlineStr">
        <is>
          <t>EPC/EPI</t>
        </is>
      </c>
      <c r="G201" s="2162" t="inlineStr">
        <is>
          <t>EPC/EPI</t>
        </is>
      </c>
      <c r="H201" s="2162" t="n"/>
      <c r="I201" s="4" t="inlineStr">
        <is>
          <t>Material Segurança</t>
        </is>
      </c>
    </row>
    <row r="202" ht="15.75" customHeight="1">
      <c r="A202" s="10">
        <f>COUNTIFS($B$2:$B$996,B202)</f>
        <v/>
      </c>
      <c r="B202" s="10" t="inlineStr">
        <is>
          <t xml:space="preserve">PLACA SINALIZACAO PVC C/ADESIVO </t>
        </is>
      </c>
      <c r="C202" s="11" t="inlineStr">
        <is>
          <t>UN</t>
        </is>
      </c>
      <c r="D202" s="2162">
        <f>E202*$D$1</f>
        <v/>
      </c>
      <c r="E202" s="2162" t="n">
        <v>536.53</v>
      </c>
      <c r="F202" s="2162" t="inlineStr">
        <is>
          <t>EPC/EPI</t>
        </is>
      </c>
      <c r="G202" s="2162" t="inlineStr">
        <is>
          <t>EPC/EPI</t>
        </is>
      </c>
      <c r="H202" s="2162" t="n"/>
      <c r="I202" s="4" t="inlineStr">
        <is>
          <t>Material Segurança</t>
        </is>
      </c>
    </row>
    <row r="203" ht="15.75" customHeight="1">
      <c r="A203" s="10">
        <f>COUNTIFS($B$2:$B$996,B203)</f>
        <v/>
      </c>
      <c r="B203" s="10" t="inlineStr">
        <is>
          <t>SUPORTE ACO CARBONO P/PLACA - REQ. CANTONEIRA 1.1/4"X1/8" 160X250CM</t>
        </is>
      </c>
      <c r="C203" s="11" t="inlineStr">
        <is>
          <t>UN</t>
        </is>
      </c>
      <c r="D203" s="2162">
        <f>E203*$D$1</f>
        <v/>
      </c>
      <c r="E203" s="2162" t="n">
        <v>520.85</v>
      </c>
      <c r="F203" s="2162" t="inlineStr">
        <is>
          <t>EPC/EPI</t>
        </is>
      </c>
      <c r="G203" s="2162" t="inlineStr">
        <is>
          <t>EPC/EPI</t>
        </is>
      </c>
      <c r="H203" s="2162" t="n"/>
      <c r="I203" s="4" t="inlineStr">
        <is>
          <t>Material Segurança</t>
        </is>
      </c>
    </row>
    <row r="204" ht="15.75" customHeight="1">
      <c r="A204" s="10">
        <f>COUNTIFS($B$2:$B$996,B204)</f>
        <v/>
      </c>
      <c r="B204" s="10" t="inlineStr">
        <is>
          <t>TUBO GALV. 3" X 2,65MM - 8M C/ RUPTURA: 40 MPA (LINHA DE VIDA)</t>
        </is>
      </c>
      <c r="C204" s="11" t="inlineStr">
        <is>
          <t>UN</t>
        </is>
      </c>
      <c r="D204" s="2162">
        <f>E204*$D$1</f>
        <v/>
      </c>
      <c r="E204" s="2162" t="n">
        <v>50</v>
      </c>
      <c r="F204" s="2162" t="inlineStr">
        <is>
          <t>EPC/EPI</t>
        </is>
      </c>
      <c r="G204" s="2162" t="inlineStr">
        <is>
          <t>EPC/EPI</t>
        </is>
      </c>
      <c r="H204" s="2162" t="n"/>
      <c r="I204" s="4" t="inlineStr">
        <is>
          <t>Material Segurança</t>
        </is>
      </c>
    </row>
    <row r="205" ht="15.75" customHeight="1">
      <c r="A205" s="10">
        <f>COUNTIFS($B$2:$B$996,B205)</f>
        <v/>
      </c>
      <c r="B205" s="10" t="inlineStr">
        <is>
          <t>CABO DE AÇO GALVANIZADO 3/8</t>
        </is>
      </c>
      <c r="C205" s="11" t="inlineStr">
        <is>
          <t>M</t>
        </is>
      </c>
      <c r="D205" s="2162">
        <f>E205*$D$1</f>
        <v/>
      </c>
      <c r="E205" s="2162" t="n">
        <v>5.2</v>
      </c>
      <c r="F205" s="2162" t="inlineStr">
        <is>
          <t>EPC/EPI</t>
        </is>
      </c>
      <c r="G205" s="2162" t="inlineStr">
        <is>
          <t>EPC/EPI</t>
        </is>
      </c>
      <c r="H205" s="2162" t="n"/>
      <c r="I205" s="4" t="inlineStr">
        <is>
          <t>Material Segurança</t>
        </is>
      </c>
    </row>
    <row r="206" ht="15.75" customHeight="1">
      <c r="A206" s="10">
        <f>COUNTIFS($B$2:$B$996,B206)</f>
        <v/>
      </c>
      <c r="B206" s="10" t="inlineStr">
        <is>
          <t>TELA FACHADEIRA POLIETILENO MALHA 1,5X1,5MM</t>
        </is>
      </c>
      <c r="C206" s="11" t="inlineStr">
        <is>
          <t>M2</t>
        </is>
      </c>
      <c r="D206" s="2162">
        <f>E206*$D$1</f>
        <v/>
      </c>
      <c r="E206" s="2162" t="n">
        <v>3.5</v>
      </c>
      <c r="F206" s="2162" t="inlineStr">
        <is>
          <t>EPC/EPI</t>
        </is>
      </c>
      <c r="G206" s="2162" t="inlineStr">
        <is>
          <t>EPC/EPI</t>
        </is>
      </c>
      <c r="H206" s="2162" t="n"/>
      <c r="I206" s="4" t="inlineStr">
        <is>
          <t>Material Segurança</t>
        </is>
      </c>
    </row>
    <row r="207" ht="15.75" customHeight="1">
      <c r="A207" s="10">
        <f>COUNTIFS($B$2:$B$996,B207)</f>
        <v/>
      </c>
      <c r="B207" s="10" t="inlineStr">
        <is>
          <t>TELA PLASTICA TECIDA LISTRADA BRANCA E LARANJA, EM POLIETILENO MONOFILADO</t>
        </is>
      </c>
      <c r="C207" s="11" t="inlineStr">
        <is>
          <t>M</t>
        </is>
      </c>
      <c r="D207" s="2162">
        <f>E207*$D$1</f>
        <v/>
      </c>
      <c r="E207" s="2162" t="n">
        <v>2.73</v>
      </c>
      <c r="F207" s="2162" t="inlineStr">
        <is>
          <t>EPC/EPI</t>
        </is>
      </c>
      <c r="G207" s="2162" t="inlineStr">
        <is>
          <t>EPC/EPI</t>
        </is>
      </c>
      <c r="H207" s="2162" t="n"/>
      <c r="I207" s="4" t="inlineStr">
        <is>
          <t>Material Segurança</t>
        </is>
      </c>
    </row>
    <row r="208" ht="15.75" customHeight="1">
      <c r="A208" s="10">
        <f>COUNTIFS($B$2:$B$996,B208)</f>
        <v/>
      </c>
      <c r="B208" s="10" t="inlineStr">
        <is>
          <t>Locação 30 dias de cada equipamento de rebaixamento com 22,5 HP, vazão máxima = 100 m³/h, em operação ou a disposição.</t>
        </is>
      </c>
      <c r="C208" s="11" t="inlineStr">
        <is>
          <t>MÊS</t>
        </is>
      </c>
      <c r="D208" s="2162">
        <f>E208*$D$1</f>
        <v/>
      </c>
      <c r="E208" s="2162" t="n">
        <v>6500</v>
      </c>
      <c r="F208" s="2162" t="inlineStr">
        <is>
          <t>Equipamentos</t>
        </is>
      </c>
      <c r="G208" s="2162" t="inlineStr">
        <is>
          <t>Equipamentos</t>
        </is>
      </c>
      <c r="H208" s="2162" t="n"/>
      <c r="I208" s="4" t="inlineStr">
        <is>
          <t>Equipamentos Aluguel</t>
        </is>
      </c>
    </row>
    <row r="209" ht="15.75" customHeight="1">
      <c r="A209" s="10">
        <f>COUNTIFS($B$2:$B$996,B209)</f>
        <v/>
      </c>
      <c r="B209" s="10" t="inlineStr">
        <is>
          <t>Locação 30 dias de cada mangote de descarga CDF-A com lance de 50,00 metros cada.</t>
        </is>
      </c>
      <c r="C209" s="11" t="inlineStr">
        <is>
          <t>MÊS</t>
        </is>
      </c>
      <c r="D209" s="2162">
        <f>E209*$D$1</f>
        <v/>
      </c>
      <c r="E209" s="2162" t="n">
        <v>900</v>
      </c>
      <c r="F209" s="2162" t="inlineStr">
        <is>
          <t>Equipamentos</t>
        </is>
      </c>
      <c r="G209" s="2162" t="inlineStr">
        <is>
          <t>Equipamentos</t>
        </is>
      </c>
      <c r="H209" s="2162" t="n"/>
      <c r="I209" s="4" t="inlineStr">
        <is>
          <t>Equipamentos Aluguel</t>
        </is>
      </c>
    </row>
    <row r="210" ht="15.75" customHeight="1">
      <c r="A210" s="10">
        <f>COUNTIFS($B$2:$B$996,B210)</f>
        <v/>
      </c>
      <c r="B210" s="10" t="inlineStr">
        <is>
          <t>Instalação e entrega técnica do(s) equipamento(s) de rebaixamento temporário de aquíferos AQ-EL 44-100. (Previsão de 04 dias)</t>
        </is>
      </c>
      <c r="C210" s="11" t="inlineStr">
        <is>
          <t>VB</t>
        </is>
      </c>
      <c r="D210" s="2162">
        <f>E210*$D$1</f>
        <v/>
      </c>
      <c r="E210" s="2162" t="n">
        <v>1200</v>
      </c>
      <c r="F210" s="2162" t="inlineStr">
        <is>
          <t>Equipamentos</t>
        </is>
      </c>
      <c r="G210" s="2162" t="inlineStr">
        <is>
          <t>Equipamentos</t>
        </is>
      </c>
      <c r="H210" s="2162" t="n"/>
      <c r="I210" s="4" t="inlineStr">
        <is>
          <t>Equipamentos Aluguel</t>
        </is>
      </c>
    </row>
    <row r="211" ht="14.25" customHeight="1">
      <c r="A211" s="10">
        <f>COUNTIFS($B$2:$B$996,B211)</f>
        <v/>
      </c>
      <c r="B211" s="82" t="inlineStr">
        <is>
          <t xml:space="preserve">	Mobilização e desmobilização de equipamentos - Para execução de estaca hélice monitorada</t>
        </is>
      </c>
      <c r="C211" s="83" t="inlineStr">
        <is>
          <t>VB</t>
        </is>
      </c>
      <c r="D211" s="2165">
        <f>E211*$D$1</f>
        <v/>
      </c>
      <c r="E211" s="2165">
        <f>(950000*0.0257284363542806)/1</f>
        <v/>
      </c>
      <c r="F211" s="2165" t="inlineStr">
        <is>
          <t>Equipamentos</t>
        </is>
      </c>
      <c r="G211" s="2165" t="inlineStr">
        <is>
          <t>Equipamentos</t>
        </is>
      </c>
      <c r="H211" s="2165" t="n"/>
      <c r="I211" s="85" t="inlineStr">
        <is>
          <t>Equipamentos Aluguel</t>
        </is>
      </c>
    </row>
    <row r="212" ht="15.75" customHeight="1">
      <c r="A212" s="10">
        <f>COUNTIFS($B$2:$B$996,B212)</f>
        <v/>
      </c>
      <c r="B212" s="10" t="inlineStr">
        <is>
          <t xml:space="preserve">	Mobilização e desmobilização de equipamentos - Para execução de estaca Escavada</t>
        </is>
      </c>
      <c r="C212" s="11" t="inlineStr">
        <is>
          <t>VB</t>
        </is>
      </c>
      <c r="D212" s="2162">
        <f>E212*$D$1</f>
        <v/>
      </c>
      <c r="E212" s="2162" t="n">
        <v>26000</v>
      </c>
      <c r="F212" s="2162" t="inlineStr">
        <is>
          <t>Equipamentos</t>
        </is>
      </c>
      <c r="G212" s="2162" t="inlineStr">
        <is>
          <t>Equipamentos</t>
        </is>
      </c>
      <c r="H212" s="2162" t="n"/>
      <c r="I212" s="4" t="inlineStr">
        <is>
          <t>Equipamentos Aluguel</t>
        </is>
      </c>
    </row>
    <row r="213" ht="15.75" customHeight="1">
      <c r="A213" s="10">
        <f>COUNTIFS($B$2:$B$996,B213)</f>
        <v/>
      </c>
      <c r="B213" s="10" t="inlineStr">
        <is>
          <t xml:space="preserve">	Mobilização e desmobilização de equipamentos - Para execução de estaca hélice</t>
        </is>
      </c>
      <c r="C213" s="11" t="inlineStr">
        <is>
          <t>VB</t>
        </is>
      </c>
      <c r="D213" s="2162">
        <f>E213*$D$1</f>
        <v/>
      </c>
      <c r="E213" s="2162" t="n">
        <v>18500</v>
      </c>
      <c r="F213" s="2162" t="inlineStr">
        <is>
          <t>Equipamentos</t>
        </is>
      </c>
      <c r="G213" s="2162" t="inlineStr">
        <is>
          <t>Equipamentos</t>
        </is>
      </c>
      <c r="H213" s="2162" t="n"/>
      <c r="I213" s="4" t="inlineStr">
        <is>
          <t>Equipamentos Aluguel</t>
        </is>
      </c>
    </row>
    <row r="214" ht="14.25" customHeight="1">
      <c r="A214" s="10">
        <f>COUNTIFS($B$2:$B$996,B214)</f>
        <v/>
      </c>
      <c r="B214" s="82" t="inlineStr">
        <is>
          <t>Tarucel de 6 mm</t>
        </is>
      </c>
      <c r="C214" s="83" t="inlineStr">
        <is>
          <t>M</t>
        </is>
      </c>
      <c r="D214" s="2165">
        <f>E214*$D$1</f>
        <v/>
      </c>
      <c r="E214" s="2165">
        <f>20/25</f>
        <v/>
      </c>
      <c r="F214" s="2165" t="inlineStr">
        <is>
          <t>Materiais complementares</t>
        </is>
      </c>
      <c r="G214" s="2165" t="inlineStr">
        <is>
          <t>Diversos</t>
        </is>
      </c>
      <c r="H214" s="2165" t="n"/>
      <c r="I214" s="85" t="inlineStr">
        <is>
          <t>Diversos</t>
        </is>
      </c>
    </row>
    <row r="215" ht="15.75" customHeight="1">
      <c r="A215" s="10">
        <f>COUNTIFS($B$2:$B$996,B215)</f>
        <v/>
      </c>
      <c r="B215" s="10" t="inlineStr">
        <is>
          <t>Caminhao pipa ford f.14.000  1997</t>
        </is>
      </c>
      <c r="C215" s="11" t="inlineStr">
        <is>
          <t>MÊS</t>
        </is>
      </c>
      <c r="D215" s="2162">
        <f>E215*$D$1</f>
        <v/>
      </c>
      <c r="E215" s="2162" t="n">
        <v>1500</v>
      </c>
      <c r="F215" s="2162" t="inlineStr">
        <is>
          <t>Equipamentos</t>
        </is>
      </c>
      <c r="G215" s="2162" t="inlineStr">
        <is>
          <t>Equipamentos</t>
        </is>
      </c>
      <c r="H215" s="2162" t="n"/>
      <c r="I215" s="4" t="inlineStr">
        <is>
          <t>Equipamentos Aluguel</t>
        </is>
      </c>
    </row>
    <row r="216" ht="15.75" customHeight="1">
      <c r="A216" s="10">
        <f>COUNTIFS($B$2:$B$996,B216)</f>
        <v/>
      </c>
      <c r="B216" s="10" t="inlineStr">
        <is>
          <t>Escavadeira 8T link belt 80SA BANYNN</t>
        </is>
      </c>
      <c r="C216" s="11" t="inlineStr">
        <is>
          <t>MÊS</t>
        </is>
      </c>
      <c r="D216" s="2162">
        <f>E216*$D$1</f>
        <v/>
      </c>
      <c r="E216" s="2162" t="n">
        <v>3200</v>
      </c>
      <c r="F216" s="2162" t="inlineStr">
        <is>
          <t>Equipamentos</t>
        </is>
      </c>
      <c r="G216" s="2162" t="inlineStr">
        <is>
          <t>Equipamentos</t>
        </is>
      </c>
      <c r="H216" s="2162" t="n"/>
      <c r="I216" s="4" t="inlineStr">
        <is>
          <t>Equipamentos Aluguel</t>
        </is>
      </c>
    </row>
    <row r="217" ht="15.75" customHeight="1">
      <c r="A217" s="10">
        <f>COUNTIFS($B$2:$B$996,B217)</f>
        <v/>
      </c>
      <c r="B217" s="10" t="inlineStr">
        <is>
          <t>Escavadeira DOOSAN DX225 (terceirizado)</t>
        </is>
      </c>
      <c r="C217" s="11" t="inlineStr">
        <is>
          <t>MÊS</t>
        </is>
      </c>
      <c r="D217" s="2162">
        <f>E217*$D$1</f>
        <v/>
      </c>
      <c r="E217" s="2162" t="n">
        <v>33660</v>
      </c>
      <c r="F217" s="2162" t="inlineStr">
        <is>
          <t>Equipamentos</t>
        </is>
      </c>
      <c r="G217" s="2162" t="inlineStr">
        <is>
          <t>Equipamentos</t>
        </is>
      </c>
      <c r="H217" s="2162" t="n"/>
      <c r="I217" s="4" t="inlineStr">
        <is>
          <t>Equipamentos Aluguel</t>
        </is>
      </c>
    </row>
    <row r="218" ht="15.75" customHeight="1">
      <c r="A218" s="10">
        <f>COUNTIFS($B$2:$B$996,B218)</f>
        <v/>
      </c>
      <c r="B218" s="10" t="inlineStr">
        <is>
          <t>Escaveideira 320 CAT 2019</t>
        </is>
      </c>
      <c r="C218" s="11" t="inlineStr">
        <is>
          <t>MÊS</t>
        </is>
      </c>
      <c r="D218" s="2162">
        <f>E218*$D$1</f>
        <v/>
      </c>
      <c r="E218" s="2162" t="n">
        <v>15000</v>
      </c>
      <c r="F218" s="2162" t="inlineStr">
        <is>
          <t>Equipamentos</t>
        </is>
      </c>
      <c r="G218" s="2162" t="inlineStr">
        <is>
          <t>Equipamentos</t>
        </is>
      </c>
      <c r="H218" s="2162" t="n"/>
      <c r="I218" s="4" t="inlineStr">
        <is>
          <t>Equipamentos Aluguel</t>
        </is>
      </c>
    </row>
    <row r="219" ht="15.75" customHeight="1">
      <c r="A219" s="10">
        <f>COUNTIFS($B$2:$B$996,B219)</f>
        <v/>
      </c>
      <c r="B219" s="10" t="inlineStr">
        <is>
          <t>Sistema de Ancoragem Provisória e definitiva</t>
        </is>
      </c>
      <c r="C219" s="11" t="inlineStr">
        <is>
          <t>vb</t>
        </is>
      </c>
      <c r="D219" s="2162">
        <f>E219*$D$1</f>
        <v/>
      </c>
      <c r="E219" s="2162" t="n">
        <v>15000</v>
      </c>
      <c r="F219" s="2162" t="inlineStr">
        <is>
          <t>Equipamentos</t>
        </is>
      </c>
      <c r="G219" s="2162" t="inlineStr">
        <is>
          <t>Equipamentos</t>
        </is>
      </c>
      <c r="H219" s="2162" t="n"/>
      <c r="I219" s="4" t="inlineStr">
        <is>
          <t>Equipamentos Aluguel</t>
        </is>
      </c>
    </row>
    <row r="220" ht="15.75" customHeight="1">
      <c r="A220" s="10">
        <f>COUNTIFS($B$2:$B$996,B220)</f>
        <v/>
      </c>
      <c r="B220" s="10" t="inlineStr">
        <is>
          <t>Travessão metálico 2"</t>
        </is>
      </c>
      <c r="C220" s="11" t="inlineStr">
        <is>
          <t>m</t>
        </is>
      </c>
      <c r="D220" s="2162">
        <f>E220*$D$1</f>
        <v/>
      </c>
      <c r="E220" s="2162" t="n">
        <v>20</v>
      </c>
      <c r="F220" s="2162" t="inlineStr">
        <is>
          <t>Equipamentos</t>
        </is>
      </c>
      <c r="G220" s="2162" t="inlineStr">
        <is>
          <t>Equipamentos</t>
        </is>
      </c>
      <c r="H220" s="2162" t="n"/>
      <c r="I220" s="4" t="inlineStr">
        <is>
          <t>Equipamentos Aluguel</t>
        </is>
      </c>
    </row>
    <row r="221" ht="15.75" customHeight="1">
      <c r="A221" s="10">
        <f>COUNTIFS($B$2:$B$996,B221)</f>
        <v/>
      </c>
      <c r="B221" s="10" t="inlineStr">
        <is>
          <t>ESCORA METALICA TELESCOPICA, COM ALTURA REGULAVEL DE *1,80* A *3,20* M, INCLUSO TRIPE E FORCADO</t>
        </is>
      </c>
      <c r="C221" s="11" t="inlineStr">
        <is>
          <t>UN</t>
        </is>
      </c>
      <c r="D221" s="2162">
        <f>E221*$D$1</f>
        <v/>
      </c>
      <c r="E221" s="2162" t="n">
        <v>32.9</v>
      </c>
      <c r="F221" s="2162" t="inlineStr">
        <is>
          <t>Equipamentos</t>
        </is>
      </c>
      <c r="G221" s="2162" t="inlineStr">
        <is>
          <t>Equipamentos</t>
        </is>
      </c>
      <c r="H221" s="2162" t="n"/>
      <c r="I221" s="4" t="inlineStr">
        <is>
          <t>Equipamentos Aluguel</t>
        </is>
      </c>
    </row>
    <row r="222" ht="15.75" customHeight="1">
      <c r="A222" s="10">
        <f>COUNTIFS($B$2:$B$996,B222)</f>
        <v/>
      </c>
      <c r="B222" s="10" t="inlineStr">
        <is>
          <t>LOCACAO DE ESCORA METALICA TELESCOPICA, COM ALTURA REGULAVEL DE *1,80* A *3,20* M</t>
        </is>
      </c>
      <c r="C222" s="11" t="inlineStr">
        <is>
          <t>UN</t>
        </is>
      </c>
      <c r="D222" s="2162">
        <f>E222*$D$1</f>
        <v/>
      </c>
      <c r="E222" s="2162" t="n">
        <v>36.42502650617072</v>
      </c>
      <c r="F222" s="2162" t="inlineStr">
        <is>
          <t>Equipamentos</t>
        </is>
      </c>
      <c r="G222" s="2162" t="inlineStr">
        <is>
          <t>Equipamentos</t>
        </is>
      </c>
      <c r="H222" s="2162" t="n"/>
      <c r="I222" s="4" t="inlineStr">
        <is>
          <t>Equipamentos Aluguel</t>
        </is>
      </c>
    </row>
    <row r="223" ht="15.75" customHeight="1">
      <c r="A223" s="10">
        <f>COUNTIFS($B$2:$B$996,B223)</f>
        <v/>
      </c>
      <c r="B223" s="10" t="inlineStr">
        <is>
          <t xml:space="preserve">LOCACAO DE FORMA PLASTICA PARA LAJE NERVURADA, *60* X *60* X *16* CM       </t>
        </is>
      </c>
      <c r="C223" s="11" t="inlineStr">
        <is>
          <t>UN/MÊS</t>
        </is>
      </c>
      <c r="D223" s="2162">
        <f>E223*$D$1</f>
        <v/>
      </c>
      <c r="E223" s="2162" t="n">
        <v>5.3064</v>
      </c>
      <c r="F223" s="2162" t="inlineStr">
        <is>
          <t>Equipamentos</t>
        </is>
      </c>
      <c r="G223" s="2162" t="inlineStr">
        <is>
          <t>Equipamentos</t>
        </is>
      </c>
      <c r="H223" s="2162" t="n"/>
      <c r="I223" s="4" t="inlineStr">
        <is>
          <t>Equipamentos Aluguel</t>
        </is>
      </c>
    </row>
    <row r="224" ht="15.75" customHeight="1">
      <c r="A224" s="10">
        <f>COUNTIFS($B$2:$B$996,B224)</f>
        <v/>
      </c>
      <c r="B224" s="10" t="inlineStr">
        <is>
          <t>Manutenção de cubetas proprias</t>
        </is>
      </c>
      <c r="C224" s="11" t="inlineStr">
        <is>
          <t>VB</t>
        </is>
      </c>
      <c r="D224" s="2162">
        <f>E224*$D$1</f>
        <v/>
      </c>
      <c r="E224" s="2162" t="n">
        <v>39432.81</v>
      </c>
      <c r="F224" s="2162" t="inlineStr">
        <is>
          <t>Equipamentos</t>
        </is>
      </c>
      <c r="G224" s="2162" t="inlineStr">
        <is>
          <t>Equipamentos</t>
        </is>
      </c>
      <c r="H224" s="2162" t="n"/>
      <c r="I224" s="4" t="inlineStr">
        <is>
          <t>Equipamentos Aluguel</t>
        </is>
      </c>
    </row>
    <row r="225" ht="15.75" customHeight="1">
      <c r="A225" s="10">
        <f>COUNTIFS($B$2:$B$996,B225)</f>
        <v/>
      </c>
      <c r="B225" s="10" t="inlineStr">
        <is>
          <t>Maquina meio fio Imb 2020</t>
        </is>
      </c>
      <c r="C225" s="11" t="inlineStr">
        <is>
          <t>MÊS</t>
        </is>
      </c>
      <c r="D225" s="2162">
        <f>E225*$D$1</f>
        <v/>
      </c>
      <c r="E225" s="2162" t="n">
        <v>1000</v>
      </c>
      <c r="F225" s="2162" t="inlineStr">
        <is>
          <t>Equipamentos</t>
        </is>
      </c>
      <c r="G225" s="2162" t="inlineStr">
        <is>
          <t>Equipamentos</t>
        </is>
      </c>
      <c r="H225" s="2162" t="n"/>
      <c r="I225" s="4" t="inlineStr">
        <is>
          <t>Equipamentos Aluguel</t>
        </is>
      </c>
    </row>
    <row r="226" ht="15.75" customHeight="1">
      <c r="A226" s="10">
        <f>COUNTIFS($B$2:$B$996,B226)</f>
        <v/>
      </c>
      <c r="B226" s="10" t="inlineStr">
        <is>
          <t>Patrola New holland 170g 2011</t>
        </is>
      </c>
      <c r="C226" s="11" t="inlineStr">
        <is>
          <t>MÊS</t>
        </is>
      </c>
      <c r="D226" s="2162">
        <f>E226*$D$1</f>
        <v/>
      </c>
      <c r="E226" s="2162" t="n">
        <v>4000</v>
      </c>
      <c r="F226" s="2162" t="inlineStr">
        <is>
          <t>Equipamentos</t>
        </is>
      </c>
      <c r="G226" s="2162" t="inlineStr">
        <is>
          <t>Equipamentos</t>
        </is>
      </c>
      <c r="H226" s="2162" t="n"/>
      <c r="I226" s="4" t="inlineStr">
        <is>
          <t>Equipamentos Aluguel</t>
        </is>
      </c>
    </row>
    <row r="227" ht="15.75" customHeight="1">
      <c r="A227" s="10">
        <f>COUNTIFS($B$2:$B$996,B227)</f>
        <v/>
      </c>
      <c r="B227" s="10" t="inlineStr">
        <is>
          <t>Retro case 580 traçada 2009</t>
        </is>
      </c>
      <c r="C227" s="11" t="inlineStr">
        <is>
          <t>MÊS</t>
        </is>
      </c>
      <c r="D227" s="2162">
        <f>E227*$D$1</f>
        <v/>
      </c>
      <c r="E227" s="2162" t="n">
        <v>1500</v>
      </c>
      <c r="F227" s="2162" t="inlineStr">
        <is>
          <t>Equipamentos</t>
        </is>
      </c>
      <c r="G227" s="2162" t="inlineStr">
        <is>
          <t>Equipamentos</t>
        </is>
      </c>
      <c r="H227" s="2162" t="n"/>
      <c r="I227" s="4" t="inlineStr">
        <is>
          <t>Equipamentos Aluguel</t>
        </is>
      </c>
    </row>
    <row r="228" ht="15.75" customHeight="1">
      <c r="A228" s="10">
        <f>COUNTIFS($B$2:$B$996,B228)</f>
        <v/>
      </c>
      <c r="B228" s="10" t="inlineStr">
        <is>
          <t>Retro New holland lb 90 simples 2010</t>
        </is>
      </c>
      <c r="C228" s="11" t="inlineStr">
        <is>
          <t>MÊS</t>
        </is>
      </c>
      <c r="D228" s="2162">
        <f>E228*$D$1</f>
        <v/>
      </c>
      <c r="E228" s="2162" t="n">
        <v>1500</v>
      </c>
      <c r="F228" s="2162" t="inlineStr">
        <is>
          <t>Equipamentos</t>
        </is>
      </c>
      <c r="G228" s="2162" t="inlineStr">
        <is>
          <t>Equipamentos</t>
        </is>
      </c>
      <c r="H228" s="2162" t="n"/>
      <c r="I228" s="4" t="inlineStr">
        <is>
          <t>Equipamentos Aluguel</t>
        </is>
      </c>
    </row>
    <row r="229" ht="15.75" customHeight="1">
      <c r="A229" s="10">
        <f>COUNTIFS($B$2:$B$996,B229)</f>
        <v/>
      </c>
      <c r="B229" s="10" t="inlineStr">
        <is>
          <t>Rolo Sany 2009</t>
        </is>
      </c>
      <c r="C229" s="11" t="inlineStr">
        <is>
          <t>MÊS</t>
        </is>
      </c>
      <c r="D229" s="2162">
        <f>E229*$D$1</f>
        <v/>
      </c>
      <c r="E229" s="2162" t="n">
        <v>2000</v>
      </c>
      <c r="F229" s="2162" t="inlineStr">
        <is>
          <t>Equipamentos</t>
        </is>
      </c>
      <c r="G229" s="2162" t="inlineStr">
        <is>
          <t>Equipamentos</t>
        </is>
      </c>
      <c r="H229" s="2162" t="n"/>
      <c r="I229" s="4" t="inlineStr">
        <is>
          <t>Equipamentos Aluguel</t>
        </is>
      </c>
    </row>
    <row r="230" ht="15.75" customHeight="1">
      <c r="A230" s="10">
        <f>COUNTIFS($B$2:$B$996,B230)</f>
        <v/>
      </c>
      <c r="B230" s="10" t="inlineStr">
        <is>
          <t>Trator esteira 700 j john dree 2016</t>
        </is>
      </c>
      <c r="C230" s="11" t="inlineStr">
        <is>
          <t>MÊS</t>
        </is>
      </c>
      <c r="D230" s="2162">
        <f>E230*$D$1</f>
        <v/>
      </c>
      <c r="E230" s="2162" t="n">
        <v>7000</v>
      </c>
      <c r="F230" s="2162" t="inlineStr">
        <is>
          <t>Equipamentos</t>
        </is>
      </c>
      <c r="G230" s="2162" t="inlineStr">
        <is>
          <t>Equipamentos</t>
        </is>
      </c>
      <c r="H230" s="2162" t="n"/>
      <c r="I230" s="4" t="inlineStr">
        <is>
          <t>Equipamentos Aluguel</t>
        </is>
      </c>
    </row>
    <row r="231" ht="15.75" customHeight="1">
      <c r="A231" s="10">
        <f>COUNTIFS($B$2:$B$996,B231)</f>
        <v/>
      </c>
      <c r="B231" s="10" t="inlineStr">
        <is>
          <t>Trator esteira CAT D51 (terceirizado)</t>
        </is>
      </c>
      <c r="C231" s="11" t="inlineStr">
        <is>
          <t>MÊS</t>
        </is>
      </c>
      <c r="D231" s="2162">
        <f>E231*$D$1</f>
        <v/>
      </c>
      <c r="E231" s="2162" t="n">
        <v>32270</v>
      </c>
      <c r="F231" s="2162" t="inlineStr">
        <is>
          <t>Equipamentos</t>
        </is>
      </c>
      <c r="G231" s="2162" t="inlineStr">
        <is>
          <t>Equipamentos</t>
        </is>
      </c>
      <c r="H231" s="2162" t="n"/>
      <c r="I231" s="4" t="inlineStr">
        <is>
          <t>Equipamentos Aluguel</t>
        </is>
      </c>
    </row>
    <row r="232" ht="15.75" customHeight="1">
      <c r="A232" s="10">
        <f>COUNTIFS($B$2:$B$996,B232)</f>
        <v/>
      </c>
      <c r="B232" s="10" t="inlineStr">
        <is>
          <t>Esquadrias de Alumínio - fornecimento e instalação</t>
        </is>
      </c>
      <c r="C232" s="11" t="inlineStr">
        <is>
          <t>M2</t>
        </is>
      </c>
      <c r="D232" s="2162">
        <f>E232*$D$1</f>
        <v/>
      </c>
      <c r="E232" s="2162" t="n">
        <v>2140</v>
      </c>
      <c r="F232" s="2162" t="inlineStr">
        <is>
          <t xml:space="preserve">Esquadrias </t>
        </is>
      </c>
      <c r="G232" s="2162" t="inlineStr">
        <is>
          <t>Alumínio</t>
        </is>
      </c>
      <c r="H232" s="2162" t="n"/>
      <c r="I232" s="4" t="inlineStr">
        <is>
          <t>Esquadrias de Alumínio</t>
        </is>
      </c>
    </row>
    <row r="233" ht="15.75" customHeight="1">
      <c r="A233" s="10">
        <f>COUNTIFS($B$2:$B$996,B233)</f>
        <v/>
      </c>
      <c r="B233" s="10" t="inlineStr">
        <is>
          <t>Guarda Corpo de aluminio (gradil) - fornecimento e instalação</t>
        </is>
      </c>
      <c r="C233" s="11" t="inlineStr">
        <is>
          <t>M2</t>
        </is>
      </c>
      <c r="D233" s="2162">
        <f>E233*$D$1</f>
        <v/>
      </c>
      <c r="E233" s="2162" t="n">
        <v>768.5</v>
      </c>
      <c r="F233" s="2162" t="inlineStr">
        <is>
          <t xml:space="preserve">Esquadrias </t>
        </is>
      </c>
      <c r="G233" s="2162" t="inlineStr">
        <is>
          <t>Alumínio</t>
        </is>
      </c>
      <c r="H233" s="2162" t="n"/>
      <c r="I233" s="4" t="inlineStr">
        <is>
          <t>Esquadrias de Alumínio</t>
        </is>
      </c>
    </row>
    <row r="234" ht="15.75" customHeight="1">
      <c r="A234" s="10">
        <f>COUNTIFS($B$2:$B$996,B234)</f>
        <v/>
      </c>
      <c r="B234" s="10" t="inlineStr">
        <is>
          <t>Guarda Corpo de Vidro e Aluminio - fornecimento e instalação</t>
        </is>
      </c>
      <c r="C234" s="11" t="inlineStr">
        <is>
          <t>M2</t>
        </is>
      </c>
      <c r="D234" s="2162">
        <f>E234*$D$1</f>
        <v/>
      </c>
      <c r="E234" s="2162" t="n">
        <v>935.99</v>
      </c>
      <c r="F234" s="2162" t="inlineStr">
        <is>
          <t xml:space="preserve">Esquadrias </t>
        </is>
      </c>
      <c r="G234" s="2162" t="inlineStr">
        <is>
          <t>Alumínio</t>
        </is>
      </c>
      <c r="H234" s="2162" t="n"/>
      <c r="I234" s="4" t="inlineStr">
        <is>
          <t>Esquadrias de Alumínio</t>
        </is>
      </c>
    </row>
    <row r="235" ht="15.75" customHeight="1">
      <c r="A235" s="10">
        <f>COUNTIFS($B$2:$B$996,B235)</f>
        <v/>
      </c>
      <c r="B235" s="10" t="inlineStr">
        <is>
          <t>Moldura em alumínio para churrasqueiras - fornecimento e instalação</t>
        </is>
      </c>
      <c r="C235" s="11" t="inlineStr">
        <is>
          <t>M</t>
        </is>
      </c>
      <c r="D235" s="2162">
        <f>E235*$D$1</f>
        <v/>
      </c>
      <c r="E235" s="2162" t="n">
        <v>530</v>
      </c>
      <c r="F235" s="2162" t="inlineStr">
        <is>
          <t xml:space="preserve">Esquadrias </t>
        </is>
      </c>
      <c r="G235" s="2162" t="inlineStr">
        <is>
          <t>Alumínio</t>
        </is>
      </c>
      <c r="H235" s="2162" t="n"/>
      <c r="I235" s="4" t="inlineStr">
        <is>
          <t>Esquadrias de Alumínio</t>
        </is>
      </c>
    </row>
    <row r="236" ht="15.75" customHeight="1">
      <c r="A236" s="10">
        <f>COUNTIFS($B$2:$B$996,B236)</f>
        <v/>
      </c>
      <c r="B236" s="10" t="inlineStr">
        <is>
          <t>Alçapão de aluminio</t>
        </is>
      </c>
      <c r="C236" s="11" t="inlineStr">
        <is>
          <t>un</t>
        </is>
      </c>
      <c r="D236" s="2162">
        <f>E236*$D$1</f>
        <v/>
      </c>
      <c r="E236" s="2162" t="n">
        <v>1014</v>
      </c>
      <c r="F236" s="2162" t="inlineStr">
        <is>
          <t xml:space="preserve">Esquadrias </t>
        </is>
      </c>
      <c r="G236" s="2162" t="inlineStr">
        <is>
          <t>Alumínio</t>
        </is>
      </c>
      <c r="H236" s="2162" t="n"/>
      <c r="I236" s="4" t="inlineStr">
        <is>
          <t>Esquadrias de Ferro</t>
        </is>
      </c>
    </row>
    <row r="237" ht="15.75" customHeight="1">
      <c r="A237" s="10">
        <f>COUNTIFS($B$2:$B$996,B237)</f>
        <v/>
      </c>
      <c r="B237" s="10" t="inlineStr">
        <is>
          <t>Porta Pivotante alumínio 140x210cm</t>
        </is>
      </c>
      <c r="C237" s="11" t="inlineStr">
        <is>
          <t>un</t>
        </is>
      </c>
      <c r="D237" s="2162">
        <f>E237*$D$1</f>
        <v/>
      </c>
      <c r="E237" s="2162" t="n">
        <v>5040</v>
      </c>
      <c r="F237" s="2162" t="inlineStr">
        <is>
          <t xml:space="preserve">Esquadrias </t>
        </is>
      </c>
      <c r="G237" s="2162" t="inlineStr">
        <is>
          <t>Alumínio</t>
        </is>
      </c>
      <c r="H237" s="2162" t="n"/>
      <c r="I237" s="4" t="inlineStr">
        <is>
          <t>Esquadrias de Ferro</t>
        </is>
      </c>
    </row>
    <row r="238" ht="15.75" customHeight="1">
      <c r="A238" s="10">
        <f>COUNTIFS($B$2:$B$996,B238)</f>
        <v/>
      </c>
      <c r="B238" s="10" t="inlineStr">
        <is>
          <t>PAINEL EM BRISE MARROM</t>
        </is>
      </c>
      <c r="C238" s="11" t="inlineStr">
        <is>
          <t>M2</t>
        </is>
      </c>
      <c r="D238" s="2162">
        <f>E238*$D$1</f>
        <v/>
      </c>
      <c r="E238" s="2162" t="n">
        <v>1415.027593038064</v>
      </c>
      <c r="F238" s="2162" t="inlineStr">
        <is>
          <t xml:space="preserve">Esquadrias </t>
        </is>
      </c>
      <c r="G238" s="2162" t="inlineStr">
        <is>
          <t>Alumínio</t>
        </is>
      </c>
      <c r="H238" s="2162" t="n"/>
      <c r="I238" s="4" t="inlineStr">
        <is>
          <t>Esquadrias de Alumínio</t>
        </is>
      </c>
    </row>
    <row r="239" ht="15.75" customHeight="1">
      <c r="A239" s="10">
        <f>COUNTIFS($B$2:$B$996,B239)</f>
        <v/>
      </c>
      <c r="B239" s="10" t="inlineStr">
        <is>
          <t>Corrimão de inox - fornecimento e instalação</t>
        </is>
      </c>
      <c r="C239" s="11" t="inlineStr">
        <is>
          <t>M</t>
        </is>
      </c>
      <c r="D239" s="2162">
        <f>E239*$D$1</f>
        <v/>
      </c>
      <c r="E239" s="2162" t="n">
        <v>650</v>
      </c>
      <c r="F239" s="2162" t="inlineStr">
        <is>
          <t xml:space="preserve">Esquadrias </t>
        </is>
      </c>
      <c r="G239" s="2162" t="inlineStr">
        <is>
          <t>Corrimão inox</t>
        </is>
      </c>
      <c r="H239" s="2162" t="n"/>
      <c r="I239" s="4" t="inlineStr">
        <is>
          <t>Esquadrias de Alumínio</t>
        </is>
      </c>
    </row>
    <row r="240" ht="15.75" customHeight="1">
      <c r="A240" s="10">
        <f>COUNTIFS($B$2:$B$996,B240)</f>
        <v/>
      </c>
      <c r="B240" s="10" t="inlineStr">
        <is>
          <t>Corrimão de Madeira - fornecimento e instalação</t>
        </is>
      </c>
      <c r="C240" s="11" t="inlineStr">
        <is>
          <t>M</t>
        </is>
      </c>
      <c r="D240" s="2162">
        <f>E240*$D$1</f>
        <v/>
      </c>
      <c r="E240" s="2162" t="n">
        <v>80</v>
      </c>
      <c r="F240" s="2162" t="inlineStr">
        <is>
          <t xml:space="preserve">Esquadrias </t>
        </is>
      </c>
      <c r="G240" s="2162" t="inlineStr">
        <is>
          <t>Madeira</t>
        </is>
      </c>
      <c r="H240" s="2162" t="n"/>
      <c r="I240" s="4" t="inlineStr">
        <is>
          <t>Esquadrias de Madeira</t>
        </is>
      </c>
    </row>
    <row r="241" ht="15.75" customHeight="1">
      <c r="A241" s="10">
        <f>COUNTIFS($B$2:$B$996,B241)</f>
        <v/>
      </c>
      <c r="B241" s="10" t="inlineStr">
        <is>
          <t>Brise de Madeira - Decoração Fachada</t>
        </is>
      </c>
      <c r="C241" s="11" t="inlineStr">
        <is>
          <t>un</t>
        </is>
      </c>
      <c r="D241" s="2162">
        <f>E241*$D$1</f>
        <v/>
      </c>
      <c r="E241" s="2162" t="n">
        <v>1031.746031746032</v>
      </c>
      <c r="F241" s="2162" t="inlineStr">
        <is>
          <t xml:space="preserve">Esquadrias </t>
        </is>
      </c>
      <c r="G241" s="2162" t="inlineStr">
        <is>
          <t>Madeira</t>
        </is>
      </c>
      <c r="H241" s="2162" t="n"/>
      <c r="I241" s="4" t="inlineStr">
        <is>
          <t>Esquadrias de Madeira</t>
        </is>
      </c>
    </row>
    <row r="242" ht="15.75" customHeight="1">
      <c r="A242" s="10">
        <f>COUNTIFS($B$2:$B$996,B242)</f>
        <v/>
      </c>
      <c r="B242" s="10" t="inlineStr">
        <is>
          <t>Porta de madeira de abrir - 140x210cm (kit completo)</t>
        </is>
      </c>
      <c r="C242" s="11" t="inlineStr">
        <is>
          <t>un</t>
        </is>
      </c>
      <c r="D242" s="2162">
        <f>E242*$D$1</f>
        <v/>
      </c>
      <c r="E242" s="2162">
        <f>E252/(0.9*2.1)*(1.4*2.1)</f>
        <v/>
      </c>
      <c r="F242" s="2162" t="inlineStr">
        <is>
          <t xml:space="preserve">Esquadrias </t>
        </is>
      </c>
      <c r="G242" s="2162" t="inlineStr">
        <is>
          <t>Madeira</t>
        </is>
      </c>
      <c r="H242" s="2162" t="inlineStr">
        <is>
          <t>Linha Trada</t>
        </is>
      </c>
      <c r="I242" s="4" t="inlineStr">
        <is>
          <t>Esquadrias de Madeira</t>
        </is>
      </c>
    </row>
    <row r="243" ht="15.75" customHeight="1">
      <c r="A243" s="10">
        <f>COUNTIFS($B$2:$B$996,B243)</f>
        <v/>
      </c>
      <c r="B243" s="10" t="inlineStr">
        <is>
          <t>Porta de madeira de abrir - 105x215cm (kit completo)</t>
        </is>
      </c>
      <c r="C243" s="11" t="inlineStr">
        <is>
          <t>un</t>
        </is>
      </c>
      <c r="D243" s="2162">
        <f>E243*$D$1</f>
        <v/>
      </c>
      <c r="E243" s="2162">
        <f>E252/(0.9*2.1)*(1.05*2.1)</f>
        <v/>
      </c>
      <c r="F243" s="2162" t="inlineStr">
        <is>
          <t xml:space="preserve">Esquadrias </t>
        </is>
      </c>
      <c r="G243" s="2162" t="inlineStr">
        <is>
          <t>Madeira</t>
        </is>
      </c>
      <c r="H243" s="2162" t="inlineStr">
        <is>
          <t>Linha Trada</t>
        </is>
      </c>
      <c r="I243" s="4" t="inlineStr">
        <is>
          <t>Esquadrias de Madeira</t>
        </is>
      </c>
    </row>
    <row r="244" ht="15.75" customHeight="1">
      <c r="A244" s="10">
        <f>COUNTIFS($B$2:$B$996,B244)</f>
        <v/>
      </c>
      <c r="B244" s="10" t="inlineStr">
        <is>
          <t>Porta de madeira de abrir - 110x220cm (kit completo)</t>
        </is>
      </c>
      <c r="C244" s="11" t="inlineStr">
        <is>
          <t>un</t>
        </is>
      </c>
      <c r="D244" s="2162">
        <f>E244*$D$1</f>
        <v/>
      </c>
      <c r="E244" s="2162">
        <f>E252/(0.9*2.1)*(1.1*2.1)</f>
        <v/>
      </c>
      <c r="F244" s="2162" t="inlineStr">
        <is>
          <t xml:space="preserve">Esquadrias </t>
        </is>
      </c>
      <c r="G244" s="2162" t="inlineStr">
        <is>
          <t>Madeira</t>
        </is>
      </c>
      <c r="H244" s="2162" t="inlineStr">
        <is>
          <t>Linha Trada</t>
        </is>
      </c>
      <c r="I244" s="4" t="inlineStr">
        <is>
          <t>Esquadrias de Madeira</t>
        </is>
      </c>
    </row>
    <row r="245" ht="15.75" customHeight="1">
      <c r="A245" s="10">
        <f>COUNTIFS($B$2:$B$996,B245)</f>
        <v/>
      </c>
      <c r="B245" s="10" t="inlineStr">
        <is>
          <t>Porta de madeira de abrir - 100x210cm (kit completo)</t>
        </is>
      </c>
      <c r="C245" s="11" t="inlineStr">
        <is>
          <t>un</t>
        </is>
      </c>
      <c r="D245" s="2162">
        <f>E245*$D$1</f>
        <v/>
      </c>
      <c r="E245" s="2162">
        <f>E252/(0.9*2.1)*(1*2.1)</f>
        <v/>
      </c>
      <c r="F245" s="2162" t="inlineStr">
        <is>
          <t xml:space="preserve">Esquadrias </t>
        </is>
      </c>
      <c r="G245" s="2162" t="inlineStr">
        <is>
          <t>Madeira</t>
        </is>
      </c>
      <c r="H245" s="2162" t="inlineStr">
        <is>
          <t>Linha Trada</t>
        </is>
      </c>
      <c r="I245" s="4" t="inlineStr">
        <is>
          <t>Esquadrias de Madeira</t>
        </is>
      </c>
    </row>
    <row r="246" ht="15.75" customHeight="1">
      <c r="A246" s="10">
        <f>COUNTIFS($B$2:$B$996,B246)</f>
        <v/>
      </c>
      <c r="B246" s="10" t="inlineStr">
        <is>
          <t>Porta de madeira de Correr - 60x210cm (kit completo)</t>
        </is>
      </c>
      <c r="C246" s="11" t="inlineStr">
        <is>
          <t>un</t>
        </is>
      </c>
      <c r="D246" s="2162">
        <f>E246*$D$1</f>
        <v/>
      </c>
      <c r="E246" s="2162" t="n">
        <v>2209.52304854369</v>
      </c>
      <c r="F246" s="2162" t="inlineStr">
        <is>
          <t xml:space="preserve">Esquadrias </t>
        </is>
      </c>
      <c r="G246" s="2162" t="inlineStr">
        <is>
          <t>Madeira</t>
        </is>
      </c>
      <c r="H246" s="2162" t="inlineStr">
        <is>
          <t>Linha Trada</t>
        </is>
      </c>
      <c r="I246" s="4" t="inlineStr">
        <is>
          <t>Esquadrias de Madeira</t>
        </is>
      </c>
    </row>
    <row r="247" ht="15.75" customHeight="1">
      <c r="A247" s="10">
        <f>COUNTIFS($B$2:$B$996,B247)</f>
        <v/>
      </c>
      <c r="B247" s="10" t="inlineStr">
        <is>
          <t>Porta de madeira de abrir - 60x215cm (kit completo)</t>
        </is>
      </c>
      <c r="C247" s="11" t="inlineStr">
        <is>
          <t>un</t>
        </is>
      </c>
      <c r="D247" s="2162">
        <f>E247*$D$1</f>
        <v/>
      </c>
      <c r="E247" s="2162" t="n">
        <v>2209.52304854369</v>
      </c>
      <c r="F247" s="2162" t="inlineStr">
        <is>
          <t xml:space="preserve">Esquadrias </t>
        </is>
      </c>
      <c r="G247" s="2162" t="inlineStr">
        <is>
          <t>Madeira</t>
        </is>
      </c>
      <c r="H247" s="2162" t="inlineStr">
        <is>
          <t>Linha Trada</t>
        </is>
      </c>
      <c r="I247" s="4" t="inlineStr">
        <is>
          <t>Esquadrias de Madeira</t>
        </is>
      </c>
    </row>
    <row r="248" ht="15.75" customHeight="1">
      <c r="A248" s="10">
        <f>COUNTIFS($B$2:$B$996,B248)</f>
        <v/>
      </c>
      <c r="B248" s="10" t="inlineStr">
        <is>
          <t>Porta de madeira de abrir - 60x220cm (kit completo)</t>
        </is>
      </c>
      <c r="C248" s="11" t="inlineStr">
        <is>
          <t>un</t>
        </is>
      </c>
      <c r="D248" s="2162">
        <f>E248*$D$1</f>
        <v/>
      </c>
      <c r="E248" s="2162">
        <f>E249/(0.6*2.1)*(0.6*2.2)</f>
        <v/>
      </c>
      <c r="F248" s="2162" t="inlineStr">
        <is>
          <t xml:space="preserve">Esquadrias </t>
        </is>
      </c>
      <c r="G248" s="2162" t="inlineStr">
        <is>
          <t>Madeira</t>
        </is>
      </c>
      <c r="H248" s="2162" t="inlineStr">
        <is>
          <t>Linha Trada</t>
        </is>
      </c>
      <c r="I248" s="4" t="inlineStr">
        <is>
          <t>Esquadrias de Madeira</t>
        </is>
      </c>
    </row>
    <row r="249" ht="15.75" customHeight="1">
      <c r="A249" s="10">
        <f>COUNTIFS($B$2:$B$996,B249)</f>
        <v/>
      </c>
      <c r="B249" s="10" t="inlineStr">
        <is>
          <t>Porta de madeira de abrir - 60x210cm (kit completo)</t>
        </is>
      </c>
      <c r="C249" s="11" t="inlineStr">
        <is>
          <t>un</t>
        </is>
      </c>
      <c r="D249" s="2162">
        <f>E249*$D$1</f>
        <v/>
      </c>
      <c r="E249" s="2162" t="n">
        <v>2251.36</v>
      </c>
      <c r="F249" s="2162" t="inlineStr">
        <is>
          <t xml:space="preserve">Esquadrias </t>
        </is>
      </c>
      <c r="G249" s="2162" t="inlineStr">
        <is>
          <t>Madeira</t>
        </is>
      </c>
      <c r="H249" s="2162" t="inlineStr">
        <is>
          <t>Linha Trada</t>
        </is>
      </c>
      <c r="I249" s="4" t="inlineStr">
        <is>
          <t>Esquadrias de Madeira</t>
        </is>
      </c>
    </row>
    <row r="250" ht="15.75" customHeight="1">
      <c r="A250" s="10">
        <f>COUNTIFS($B$2:$B$996,B250)</f>
        <v/>
      </c>
      <c r="B250" s="10" t="inlineStr">
        <is>
          <t>Porta de madeira de abrir - 80x210cm (kit completo)</t>
        </is>
      </c>
      <c r="C250" s="11" t="inlineStr">
        <is>
          <t>un</t>
        </is>
      </c>
      <c r="D250" s="2162">
        <f>E250*$D$1</f>
        <v/>
      </c>
      <c r="E250" s="2162" t="n">
        <v>2251.36</v>
      </c>
      <c r="F250" s="2162" t="inlineStr">
        <is>
          <t xml:space="preserve">Esquadrias </t>
        </is>
      </c>
      <c r="G250" s="2162" t="inlineStr">
        <is>
          <t>Madeira</t>
        </is>
      </c>
      <c r="H250" s="2162" t="inlineStr">
        <is>
          <t>Linha Trada</t>
        </is>
      </c>
      <c r="I250" s="4" t="inlineStr">
        <is>
          <t>Esquadrias de Madeira</t>
        </is>
      </c>
    </row>
    <row r="251" ht="15.75" customHeight="1">
      <c r="A251" s="10">
        <f>COUNTIFS($B$2:$B$996,B251)</f>
        <v/>
      </c>
      <c r="B251" s="10" t="inlineStr">
        <is>
          <t>Porta de madeira de abrir - 70x210cm (kit completo)</t>
        </is>
      </c>
      <c r="C251" s="11" t="inlineStr">
        <is>
          <t>un</t>
        </is>
      </c>
      <c r="D251" s="2162">
        <f>E251*$D$1</f>
        <v/>
      </c>
      <c r="E251" s="2162" t="n">
        <v>2251.36</v>
      </c>
      <c r="F251" s="2162" t="inlineStr">
        <is>
          <t xml:space="preserve">Esquadrias </t>
        </is>
      </c>
      <c r="G251" s="2162" t="inlineStr">
        <is>
          <t>Madeira</t>
        </is>
      </c>
      <c r="H251" s="2162" t="inlineStr">
        <is>
          <t>Linha Trada</t>
        </is>
      </c>
      <c r="I251" s="4" t="inlineStr">
        <is>
          <t>Esquadrias de Madeira</t>
        </is>
      </c>
    </row>
    <row r="252" ht="15.75" customHeight="1">
      <c r="A252" s="10">
        <f>COUNTIFS($B$2:$B$996,B252)</f>
        <v/>
      </c>
      <c r="B252" s="10" t="inlineStr">
        <is>
          <t>Porta de madeira de abrir - 90x210cm (kit completo)</t>
        </is>
      </c>
      <c r="C252" s="11" t="inlineStr">
        <is>
          <t>un</t>
        </is>
      </c>
      <c r="D252" s="2162">
        <f>E252*$D$1</f>
        <v/>
      </c>
      <c r="E252" s="2162" t="n">
        <v>2598.86</v>
      </c>
      <c r="F252" s="2162" t="inlineStr">
        <is>
          <t xml:space="preserve">Esquadrias </t>
        </is>
      </c>
      <c r="G252" s="2162" t="inlineStr">
        <is>
          <t>Madeira</t>
        </is>
      </c>
      <c r="H252" s="2162" t="inlineStr">
        <is>
          <t>Linha Trada</t>
        </is>
      </c>
      <c r="I252" s="4" t="inlineStr">
        <is>
          <t>Esquadrias de Madeira</t>
        </is>
      </c>
    </row>
    <row r="253" ht="15.75" customHeight="1">
      <c r="A253" s="10">
        <f>COUNTIFS($B$2:$B$996,B253)</f>
        <v/>
      </c>
      <c r="B253" s="10" t="inlineStr">
        <is>
          <t>Porta de madeira de abrir - 76x210cm (kit completo)</t>
        </is>
      </c>
      <c r="C253" s="11" t="inlineStr">
        <is>
          <t>un</t>
        </is>
      </c>
      <c r="D253" s="2162">
        <f>E253*$D$1</f>
        <v/>
      </c>
      <c r="E253" s="2162" t="n">
        <v>2209.52304854369</v>
      </c>
      <c r="F253" s="2162" t="inlineStr">
        <is>
          <t xml:space="preserve">Esquadrias </t>
        </is>
      </c>
      <c r="G253" s="2162" t="inlineStr">
        <is>
          <t>Madeira</t>
        </is>
      </c>
      <c r="H253" s="2162" t="inlineStr">
        <is>
          <t>Linha Trada</t>
        </is>
      </c>
      <c r="I253" s="4" t="inlineStr">
        <is>
          <t>Esquadrias de Madeira</t>
        </is>
      </c>
    </row>
    <row r="254" ht="15.75" customHeight="1">
      <c r="A254" s="10">
        <f>COUNTIFS($B$2:$B$996,B254)</f>
        <v/>
      </c>
      <c r="B254" s="10" t="inlineStr">
        <is>
          <t>Porta de madeira de abrir - 87x210cm (kit completo)</t>
        </is>
      </c>
      <c r="C254" s="11" t="inlineStr">
        <is>
          <t>un</t>
        </is>
      </c>
      <c r="D254" s="2162">
        <f>E254*$D$1</f>
        <v/>
      </c>
      <c r="E254" s="2162" t="n">
        <v>2209.52304854369</v>
      </c>
      <c r="F254" s="2162" t="inlineStr">
        <is>
          <t xml:space="preserve">Esquadrias </t>
        </is>
      </c>
      <c r="G254" s="2162" t="inlineStr">
        <is>
          <t>Madeira</t>
        </is>
      </c>
      <c r="H254" s="2162" t="inlineStr">
        <is>
          <t>Linha Trada</t>
        </is>
      </c>
      <c r="I254" s="4" t="inlineStr">
        <is>
          <t>Esquadrias de Madeira</t>
        </is>
      </c>
    </row>
    <row r="255" ht="15.75" customHeight="1">
      <c r="A255" s="10">
        <f>COUNTIFS($B$2:$B$996,B255)</f>
        <v/>
      </c>
      <c r="B255" s="10" t="inlineStr">
        <is>
          <t>Porta de madeira de abrir - 80x210cm (kit completo)</t>
        </is>
      </c>
      <c r="C255" s="11" t="inlineStr">
        <is>
          <t>un</t>
        </is>
      </c>
      <c r="D255" s="2162">
        <f>E255*$D$1</f>
        <v/>
      </c>
      <c r="E255" s="2162" t="n">
        <v>2251.36</v>
      </c>
      <c r="F255" s="2162" t="inlineStr">
        <is>
          <t xml:space="preserve">Esquadrias </t>
        </is>
      </c>
      <c r="G255" s="2162" t="inlineStr">
        <is>
          <t>Madeira</t>
        </is>
      </c>
      <c r="H255" s="2162" t="inlineStr">
        <is>
          <t>Linha Trada</t>
        </is>
      </c>
      <c r="I255" s="4" t="inlineStr">
        <is>
          <t>Esquadrias de Madeira</t>
        </is>
      </c>
    </row>
    <row r="256" ht="15.75" customHeight="1">
      <c r="A256" s="10">
        <f>COUNTIFS($B$2:$B$996,B256)</f>
        <v/>
      </c>
      <c r="B256" s="10" t="inlineStr">
        <is>
          <t>Porta de madeira de abrir - 80x215cm (kit completo)</t>
        </is>
      </c>
      <c r="C256" s="11" t="inlineStr">
        <is>
          <t>un</t>
        </is>
      </c>
      <c r="D256" s="2162">
        <f>E256*$D$1</f>
        <v/>
      </c>
      <c r="E256" s="2162" t="n">
        <v>2209.52304854369</v>
      </c>
      <c r="F256" s="2162" t="inlineStr">
        <is>
          <t xml:space="preserve">Esquadrias </t>
        </is>
      </c>
      <c r="G256" s="2162" t="inlineStr">
        <is>
          <t>Madeira</t>
        </is>
      </c>
      <c r="H256" s="2162" t="inlineStr">
        <is>
          <t>Linha Trada</t>
        </is>
      </c>
      <c r="I256" s="4" t="inlineStr">
        <is>
          <t>Esquadrias de Madeira</t>
        </is>
      </c>
    </row>
    <row r="257" ht="15.75" customHeight="1">
      <c r="A257" s="10">
        <f>COUNTIFS($B$2:$B$996,B257)</f>
        <v/>
      </c>
      <c r="B257" s="10" t="inlineStr">
        <is>
          <t>Porta de madeira de Correr - 80x210cm (kit completo)</t>
        </is>
      </c>
      <c r="C257" s="11" t="inlineStr">
        <is>
          <t>un</t>
        </is>
      </c>
      <c r="D257" s="2162">
        <f>E257*$D$1</f>
        <v/>
      </c>
      <c r="E257" s="2162" t="n">
        <v>2251.36</v>
      </c>
      <c r="F257" s="2162" t="inlineStr">
        <is>
          <t xml:space="preserve">Esquadrias </t>
        </is>
      </c>
      <c r="G257" s="2162" t="inlineStr">
        <is>
          <t>Madeira</t>
        </is>
      </c>
      <c r="H257" s="2162" t="inlineStr">
        <is>
          <t>Linha Trada</t>
        </is>
      </c>
      <c r="I257" s="4" t="inlineStr">
        <is>
          <t>Esquadrias de Madeira</t>
        </is>
      </c>
    </row>
    <row r="258" ht="15.75" customHeight="1">
      <c r="A258" s="10">
        <f>COUNTIFS($B$2:$B$996,B258)</f>
        <v/>
      </c>
      <c r="B258" s="10" t="inlineStr">
        <is>
          <t>Porta de madeira de abrir - 90x215cm (kit completo)</t>
        </is>
      </c>
      <c r="C258" s="11" t="inlineStr">
        <is>
          <t>un</t>
        </is>
      </c>
      <c r="D258" s="2162">
        <f>E258*$D$1</f>
        <v/>
      </c>
      <c r="E258" s="2162">
        <f>E252/(0.9*2.1)*(0.9*2.15)</f>
        <v/>
      </c>
      <c r="F258" s="2162" t="inlineStr">
        <is>
          <t xml:space="preserve">Esquadrias </t>
        </is>
      </c>
      <c r="G258" s="2162" t="inlineStr">
        <is>
          <t>Madeira</t>
        </is>
      </c>
      <c r="H258" s="2162" t="inlineStr">
        <is>
          <t>Linha Trada</t>
        </is>
      </c>
      <c r="I258" s="4" t="inlineStr">
        <is>
          <t>Esquadrias de Madeira</t>
        </is>
      </c>
    </row>
    <row r="259" ht="15.75" customHeight="1">
      <c r="A259" s="10">
        <f>COUNTIFS($B$2:$B$996,B259)</f>
        <v/>
      </c>
      <c r="B259" s="10" t="inlineStr">
        <is>
          <t xml:space="preserve">Claraboia em vidro laminado </t>
        </is>
      </c>
      <c r="C259" s="11" t="inlineStr">
        <is>
          <t>un</t>
        </is>
      </c>
      <c r="D259" s="2162">
        <f>E259*$D$1</f>
        <v/>
      </c>
      <c r="E259" s="2162" t="n">
        <v>1014</v>
      </c>
      <c r="F259" s="2162" t="inlineStr">
        <is>
          <t xml:space="preserve">Esquadrias </t>
        </is>
      </c>
      <c r="G259" s="2162" t="inlineStr">
        <is>
          <t>Vidro</t>
        </is>
      </c>
      <c r="H259" s="2162" t="n"/>
      <c r="I259" s="4" t="inlineStr">
        <is>
          <t>Vidros</t>
        </is>
      </c>
    </row>
    <row r="260" ht="15.75" customHeight="1">
      <c r="A260" s="10">
        <f>COUNTIFS($B$2:$B$996,B260)</f>
        <v/>
      </c>
      <c r="B260" s="10" t="inlineStr">
        <is>
          <t>Pele de vidro</t>
        </is>
      </c>
      <c r="C260" s="11" t="inlineStr">
        <is>
          <t>M2</t>
        </is>
      </c>
      <c r="D260" s="2162">
        <f>E260*$D$1</f>
        <v/>
      </c>
      <c r="E260" s="2162" t="n">
        <v>1533.99</v>
      </c>
      <c r="F260" s="2162" t="inlineStr">
        <is>
          <t xml:space="preserve">Esquadrias </t>
        </is>
      </c>
      <c r="G260" s="2162" t="inlineStr">
        <is>
          <t>Vidro</t>
        </is>
      </c>
      <c r="H260" s="2162" t="n"/>
      <c r="I260" s="4" t="inlineStr">
        <is>
          <t>Vidros</t>
        </is>
      </c>
    </row>
    <row r="261" ht="15.75" customHeight="1">
      <c r="A261" s="10">
        <f>COUNTIFS($B$2:$B$996,B261)</f>
        <v/>
      </c>
      <c r="B261" s="10" t="inlineStr">
        <is>
          <t>Portão de vidro - 85x280 cm</t>
        </is>
      </c>
      <c r="C261" s="11" t="inlineStr">
        <is>
          <t>M2</t>
        </is>
      </c>
      <c r="D261" s="2162">
        <f>E261*$D$1</f>
        <v/>
      </c>
      <c r="E261" s="2162" t="n">
        <v>3893.283333333333</v>
      </c>
      <c r="F261" s="2162" t="inlineStr">
        <is>
          <t xml:space="preserve">Esquadrias </t>
        </is>
      </c>
      <c r="G261" s="2162" t="inlineStr">
        <is>
          <t>Vidro</t>
        </is>
      </c>
      <c r="H261" s="2162" t="n"/>
      <c r="I261" s="4" t="inlineStr">
        <is>
          <t>Vidros</t>
        </is>
      </c>
    </row>
    <row r="262" ht="15.75" customHeight="1">
      <c r="A262" s="10">
        <f>COUNTIFS($B$2:$B$996,B262)</f>
        <v/>
      </c>
      <c r="B262" s="10" t="inlineStr">
        <is>
          <t>Friso metálico entre pisos / Largura 1,5 cm / Cor: dourado escovado - Material e Mão de obra</t>
        </is>
      </c>
      <c r="C262" s="11" t="inlineStr">
        <is>
          <t>M</t>
        </is>
      </c>
      <c r="D262" s="2162">
        <f>E262*$D$1</f>
        <v/>
      </c>
      <c r="E262" s="2162">
        <f>120+30</f>
        <v/>
      </c>
      <c r="F262" s="2162" t="inlineStr">
        <is>
          <t xml:space="preserve">Esquadrias </t>
        </is>
      </c>
      <c r="G262" s="2162" t="inlineStr">
        <is>
          <t>Metálicas</t>
        </is>
      </c>
      <c r="H262" s="2162" t="n"/>
      <c r="I262" s="4" t="inlineStr">
        <is>
          <t>Esquadrias de Ferro</t>
        </is>
      </c>
    </row>
    <row r="263" ht="15.75" customHeight="1">
      <c r="A263" s="10">
        <f>COUNTIFS($B$2:$B$996,B263)</f>
        <v/>
      </c>
      <c r="B263" s="10" t="inlineStr">
        <is>
          <t>Gradil metálico</t>
        </is>
      </c>
      <c r="C263" s="11" t="inlineStr">
        <is>
          <t>M2</t>
        </is>
      </c>
      <c r="D263" s="2162">
        <f>E263*$D$1</f>
        <v/>
      </c>
      <c r="E263" s="2162" t="n">
        <v>568.9267241379312</v>
      </c>
      <c r="F263" s="2162" t="inlineStr">
        <is>
          <t xml:space="preserve">Esquadrias </t>
        </is>
      </c>
      <c r="G263" s="2162" t="inlineStr">
        <is>
          <t>Metálicas</t>
        </is>
      </c>
      <c r="H263" s="2162" t="n"/>
      <c r="I263" s="4" t="inlineStr">
        <is>
          <t>Esquadrias de Ferro</t>
        </is>
      </c>
    </row>
    <row r="264" ht="15.75" customHeight="1">
      <c r="A264" s="10">
        <f>COUNTIFS($B$2:$B$996,B264)</f>
        <v/>
      </c>
      <c r="B264" s="10" t="inlineStr">
        <is>
          <t>Porta corta-fogo, 1 folha, 80x210 cm</t>
        </is>
      </c>
      <c r="C264" s="11" t="inlineStr">
        <is>
          <t>un</t>
        </is>
      </c>
      <c r="D264" s="2162">
        <f>E264*$D$1</f>
        <v/>
      </c>
      <c r="E264" s="2162" t="n">
        <v>1100</v>
      </c>
      <c r="F264" s="2162" t="inlineStr">
        <is>
          <t xml:space="preserve">Esquadrias </t>
        </is>
      </c>
      <c r="G264" s="2162" t="inlineStr">
        <is>
          <t>Metálicas</t>
        </is>
      </c>
      <c r="H264" s="2162" t="n"/>
      <c r="I264" s="4" t="inlineStr">
        <is>
          <t>Esquadrias de Ferro</t>
        </is>
      </c>
    </row>
    <row r="265" ht="15.75" customHeight="1">
      <c r="A265" s="10">
        <f>COUNTIFS($B$2:$B$996,B265)</f>
        <v/>
      </c>
      <c r="B265" s="10" t="inlineStr">
        <is>
          <t>Portão, 1 folha, 4,81x226 cm</t>
        </is>
      </c>
      <c r="C265" s="11" t="inlineStr">
        <is>
          <t>un</t>
        </is>
      </c>
      <c r="D265" s="2162">
        <f>E265*$D$1</f>
        <v/>
      </c>
      <c r="E265" s="2162" t="n">
        <v>28645.08</v>
      </c>
      <c r="F265" s="2162" t="inlineStr">
        <is>
          <t xml:space="preserve">Esquadrias </t>
        </is>
      </c>
      <c r="G265" s="2162" t="inlineStr">
        <is>
          <t>Metálicas</t>
        </is>
      </c>
      <c r="H265" s="2162" t="n"/>
      <c r="I265" s="4" t="inlineStr">
        <is>
          <t>Esquadrias de Ferro</t>
        </is>
      </c>
    </row>
    <row r="266" ht="15.75" customHeight="1">
      <c r="A266" s="10">
        <f>COUNTIFS($B$2:$B$996,B266)</f>
        <v/>
      </c>
      <c r="B266" s="10" t="inlineStr">
        <is>
          <t>Portão, 1 folha, 500x235 cm</t>
        </is>
      </c>
      <c r="C266" s="11" t="inlineStr">
        <is>
          <t>un</t>
        </is>
      </c>
      <c r="D266" s="2162">
        <f>E266*$D$1</f>
        <v/>
      </c>
      <c r="E266" s="2162" t="n">
        <v>13011.72619047619</v>
      </c>
      <c r="F266" s="2162" t="inlineStr">
        <is>
          <t xml:space="preserve">Esquadrias </t>
        </is>
      </c>
      <c r="G266" s="2162" t="inlineStr">
        <is>
          <t>Metálicas</t>
        </is>
      </c>
      <c r="H266" s="2162" t="n"/>
      <c r="I266" s="4" t="inlineStr">
        <is>
          <t>Esquadrias de Ferro</t>
        </is>
      </c>
    </row>
    <row r="267" ht="15.75" customHeight="1">
      <c r="A267" s="10">
        <f>COUNTIFS($B$2:$B$996,B267)</f>
        <v/>
      </c>
      <c r="B267" s="10" t="inlineStr">
        <is>
          <t>Portão, 1 folha, 350x240 cm</t>
        </is>
      </c>
      <c r="C267" s="11" t="inlineStr">
        <is>
          <t>un</t>
        </is>
      </c>
      <c r="D267" s="2162">
        <f>E267*$D$1</f>
        <v/>
      </c>
      <c r="E267" s="2162" t="n">
        <v>9302</v>
      </c>
      <c r="F267" s="2162" t="inlineStr">
        <is>
          <t xml:space="preserve">Esquadrias </t>
        </is>
      </c>
      <c r="G267" s="2162" t="inlineStr">
        <is>
          <t>Metálicas</t>
        </is>
      </c>
      <c r="H267" s="2162" t="n"/>
      <c r="I267" s="4" t="inlineStr">
        <is>
          <t>Esquadrias de Ferro</t>
        </is>
      </c>
    </row>
    <row r="268" ht="15.75" customHeight="1">
      <c r="A268" s="10">
        <f>COUNTIFS($B$2:$B$996,B268)</f>
        <v/>
      </c>
      <c r="B268" s="10" t="inlineStr">
        <is>
          <t>Porta corta-fogo, 2 folha, 152x126 cm</t>
        </is>
      </c>
      <c r="C268" s="11" t="inlineStr">
        <is>
          <t>un</t>
        </is>
      </c>
      <c r="D268" s="2162">
        <f>E268*$D$1</f>
        <v/>
      </c>
      <c r="E268" s="2162" t="n">
        <v>1089.608462068966</v>
      </c>
      <c r="F268" s="2162" t="inlineStr">
        <is>
          <t xml:space="preserve">Esquadrias </t>
        </is>
      </c>
      <c r="G268" s="2162" t="inlineStr">
        <is>
          <t>Metálicas</t>
        </is>
      </c>
      <c r="H268" s="2162" t="n"/>
      <c r="I268" s="4" t="inlineStr">
        <is>
          <t>Esquadrias de Ferro</t>
        </is>
      </c>
    </row>
    <row r="269" ht="15.75" customHeight="1">
      <c r="A269" s="10">
        <f>COUNTIFS($B$2:$B$996,B269)</f>
        <v/>
      </c>
      <c r="B269" s="10" t="inlineStr">
        <is>
          <t>Escada marinheiro com gaiola de proteção, h=6 m</t>
        </is>
      </c>
      <c r="C269" s="11" t="inlineStr">
        <is>
          <t>un</t>
        </is>
      </c>
      <c r="D269" s="2162">
        <f>E269*$D$1</f>
        <v/>
      </c>
      <c r="E269" s="2162" t="n">
        <v>6500</v>
      </c>
      <c r="F269" s="2162" t="inlineStr">
        <is>
          <t xml:space="preserve">Esquadrias </t>
        </is>
      </c>
      <c r="G269" s="2162" t="inlineStr">
        <is>
          <t>Metálicas</t>
        </is>
      </c>
      <c r="H269" s="2162" t="n"/>
      <c r="I269" s="4" t="inlineStr">
        <is>
          <t>Esquadrias de Ferro</t>
        </is>
      </c>
    </row>
    <row r="270" ht="15.75" customHeight="1">
      <c r="A270" s="10">
        <f>COUNTIFS($B$2:$B$996,B270)</f>
        <v/>
      </c>
      <c r="B270" s="10" t="inlineStr">
        <is>
          <t>Escada de marinheiro</t>
        </is>
      </c>
      <c r="C270" s="11" t="inlineStr">
        <is>
          <t>un</t>
        </is>
      </c>
      <c r="D270" s="2162">
        <f>E270*$D$1</f>
        <v/>
      </c>
      <c r="E270" s="2162" t="n">
        <v>2405</v>
      </c>
      <c r="F270" s="2162" t="inlineStr">
        <is>
          <t xml:space="preserve">Esquadrias </t>
        </is>
      </c>
      <c r="G270" s="2162" t="inlineStr">
        <is>
          <t>Metálicas</t>
        </is>
      </c>
      <c r="H270" s="2162" t="n"/>
      <c r="I270" s="4" t="inlineStr">
        <is>
          <t>Esquadrias de Ferro</t>
        </is>
      </c>
    </row>
    <row r="271" ht="15.75" customHeight="1">
      <c r="A271" s="10">
        <f>COUNTIFS($B$2:$B$996,B271)</f>
        <v/>
      </c>
      <c r="B271" s="10" t="inlineStr">
        <is>
          <t>Porta venezianada metálica, 1 folha, 60x80 cm</t>
        </is>
      </c>
      <c r="C271" s="11" t="inlineStr">
        <is>
          <t>un</t>
        </is>
      </c>
      <c r="D271" s="2162">
        <f>E271*$D$1</f>
        <v/>
      </c>
      <c r="E271" s="2162" t="n">
        <v>975</v>
      </c>
      <c r="F271" s="2162" t="inlineStr">
        <is>
          <t xml:space="preserve">Esquadrias </t>
        </is>
      </c>
      <c r="G271" s="2162" t="inlineStr">
        <is>
          <t>Metálicas</t>
        </is>
      </c>
      <c r="H271" s="2162" t="n"/>
      <c r="I271" s="4" t="inlineStr">
        <is>
          <t>Esquadrias de Ferro</t>
        </is>
      </c>
    </row>
    <row r="272" ht="15.75" customHeight="1">
      <c r="A272" s="10">
        <f>COUNTIFS($B$2:$B$996,B272)</f>
        <v/>
      </c>
      <c r="B272" s="10" t="inlineStr">
        <is>
          <t>Porta metálica, 1 folha, 80x150 cm</t>
        </is>
      </c>
      <c r="C272" s="11" t="inlineStr">
        <is>
          <t>un</t>
        </is>
      </c>
      <c r="D272" s="2162">
        <f>E272*$D$1</f>
        <v/>
      </c>
      <c r="E272" s="2162" t="n">
        <v>2968</v>
      </c>
      <c r="F272" s="2162" t="inlineStr">
        <is>
          <t xml:space="preserve">Esquadrias </t>
        </is>
      </c>
      <c r="G272" s="2162" t="inlineStr">
        <is>
          <t>Metálicas</t>
        </is>
      </c>
      <c r="H272" s="2162" t="n"/>
      <c r="I272" s="4" t="inlineStr">
        <is>
          <t>Esquadrias de Ferro</t>
        </is>
      </c>
    </row>
    <row r="273" ht="15.75" customHeight="1">
      <c r="A273" s="10">
        <f>COUNTIFS($B$2:$B$996,B273)</f>
        <v/>
      </c>
      <c r="B273" s="10" t="inlineStr">
        <is>
          <t>Porta corta-fogo, 1 folha, 106x210 cm</t>
        </is>
      </c>
      <c r="C273" s="11" t="inlineStr">
        <is>
          <t>un</t>
        </is>
      </c>
      <c r="D273" s="2162">
        <f>E273*$D$1</f>
        <v/>
      </c>
      <c r="E273" s="2162" t="n">
        <v>3729.34</v>
      </c>
      <c r="F273" s="2162" t="inlineStr">
        <is>
          <t xml:space="preserve">Esquadrias </t>
        </is>
      </c>
      <c r="G273" s="2162" t="inlineStr">
        <is>
          <t>Metálicas</t>
        </is>
      </c>
      <c r="H273" s="2162" t="n"/>
      <c r="I273" s="4" t="inlineStr">
        <is>
          <t>Esquadrias de Ferro</t>
        </is>
      </c>
    </row>
    <row r="274" ht="15.75" customHeight="1">
      <c r="A274" s="10">
        <f>COUNTIFS($B$2:$B$996,B274)</f>
        <v/>
      </c>
      <c r="B274" s="10" t="inlineStr">
        <is>
          <t>Porta corta-fogo, 1 folha, 96x190cm</t>
        </is>
      </c>
      <c r="C274" s="11" t="inlineStr">
        <is>
          <t>un</t>
        </is>
      </c>
      <c r="D274" s="2162">
        <f>E274*$D$1</f>
        <v/>
      </c>
      <c r="E274" s="2162" t="n">
        <v>3523.56</v>
      </c>
      <c r="F274" s="2162" t="inlineStr">
        <is>
          <t xml:space="preserve">Esquadrias </t>
        </is>
      </c>
      <c r="G274" s="2162" t="inlineStr">
        <is>
          <t>Metálicas</t>
        </is>
      </c>
      <c r="H274" s="2162" t="n"/>
      <c r="I274" s="4" t="inlineStr">
        <is>
          <t>Esquadrias de Ferro</t>
        </is>
      </c>
    </row>
    <row r="275" ht="15.75" customHeight="1">
      <c r="A275" s="10">
        <f>COUNTIFS($B$2:$B$996,B275)</f>
        <v/>
      </c>
      <c r="B275" s="10" t="inlineStr">
        <is>
          <t>Porta corta-fogo, 1 folha, 90x213cm</t>
        </is>
      </c>
      <c r="C275" s="11" t="inlineStr">
        <is>
          <t>un</t>
        </is>
      </c>
      <c r="D275" s="2162">
        <f>E275*$D$1</f>
        <v/>
      </c>
      <c r="E275" s="2162" t="n">
        <v>1754.88</v>
      </c>
      <c r="F275" s="2162" t="inlineStr">
        <is>
          <t xml:space="preserve">Esquadrias </t>
        </is>
      </c>
      <c r="G275" s="2162" t="inlineStr">
        <is>
          <t>Metálicas</t>
        </is>
      </c>
      <c r="H275" s="2162" t="n"/>
      <c r="I275" s="4" t="inlineStr">
        <is>
          <t>Esquadrias de Ferro</t>
        </is>
      </c>
    </row>
    <row r="276" ht="15.75" customHeight="1">
      <c r="A276" s="10">
        <f>COUNTIFS($B$2:$B$996,B276)</f>
        <v/>
      </c>
      <c r="B276" s="10" t="inlineStr">
        <is>
          <t>Porta corta-fogo, 1 folha, 80x213cm</t>
        </is>
      </c>
      <c r="C276" s="11" t="inlineStr">
        <is>
          <t>un</t>
        </is>
      </c>
      <c r="D276" s="2162">
        <f>E276*$D$1</f>
        <v/>
      </c>
      <c r="E276" s="2162" t="n">
        <v>1754.88</v>
      </c>
      <c r="F276" s="2162" t="inlineStr">
        <is>
          <t xml:space="preserve">Esquadrias </t>
        </is>
      </c>
      <c r="G276" s="2162" t="inlineStr">
        <is>
          <t>Metálicas</t>
        </is>
      </c>
      <c r="H276" s="2162" t="n"/>
      <c r="I276" s="4" t="inlineStr">
        <is>
          <t>Esquadrias de Ferro</t>
        </is>
      </c>
    </row>
    <row r="277" ht="15.75" customHeight="1">
      <c r="A277" s="10">
        <f>COUNTIFS($B$2:$B$996,B277)</f>
        <v/>
      </c>
      <c r="B277" s="10" t="inlineStr">
        <is>
          <t>Chapa de Aço Galvanizada 1,55mm (Chapa 16) x 1200mm x 3000mm</t>
        </is>
      </c>
      <c r="C277" s="11" t="inlineStr">
        <is>
          <t>M2</t>
        </is>
      </c>
      <c r="D277" s="2162">
        <f>E277*$D$1</f>
        <v/>
      </c>
      <c r="E277" s="2162" t="n">
        <v>135.3555555555556</v>
      </c>
      <c r="F277" s="2162" t="inlineStr">
        <is>
          <t xml:space="preserve">Esquadrias </t>
        </is>
      </c>
      <c r="G277" s="2162" t="inlineStr">
        <is>
          <t>Metálicas</t>
        </is>
      </c>
      <c r="H277" s="2162" t="n"/>
      <c r="I277" s="4" t="inlineStr">
        <is>
          <t>Esquadrias de Ferro</t>
        </is>
      </c>
    </row>
    <row r="278" ht="15.75" customHeight="1">
      <c r="A278" s="10">
        <f>COUNTIFS($B$2:$B$996,B278)</f>
        <v/>
      </c>
      <c r="B278" s="10" t="inlineStr">
        <is>
          <t>Ferragens para Portas - Maçaneta, fechadura, dobradiça.</t>
        </is>
      </c>
      <c r="C278" s="11" t="inlineStr">
        <is>
          <t>un</t>
        </is>
      </c>
      <c r="D278" s="2162">
        <f>E278*$D$1</f>
        <v/>
      </c>
      <c r="E278" s="2162">
        <f>(219169.63+75071.81+41713+38785.61+20961+20929.47+14994.09+13986.11+12679.48+4954.57+2353.88+1768.97+1211.23+1022.2+195+19.99)/515</f>
        <v/>
      </c>
      <c r="F278" s="2162" t="inlineStr">
        <is>
          <t xml:space="preserve">Esquadrias </t>
        </is>
      </c>
      <c r="G278" s="2162" t="inlineStr">
        <is>
          <t>Fechaduras e acessórios</t>
        </is>
      </c>
      <c r="H278" s="2162" t="n"/>
      <c r="I278" s="4" t="inlineStr">
        <is>
          <t>Vidros</t>
        </is>
      </c>
    </row>
    <row r="279" ht="15.75" customHeight="1">
      <c r="A279" s="10">
        <f>COUNTIFS($B$2:$B$996,B279)</f>
        <v/>
      </c>
      <c r="B279" s="10" t="inlineStr">
        <is>
          <t>Fechadura Arouca para Porta do Quarto Preto 55mm</t>
        </is>
      </c>
      <c r="C279" s="11" t="inlineStr">
        <is>
          <t>un</t>
        </is>
      </c>
      <c r="D279" s="2162">
        <f>E279*$D$1</f>
        <v/>
      </c>
      <c r="E279" s="2162" t="n">
        <v>232.46</v>
      </c>
      <c r="F279" s="2162" t="inlineStr">
        <is>
          <t xml:space="preserve">Esquadrias </t>
        </is>
      </c>
      <c r="G279" s="2162" t="inlineStr">
        <is>
          <t>Fechaduras e acessórios</t>
        </is>
      </c>
      <c r="H279" s="2162" t="n"/>
      <c r="I279" s="4" t="inlineStr">
        <is>
          <t>Vidros</t>
        </is>
      </c>
    </row>
    <row r="280" ht="15.75" customHeight="1">
      <c r="A280" s="10">
        <f>COUNTIFS($B$2:$B$996,B280)</f>
        <v/>
      </c>
      <c r="B280" s="10" t="inlineStr">
        <is>
          <t>Fechadura Inteligente Eletrônica Facial Digital D22 Cor Preto</t>
        </is>
      </c>
      <c r="C280" s="11" t="inlineStr">
        <is>
          <t>un</t>
        </is>
      </c>
      <c r="D280" s="2162">
        <f>E280*$D$1</f>
        <v/>
      </c>
      <c r="E280" s="2162">
        <f>1097.71+193.93</f>
        <v/>
      </c>
      <c r="F280" s="2162" t="inlineStr">
        <is>
          <t xml:space="preserve">Esquadrias </t>
        </is>
      </c>
      <c r="G280" s="2162" t="inlineStr">
        <is>
          <t>Fechaduras e acessórios</t>
        </is>
      </c>
      <c r="H280" s="2162" t="n"/>
      <c r="I280" s="4" t="inlineStr">
        <is>
          <t>Vidros</t>
        </is>
      </c>
    </row>
    <row r="281" ht="14.25" customHeight="1">
      <c r="A281" s="10">
        <f>COUNTIFS($B$2:$B$996,B281)</f>
        <v/>
      </c>
      <c r="B281" s="82" t="inlineStr">
        <is>
          <t>Membrana de polímero acrílico com cimento e fibras, estruturada com tela de poliéster nos pontos críticos</t>
        </is>
      </c>
      <c r="C281" s="83" t="inlineStr">
        <is>
          <t>KG</t>
        </is>
      </c>
      <c r="D281" s="2165">
        <f>E281*$D$1</f>
        <v/>
      </c>
      <c r="E281" s="2165" t="n">
        <v>22</v>
      </c>
      <c r="F281" s="2165" t="inlineStr">
        <is>
          <t>Impremeabilização</t>
        </is>
      </c>
      <c r="G281" s="2165" t="inlineStr">
        <is>
          <t>Impremeabilização</t>
        </is>
      </c>
      <c r="H281" s="2165" t="n"/>
      <c r="I281" s="85" t="inlineStr">
        <is>
          <t>Impermeabilização</t>
        </is>
      </c>
    </row>
    <row r="282" ht="14.25" customHeight="1">
      <c r="A282" s="10">
        <f>COUNTIFS($B$2:$B$996,B282)</f>
        <v/>
      </c>
      <c r="B282" s="82" t="inlineStr">
        <is>
          <t>Membrana de polímero acrílico, sem cimento com resistência à alcalinidade, estruturada com tela de poliéster nos pontos críticos</t>
        </is>
      </c>
      <c r="C282" s="83" t="inlineStr">
        <is>
          <t>KG</t>
        </is>
      </c>
      <c r="D282" s="2165">
        <f>E282*$D$1</f>
        <v/>
      </c>
      <c r="E282" s="2165" t="n">
        <v>25</v>
      </c>
      <c r="F282" s="2165" t="inlineStr">
        <is>
          <t>Impremeabilização</t>
        </is>
      </c>
      <c r="G282" s="2165" t="inlineStr">
        <is>
          <t>Impremeabilização</t>
        </is>
      </c>
      <c r="H282" s="2165" t="n"/>
      <c r="I282" s="85" t="inlineStr">
        <is>
          <t>Impermeabilização</t>
        </is>
      </c>
    </row>
    <row r="283" ht="14.25" customHeight="1">
      <c r="A283" s="10">
        <f>COUNTIFS($B$2:$B$996,B283)</f>
        <v/>
      </c>
      <c r="B283" s="82" t="inlineStr">
        <is>
          <t>Manta fachada ventilada</t>
        </is>
      </c>
      <c r="C283" s="83" t="inlineStr">
        <is>
          <t>M2</t>
        </is>
      </c>
      <c r="D283" s="2165">
        <f>E283*$D$1</f>
        <v/>
      </c>
      <c r="E283" s="2165" t="n">
        <v>32</v>
      </c>
      <c r="F283" s="2165" t="inlineStr">
        <is>
          <t>Impremeabilização</t>
        </is>
      </c>
      <c r="G283" s="2165" t="inlineStr">
        <is>
          <t>Impremeabilização</t>
        </is>
      </c>
      <c r="H283" s="2165" t="n"/>
      <c r="I283" s="85" t="inlineStr">
        <is>
          <t>Impermeabilização</t>
        </is>
      </c>
    </row>
    <row r="284" ht="14.25" customHeight="1">
      <c r="A284" s="10">
        <f>COUNTIFS($B$2:$B$996,B284)</f>
        <v/>
      </c>
      <c r="B284" s="82" t="inlineStr">
        <is>
          <t>Manta asfáltica tipo IV, 4 mm A, com acabamento areia/areia aderida com asfalto oxidado</t>
        </is>
      </c>
      <c r="C284" s="83" t="inlineStr">
        <is>
          <t>KG</t>
        </is>
      </c>
      <c r="D284" s="2165">
        <f>E284*$D$1</f>
        <v/>
      </c>
      <c r="E284" s="2165">
        <f>AVERAGE(24,36)</f>
        <v/>
      </c>
      <c r="F284" s="2165" t="inlineStr">
        <is>
          <t>Impremeabilização</t>
        </is>
      </c>
      <c r="G284" s="2165" t="inlineStr">
        <is>
          <t>Impremeabilização</t>
        </is>
      </c>
      <c r="H284" s="2165" t="n"/>
      <c r="I284" s="85" t="inlineStr">
        <is>
          <t>Impermeabilização</t>
        </is>
      </c>
    </row>
    <row r="285" ht="14.25" customHeight="1">
      <c r="A285" s="10">
        <f>COUNTIFS($B$2:$B$996,B285)</f>
        <v/>
      </c>
      <c r="B285" s="82" t="inlineStr">
        <is>
          <t>banho de asfalto oxidado</t>
        </is>
      </c>
      <c r="C285" s="83" t="inlineStr">
        <is>
          <t>KG</t>
        </is>
      </c>
      <c r="D285" s="2165">
        <f>E285*$D$1</f>
        <v/>
      </c>
      <c r="E285" s="2165">
        <f>AVERAGE(6,12)</f>
        <v/>
      </c>
      <c r="F285" s="2165" t="inlineStr">
        <is>
          <t>Impremeabilização</t>
        </is>
      </c>
      <c r="G285" s="2165" t="inlineStr">
        <is>
          <t>Impremeabilização</t>
        </is>
      </c>
      <c r="H285" s="2165" t="n"/>
      <c r="I285" s="85" t="inlineStr">
        <is>
          <t>Impermeabilização</t>
        </is>
      </c>
    </row>
    <row r="286" ht="14.25" customHeight="1">
      <c r="A286" s="10">
        <f>COUNTIFS($B$2:$B$996,B286)</f>
        <v/>
      </c>
      <c r="B286" s="82" t="inlineStr">
        <is>
          <t xml:space="preserve">Argamassa não cimentícia com agentes incorporadores de ar - MK-FEN 30 (F) </t>
        </is>
      </c>
      <c r="C286" s="83" t="inlineStr">
        <is>
          <t>KG</t>
        </is>
      </c>
      <c r="D286" s="2165">
        <f>E286*$D$1</f>
        <v/>
      </c>
      <c r="E286" s="2165" t="n">
        <v>18.5</v>
      </c>
      <c r="F286" s="2165" t="inlineStr">
        <is>
          <t>Impremeabilização</t>
        </is>
      </c>
      <c r="G286" s="2165" t="inlineStr">
        <is>
          <t>Impremeabilização</t>
        </is>
      </c>
      <c r="H286" s="2165" t="n"/>
      <c r="I286" s="85" t="inlineStr">
        <is>
          <t>Impermeabilização</t>
        </is>
      </c>
    </row>
    <row r="287" ht="14.25" customHeight="1">
      <c r="A287" s="10">
        <f>COUNTIFS($B$2:$B$996,B287)</f>
        <v/>
      </c>
      <c r="B287" s="82" t="inlineStr">
        <is>
          <t>Argamassa polimérica rígida, estruturada com tela de poliéster nos pontos críticos</t>
        </is>
      </c>
      <c r="C287" s="83" t="inlineStr">
        <is>
          <t>KG</t>
        </is>
      </c>
      <c r="D287" s="2165">
        <f>E287*$D$1</f>
        <v/>
      </c>
      <c r="E287" s="2165">
        <f>178/18</f>
        <v/>
      </c>
      <c r="F287" s="2165" t="inlineStr">
        <is>
          <t>Impremeabilização</t>
        </is>
      </c>
      <c r="G287" s="2165" t="inlineStr">
        <is>
          <t>Impremeabilização</t>
        </is>
      </c>
      <c r="H287" s="2165" t="n"/>
      <c r="I287" s="85" t="inlineStr">
        <is>
          <t>Impermeabilização</t>
        </is>
      </c>
    </row>
    <row r="288" ht="14.25" customHeight="1">
      <c r="A288" s="10">
        <f>COUNTIFS($B$2:$B$996,B288)</f>
        <v/>
      </c>
      <c r="B288" s="82" t="inlineStr">
        <is>
          <t>Argamassa polimérica rígida</t>
        </is>
      </c>
      <c r="C288" s="83" t="inlineStr">
        <is>
          <t>KG</t>
        </is>
      </c>
      <c r="D288" s="2165">
        <f>E288*$D$1</f>
        <v/>
      </c>
      <c r="E288" s="2165">
        <f>178/18</f>
        <v/>
      </c>
      <c r="F288" s="2165" t="inlineStr">
        <is>
          <t>Impremeabilização</t>
        </is>
      </c>
      <c r="G288" s="2165" t="inlineStr">
        <is>
          <t>Impremeabilização</t>
        </is>
      </c>
      <c r="H288" s="2165" t="n"/>
      <c r="I288" s="85" t="inlineStr">
        <is>
          <t>Impermeabilização</t>
        </is>
      </c>
    </row>
    <row r="289" ht="14.25" customHeight="1">
      <c r="A289" s="10">
        <f>COUNTIFS($B$2:$B$996,B289)</f>
        <v/>
      </c>
      <c r="B289" s="82" t="inlineStr">
        <is>
          <t>Argamassa polimérica rígida, com alta resistência química, estruturada com tela de poliéster nos pontos críticos</t>
        </is>
      </c>
      <c r="C289" s="83" t="inlineStr">
        <is>
          <t>KG</t>
        </is>
      </c>
      <c r="D289" s="2165">
        <f>E289*$D$1</f>
        <v/>
      </c>
      <c r="E289" s="2165">
        <f>178/18</f>
        <v/>
      </c>
      <c r="F289" s="2165" t="inlineStr">
        <is>
          <t>Impremeabilização</t>
        </is>
      </c>
      <c r="G289" s="2165" t="inlineStr">
        <is>
          <t>Impremeabilização</t>
        </is>
      </c>
      <c r="H289" s="2165" t="n"/>
      <c r="I289" s="85" t="inlineStr">
        <is>
          <t>Impermeabilização</t>
        </is>
      </c>
    </row>
    <row r="290" ht="14.25" customHeight="1">
      <c r="A290" s="10">
        <f>COUNTIFS($B$2:$B$996,B290)</f>
        <v/>
      </c>
      <c r="B290" s="82" t="inlineStr">
        <is>
          <t>Membrana acrílica, estruturada com tela de poliéster, nos pontos críticos</t>
        </is>
      </c>
      <c r="C290" s="83" t="inlineStr">
        <is>
          <t>KG</t>
        </is>
      </c>
      <c r="D290" s="2165">
        <f>E290*$D$1</f>
        <v/>
      </c>
      <c r="E290" s="2165">
        <f>AVERAGE(20,28)</f>
        <v/>
      </c>
      <c r="F290" s="2165" t="inlineStr">
        <is>
          <t>Impremeabilização</t>
        </is>
      </c>
      <c r="G290" s="2165" t="inlineStr">
        <is>
          <t>Impremeabilização</t>
        </is>
      </c>
      <c r="H290" s="2165" t="n"/>
      <c r="I290" s="85" t="inlineStr">
        <is>
          <t>Impermeabilização</t>
        </is>
      </c>
    </row>
    <row r="291" ht="14.25" customHeight="1">
      <c r="A291" s="10">
        <f>COUNTIFS($B$2:$B$996,B291)</f>
        <v/>
      </c>
      <c r="B291" s="82" t="inlineStr">
        <is>
          <t>membrana de polímero acrílico com cimento e fibras para combater eflorescência</t>
        </is>
      </c>
      <c r="C291" s="83" t="inlineStr">
        <is>
          <t>KG</t>
        </is>
      </c>
      <c r="D291" s="2165">
        <f>E291*$D$1</f>
        <v/>
      </c>
      <c r="E291" s="2165">
        <f>AVERAGE(20,28)</f>
        <v/>
      </c>
      <c r="F291" s="2165" t="inlineStr">
        <is>
          <t>Impremeabilização</t>
        </is>
      </c>
      <c r="G291" s="2165" t="inlineStr">
        <is>
          <t>Impremeabilização</t>
        </is>
      </c>
      <c r="H291" s="2165" t="n"/>
      <c r="I291" s="85" t="inlineStr">
        <is>
          <t>Impermeabilização</t>
        </is>
      </c>
    </row>
    <row r="292" ht="14.25" customHeight="1">
      <c r="A292" s="10">
        <f>COUNTIFS($B$2:$B$996,B292)</f>
        <v/>
      </c>
      <c r="B292" s="82" t="inlineStr">
        <is>
          <t>Membrana de polímero acrílico, com cimento e com fibras, estruturada com tela de poliéster nos pontos críticos</t>
        </is>
      </c>
      <c r="C292" s="83" t="inlineStr">
        <is>
          <t>KG</t>
        </is>
      </c>
      <c r="D292" s="2165">
        <f>E292*$D$1</f>
        <v/>
      </c>
      <c r="E292" s="2165">
        <f>AVERAGE(20,28)</f>
        <v/>
      </c>
      <c r="F292" s="2165" t="inlineStr">
        <is>
          <t>Impremeabilização</t>
        </is>
      </c>
      <c r="G292" s="2165" t="inlineStr">
        <is>
          <t>Impremeabilização</t>
        </is>
      </c>
      <c r="H292" s="2165" t="n"/>
      <c r="I292" s="85" t="inlineStr">
        <is>
          <t>Impermeabilização</t>
        </is>
      </c>
    </row>
    <row r="293" ht="14.25" customHeight="1">
      <c r="A293" s="10">
        <f>COUNTIFS($B$2:$B$996,B293)</f>
        <v/>
      </c>
      <c r="B293" s="82" t="inlineStr">
        <is>
          <t>pintura de proteção antirraiz sobre a proteção mecânica</t>
        </is>
      </c>
      <c r="C293" s="83" t="inlineStr">
        <is>
          <t>L</t>
        </is>
      </c>
      <c r="D293" s="2165">
        <f>E293*$D$1</f>
        <v/>
      </c>
      <c r="E293" s="2165">
        <f>AVERAGE(40,80)</f>
        <v/>
      </c>
      <c r="F293" s="2165" t="inlineStr">
        <is>
          <t>Impremeabilização</t>
        </is>
      </c>
      <c r="G293" s="2165" t="inlineStr">
        <is>
          <t>Impremeabilização</t>
        </is>
      </c>
      <c r="H293" s="2165" t="n"/>
      <c r="I293" s="85" t="inlineStr">
        <is>
          <t>Impermeabilização</t>
        </is>
      </c>
    </row>
    <row r="294" ht="14.25" customHeight="1">
      <c r="A294" s="10">
        <f>COUNTIFS($B$2:$B$996,B294)</f>
        <v/>
      </c>
      <c r="B294" s="82" t="inlineStr">
        <is>
          <t>Manta asfáltica tipo IV, 4 mm A, com acabamento areia/areia + manta asfáltica tipo IV, 4 mm A, com acabamento areia/areia aderida com asfalto oxidado</t>
        </is>
      </c>
      <c r="C294" s="83" t="inlineStr">
        <is>
          <t>KG</t>
        </is>
      </c>
      <c r="D294" s="2165">
        <f>E294*$D$1</f>
        <v/>
      </c>
      <c r="E294" s="2165" t="n">
        <v>30</v>
      </c>
      <c r="F294" s="2165" t="inlineStr">
        <is>
          <t>Impremeabilização</t>
        </is>
      </c>
      <c r="G294" s="2165" t="inlineStr">
        <is>
          <t>Impremeabilização</t>
        </is>
      </c>
      <c r="H294" s="2165" t="n"/>
      <c r="I294" s="85" t="inlineStr">
        <is>
          <t>Impermeabilização</t>
        </is>
      </c>
    </row>
    <row r="295" ht="15.75" customHeight="1">
      <c r="A295" s="10">
        <f>COUNTIFS($B$2:$B$996,B295)</f>
        <v/>
      </c>
      <c r="B295" s="10" t="inlineStr">
        <is>
          <t>SOLUÇÃO DE SILICADOS CWS100</t>
        </is>
      </c>
      <c r="C295" s="11" t="inlineStr">
        <is>
          <t>KG</t>
        </is>
      </c>
      <c r="D295" s="2162">
        <f>E295*$D$1</f>
        <v/>
      </c>
      <c r="E295" s="2162" t="n">
        <v>325</v>
      </c>
      <c r="F295" s="2162" t="inlineStr">
        <is>
          <t>Impremeabilização</t>
        </is>
      </c>
      <c r="G295" s="2162" t="inlineStr">
        <is>
          <t>Impremeabilização</t>
        </is>
      </c>
      <c r="H295" s="2162" t="n"/>
      <c r="I295" s="4" t="inlineStr">
        <is>
          <t>Impermeabilização</t>
        </is>
      </c>
    </row>
    <row r="296" ht="15.75" customHeight="1">
      <c r="A296" s="10">
        <f>COUNTIFS($B$2:$B$996,B296)</f>
        <v/>
      </c>
      <c r="B296" s="10" t="inlineStr">
        <is>
          <t>impermeabilizante manta líquida Ultravent</t>
        </is>
      </c>
      <c r="C296" s="11" t="inlineStr">
        <is>
          <t>KG</t>
        </is>
      </c>
      <c r="D296" s="2162">
        <f>E296*$D$1</f>
        <v/>
      </c>
      <c r="E296" s="2162" t="n">
        <v>50</v>
      </c>
      <c r="F296" s="2162" t="inlineStr">
        <is>
          <t>Impremeabilização</t>
        </is>
      </c>
      <c r="G296" s="2162" t="inlineStr">
        <is>
          <t>Impremeabilização</t>
        </is>
      </c>
      <c r="H296" s="2162" t="n"/>
      <c r="I296" s="4" t="inlineStr">
        <is>
          <t>Impermeabilização</t>
        </is>
      </c>
    </row>
    <row r="297" ht="15.75" customHeight="1">
      <c r="A297" s="10">
        <f>COUNTIFS($B$2:$B$996,B297)</f>
        <v/>
      </c>
      <c r="B297" s="10" t="inlineStr">
        <is>
          <t>Argamassa polimerica impermeabilizante semiflexivel, bicomponente, a base de cimento e aditivos</t>
        </is>
      </c>
      <c r="C297" s="11" t="inlineStr">
        <is>
          <t>KG</t>
        </is>
      </c>
      <c r="D297" s="2162">
        <f>E297*$D$1</f>
        <v/>
      </c>
      <c r="E297" s="2162" t="n">
        <v>11.33</v>
      </c>
      <c r="F297" s="2162" t="inlineStr">
        <is>
          <t>Impremeabilização</t>
        </is>
      </c>
      <c r="G297" s="2162" t="inlineStr">
        <is>
          <t>Impremeabilização</t>
        </is>
      </c>
      <c r="H297" s="2162" t="n"/>
      <c r="I297" s="4" t="inlineStr">
        <is>
          <t>Impermeabilização</t>
        </is>
      </c>
    </row>
    <row r="298" ht="15.75" customHeight="1">
      <c r="A298" s="10">
        <f>COUNTIFS($B$2:$B$996,B298)</f>
        <v/>
      </c>
      <c r="B298" s="10" t="inlineStr">
        <is>
          <t>Tela Poliéster De Reforço Para Impermeabilização - 50m X 1m</t>
        </is>
      </c>
      <c r="C298" s="11" t="inlineStr">
        <is>
          <t>M2</t>
        </is>
      </c>
      <c r="D298" s="2162">
        <f>E298*$D$1</f>
        <v/>
      </c>
      <c r="E298" s="2162">
        <f>445.9/50</f>
        <v/>
      </c>
      <c r="F298" s="2162" t="inlineStr">
        <is>
          <t>Impremeabilização</t>
        </is>
      </c>
      <c r="G298" s="2162" t="inlineStr">
        <is>
          <t>Impremeabilização</t>
        </is>
      </c>
      <c r="H298" s="2162" t="n"/>
      <c r="I298" s="4" t="inlineStr">
        <is>
          <t>Impermeabilização</t>
        </is>
      </c>
    </row>
    <row r="299" ht="15.75" customHeight="1">
      <c r="A299" s="10">
        <f>COUNTIFS($B$2:$B$996,B299)</f>
        <v/>
      </c>
      <c r="B299" s="10" t="inlineStr">
        <is>
          <t>Membrana de polímeros acrílicos com cimento e com fibras</t>
        </is>
      </c>
      <c r="C299" s="11" t="inlineStr">
        <is>
          <t>KG</t>
        </is>
      </c>
      <c r="D299" s="2162">
        <f>E299*$D$1</f>
        <v/>
      </c>
      <c r="E299" s="2162" t="n">
        <v>11.05555555555556</v>
      </c>
      <c r="F299" s="2162" t="inlineStr">
        <is>
          <t>Impremeabilização</t>
        </is>
      </c>
      <c r="G299" s="2162" t="inlineStr">
        <is>
          <t>Impremeabilização</t>
        </is>
      </c>
      <c r="H299" s="2162" t="n"/>
      <c r="I299" s="4" t="inlineStr">
        <is>
          <t>Impermeabilização</t>
        </is>
      </c>
    </row>
    <row r="300" ht="15.75" customHeight="1">
      <c r="A300" s="10">
        <f>COUNTIFS($B$2:$B$996,B300)</f>
        <v/>
      </c>
      <c r="B300" s="10" t="inlineStr">
        <is>
          <t>emulsão asfáltica de alta resistência química</t>
        </is>
      </c>
      <c r="C300" s="11" t="inlineStr">
        <is>
          <t>L</t>
        </is>
      </c>
      <c r="D300" s="2162">
        <f>E300*$D$1</f>
        <v/>
      </c>
      <c r="E300" s="2162" t="n">
        <v>19.44</v>
      </c>
      <c r="F300" s="2162" t="inlineStr">
        <is>
          <t>Impremeabilização</t>
        </is>
      </c>
      <c r="G300" s="2162" t="inlineStr">
        <is>
          <t>Impremeabilização</t>
        </is>
      </c>
      <c r="H300" s="2162" t="n"/>
      <c r="I300" s="4" t="inlineStr">
        <is>
          <t>Impermeabilização</t>
        </is>
      </c>
    </row>
    <row r="301" ht="14.25" customHeight="1">
      <c r="A301" s="10">
        <f>COUNTIFS($B$2:$B$996,B301)</f>
        <v/>
      </c>
      <c r="B301" s="82" t="inlineStr">
        <is>
          <t>Manta acústica “SoundSoft Ondulada” da Aubicon esp. 17/8mm”</t>
        </is>
      </c>
      <c r="C301" s="83" t="inlineStr">
        <is>
          <t>M2</t>
        </is>
      </c>
      <c r="D301" s="2165">
        <f>E301*$D$1</f>
        <v/>
      </c>
      <c r="E301" s="2165" t="n">
        <v>130</v>
      </c>
      <c r="F301" s="2165" t="inlineStr">
        <is>
          <t>Impremeabilização</t>
        </is>
      </c>
      <c r="G301" s="2165" t="inlineStr">
        <is>
          <t>Impremeabilização</t>
        </is>
      </c>
      <c r="H301" s="2165" t="n"/>
      <c r="I301" s="85" t="inlineStr">
        <is>
          <t>Impermeabilização</t>
        </is>
      </c>
    </row>
    <row r="302" ht="14.25" customHeight="1">
      <c r="A302" s="10">
        <f>COUNTIFS($B$2:$B$996,B302)</f>
        <v/>
      </c>
      <c r="B302" s="82" t="inlineStr">
        <is>
          <t>Manta acústica “SoundSoft laje zero” da Aubicon com polimero acrilico aderido da Baucryl</t>
        </is>
      </c>
      <c r="C302" s="83" t="inlineStr">
        <is>
          <t>M2</t>
        </is>
      </c>
      <c r="D302" s="2165">
        <f>E302*$D$1</f>
        <v/>
      </c>
      <c r="E302" s="2165" t="n">
        <v>220</v>
      </c>
      <c r="F302" s="2165" t="inlineStr">
        <is>
          <t>Impremeabilização</t>
        </is>
      </c>
      <c r="G302" s="2165" t="inlineStr">
        <is>
          <t>Impremeabilização</t>
        </is>
      </c>
      <c r="H302" s="2165" t="n"/>
      <c r="I302" s="85" t="inlineStr">
        <is>
          <t>Impermeabilização</t>
        </is>
      </c>
    </row>
    <row r="303" ht="14.25" customHeight="1">
      <c r="A303" s="10">
        <f>COUNTIFS($B$2:$B$996,B303)</f>
        <v/>
      </c>
      <c r="B303" s="82" t="inlineStr">
        <is>
          <t>Tratamento acustico da sylomer da getzner esp. 50mm</t>
        </is>
      </c>
      <c r="C303" s="83" t="inlineStr">
        <is>
          <t>M2</t>
        </is>
      </c>
      <c r="D303" s="2165">
        <f>E303*$D$1</f>
        <v/>
      </c>
      <c r="E303" s="2165" t="n">
        <v>1200</v>
      </c>
      <c r="F303" s="2165" t="inlineStr">
        <is>
          <t>Impremeabilização</t>
        </is>
      </c>
      <c r="G303" s="2165" t="inlineStr">
        <is>
          <t>Impremeabilização</t>
        </is>
      </c>
      <c r="H303" s="2165" t="n"/>
      <c r="I303" s="85" t="inlineStr">
        <is>
          <t>Impermeabilização</t>
        </is>
      </c>
    </row>
    <row r="304" ht="15.75" customHeight="1">
      <c r="A304" s="10">
        <f>COUNTIFS($B$2:$B$996,B304)</f>
        <v/>
      </c>
      <c r="B304" s="10" t="inlineStr">
        <is>
          <t>Manta Líquida - Igolflex Pu (consumo = 400g/m2)</t>
        </is>
      </c>
      <c r="C304" s="11" t="inlineStr">
        <is>
          <t>KG</t>
        </is>
      </c>
      <c r="D304" s="2162">
        <f>E304*$D$1</f>
        <v/>
      </c>
      <c r="E304" s="2162" t="n">
        <v>29.27777777777778</v>
      </c>
      <c r="F304" s="2162" t="inlineStr">
        <is>
          <t>Impremeabilização</t>
        </is>
      </c>
      <c r="G304" s="2162" t="inlineStr">
        <is>
          <t>Impremeabilização</t>
        </is>
      </c>
      <c r="H304" s="2162" t="n"/>
      <c r="I304" s="4" t="inlineStr">
        <is>
          <t>Impermeabilização</t>
        </is>
      </c>
    </row>
    <row r="305" ht="15.75" customHeight="1">
      <c r="A305" s="10">
        <f>COUNTIFS($B$2:$B$996,B305)</f>
        <v/>
      </c>
      <c r="B305" s="10" t="inlineStr">
        <is>
          <t>Impermeabilizante manta liquida branca</t>
        </is>
      </c>
      <c r="C305" s="11" t="inlineStr">
        <is>
          <t>KG</t>
        </is>
      </c>
      <c r="D305" s="2162">
        <f>E305*$D$1</f>
        <v/>
      </c>
      <c r="E305" s="2162" t="n">
        <v>25.75</v>
      </c>
      <c r="F305" s="2162" t="inlineStr">
        <is>
          <t>Impremeabilização</t>
        </is>
      </c>
      <c r="G305" s="2162" t="inlineStr">
        <is>
          <t>Impremeabilização</t>
        </is>
      </c>
      <c r="H305" s="2162" t="n"/>
      <c r="I305" s="4" t="inlineStr">
        <is>
          <t>Impermeabilização</t>
        </is>
      </c>
    </row>
    <row r="306" ht="15.75" customHeight="1">
      <c r="A306" s="10">
        <f>COUNTIFS($B$2:$B$996,B306)</f>
        <v/>
      </c>
      <c r="B306" s="10" t="inlineStr">
        <is>
          <t>Manta Asfáltica Drykomanta Polialum 4mm Tipo ll 10m Dryko</t>
        </is>
      </c>
      <c r="C306" s="11" t="inlineStr">
        <is>
          <t>M2</t>
        </is>
      </c>
      <c r="D306" s="2162">
        <f>E306*$D$1</f>
        <v/>
      </c>
      <c r="E306" s="2162" t="n">
        <v>37.99</v>
      </c>
      <c r="F306" s="2162" t="inlineStr">
        <is>
          <t>Impremeabilização</t>
        </is>
      </c>
      <c r="G306" s="2162" t="inlineStr">
        <is>
          <t>Impremeabilização</t>
        </is>
      </c>
      <c r="H306" s="2162" t="n"/>
      <c r="I306" s="4" t="inlineStr">
        <is>
          <t>Impermeabilização</t>
        </is>
      </c>
    </row>
    <row r="307" ht="15.75" customHeight="1">
      <c r="A307" s="10">
        <f>COUNTIFS($B$2:$B$996,B307)</f>
        <v/>
      </c>
      <c r="B307" s="10" t="inlineStr">
        <is>
          <t>Membrana Impermeável Respirável - 1,30x50m</t>
        </is>
      </c>
      <c r="C307" s="11" t="inlineStr">
        <is>
          <t>M2</t>
        </is>
      </c>
      <c r="D307" s="2162">
        <f>E307*$D$1</f>
        <v/>
      </c>
      <c r="E307" s="2162" t="n">
        <v>11.09076923076923</v>
      </c>
      <c r="F307" s="2162" t="inlineStr">
        <is>
          <t>Impremeabilização</t>
        </is>
      </c>
      <c r="G307" s="2162" t="inlineStr">
        <is>
          <t>Impremeabilização</t>
        </is>
      </c>
      <c r="H307" s="2162" t="n"/>
      <c r="I307" s="4" t="inlineStr">
        <is>
          <t>Impermeabilização</t>
        </is>
      </c>
    </row>
    <row r="308" ht="15.75" customHeight="1">
      <c r="A308" s="10">
        <f>COUNTIFS($B$2:$B$996,B308)</f>
        <v/>
      </c>
      <c r="B308" s="10" t="inlineStr">
        <is>
          <t>MANTA ASFALTICA ELASTOMERICA EM POLIESTER 3 MM, TIPO III, CLASSE B, ACABAMENTO PP (NBR 9952)</t>
        </is>
      </c>
      <c r="C308" s="11" t="inlineStr">
        <is>
          <t>M2</t>
        </is>
      </c>
      <c r="D308" s="2162">
        <f>E308*$D$1</f>
        <v/>
      </c>
      <c r="E308" s="2162" t="n">
        <v>57.02</v>
      </c>
      <c r="F308" s="2162" t="inlineStr">
        <is>
          <t>Impremeabilização</t>
        </is>
      </c>
      <c r="G308" s="2162" t="inlineStr">
        <is>
          <t>Impremeabilização</t>
        </is>
      </c>
      <c r="H308" s="2162" t="n"/>
      <c r="I308" s="4" t="inlineStr">
        <is>
          <t>Impermeabilização</t>
        </is>
      </c>
    </row>
    <row r="309" ht="15.75" customHeight="1">
      <c r="A309" s="10">
        <f>COUNTIFS($B$2:$B$996,B309)</f>
        <v/>
      </c>
      <c r="B309" s="10" t="inlineStr">
        <is>
          <t>MANTA ASFALTICA ELASTOMERICA EM POLIESTER 4 MM, TIPO III, CLASSE B, ACABAMENTO PP (NBR 9952)</t>
        </is>
      </c>
      <c r="C309" s="11" t="inlineStr">
        <is>
          <t>M2</t>
        </is>
      </c>
      <c r="D309" s="2162">
        <f>E309*$D$1</f>
        <v/>
      </c>
      <c r="E309" s="2162" t="n">
        <v>70.02</v>
      </c>
      <c r="F309" s="2162" t="inlineStr">
        <is>
          <t>Impremeabilização</t>
        </is>
      </c>
      <c r="G309" s="2162" t="inlineStr">
        <is>
          <t>Impremeabilização</t>
        </is>
      </c>
      <c r="H309" s="2162" t="n"/>
      <c r="I309" s="4" t="inlineStr">
        <is>
          <t>Impermeabilização</t>
        </is>
      </c>
    </row>
    <row r="310" ht="15.75" customHeight="1">
      <c r="A310" s="10">
        <f>COUNTIFS($B$2:$B$996,B310)</f>
        <v/>
      </c>
      <c r="B310" s="10" t="inlineStr">
        <is>
          <t>Manta De Polipropileno, E = 10 Mm</t>
        </is>
      </c>
      <c r="C310" s="11" t="inlineStr">
        <is>
          <t>M2</t>
        </is>
      </c>
      <c r="D310" s="2162">
        <f>E310*$D$1</f>
        <v/>
      </c>
      <c r="E310" s="2162">
        <f>1100/(1.2*30)</f>
        <v/>
      </c>
      <c r="F310" s="2162" t="inlineStr">
        <is>
          <t>Impremeabilização</t>
        </is>
      </c>
      <c r="G310" s="2162" t="inlineStr">
        <is>
          <t>Impremeabilização</t>
        </is>
      </c>
      <c r="H310" s="2162" t="n"/>
      <c r="I310" s="4" t="inlineStr">
        <is>
          <t>Impermeabilização</t>
        </is>
      </c>
    </row>
    <row r="311" ht="15.75" customHeight="1">
      <c r="A311" s="10">
        <f>COUNTIFS($B$2:$B$996,B311)</f>
        <v/>
      </c>
      <c r="B311" s="10" t="inlineStr">
        <is>
          <t>Manta De Polietileno Expandido (Pebd), E = 2 Mm</t>
        </is>
      </c>
      <c r="C311" s="11" t="inlineStr">
        <is>
          <t>L</t>
        </is>
      </c>
      <c r="D311" s="2162">
        <f>E311*$D$1</f>
        <v/>
      </c>
      <c r="E311" s="2162" t="n">
        <v>7.16</v>
      </c>
      <c r="F311" s="2162" t="inlineStr">
        <is>
          <t>Impremeabilização</t>
        </is>
      </c>
      <c r="G311" s="2162" t="inlineStr">
        <is>
          <t>Impremeabilização</t>
        </is>
      </c>
      <c r="H311" s="2162" t="n"/>
      <c r="I311" s="4" t="inlineStr">
        <is>
          <t>Impermeabilização</t>
        </is>
      </c>
    </row>
    <row r="312" ht="15.75" customHeight="1">
      <c r="A312" s="10">
        <f>COUNTIFS($B$2:$B$996,B312)</f>
        <v/>
      </c>
      <c r="B312" s="10" t="inlineStr">
        <is>
          <t>Manta Isolamento Acústico Laje Piso Passo 8mm</t>
        </is>
      </c>
      <c r="C312" s="11" t="inlineStr">
        <is>
          <t>L</t>
        </is>
      </c>
      <c r="D312" s="2162">
        <f>E312*$D$1</f>
        <v/>
      </c>
      <c r="E312" s="2162" t="n">
        <v>26.56333333333333</v>
      </c>
      <c r="F312" s="2162" t="inlineStr">
        <is>
          <t>Impremeabilização</t>
        </is>
      </c>
      <c r="G312" s="2162" t="inlineStr">
        <is>
          <t>Impremeabilização</t>
        </is>
      </c>
      <c r="H312" s="2162" t="n"/>
      <c r="I312" s="4" t="inlineStr">
        <is>
          <t>Impermeabilização</t>
        </is>
      </c>
    </row>
    <row r="313" ht="15.75" customHeight="1">
      <c r="A313" s="10">
        <f>COUNTIFS($B$2:$B$996,B313)</f>
        <v/>
      </c>
      <c r="B313" s="10" t="inlineStr">
        <is>
          <t>PRIMER PARA MANTA ASFALTICA A BASE DE ASFALTO MODIFICADO DILUIDO EM SOLVENTE, APLICACAO A FRIO</t>
        </is>
      </c>
      <c r="C313" s="11" t="inlineStr">
        <is>
          <t>L</t>
        </is>
      </c>
      <c r="D313" s="2162">
        <f>E313*$D$1</f>
        <v/>
      </c>
      <c r="E313" s="2162" t="n">
        <v>23.52</v>
      </c>
      <c r="F313" s="2162" t="inlineStr">
        <is>
          <t>Impremeabilização</t>
        </is>
      </c>
      <c r="G313" s="2162" t="inlineStr">
        <is>
          <t>Impremeabilização</t>
        </is>
      </c>
      <c r="H313" s="2162" t="n"/>
      <c r="I313" s="4" t="inlineStr">
        <is>
          <t>Impermeabilização</t>
        </is>
      </c>
    </row>
    <row r="314" ht="15.75" customHeight="1">
      <c r="A314" s="10">
        <f>COUNTIFS($B$2:$B$996,B314)</f>
        <v/>
      </c>
      <c r="B314" s="10" t="inlineStr">
        <is>
          <t>Veu de poliester para impermeabilizacao</t>
        </is>
      </c>
      <c r="C314" s="11" t="inlineStr">
        <is>
          <t>M2</t>
        </is>
      </c>
      <c r="D314" s="2162">
        <f>E314*$D$1</f>
        <v/>
      </c>
      <c r="E314" s="2162" t="n">
        <v>1.1</v>
      </c>
      <c r="F314" s="2162" t="inlineStr">
        <is>
          <t>Impremeabilização</t>
        </is>
      </c>
      <c r="G314" s="2162" t="inlineStr">
        <is>
          <t>Impremeabilização</t>
        </is>
      </c>
      <c r="H314" s="2162" t="n"/>
      <c r="I314" s="4" t="inlineStr">
        <is>
          <t>Impermeabilização</t>
        </is>
      </c>
    </row>
    <row r="315" ht="15.75" customHeight="1">
      <c r="A315" s="10">
        <f>COUNTIFS($B$2:$B$996,B315)</f>
        <v/>
      </c>
      <c r="B315" s="10" t="inlineStr">
        <is>
          <t>Anel de Borracha p/ Tubo 100 mm</t>
        </is>
      </c>
      <c r="C315" s="11" t="inlineStr">
        <is>
          <t>UN</t>
        </is>
      </c>
      <c r="D315" s="2162">
        <f>E315*$D$1</f>
        <v/>
      </c>
      <c r="E315" s="2162" t="n">
        <v>5</v>
      </c>
      <c r="F315" s="2162" t="inlineStr">
        <is>
          <t xml:space="preserve">Instalações Hidrossanitárias </t>
        </is>
      </c>
      <c r="G315" s="2162" t="inlineStr">
        <is>
          <t xml:space="preserve">Instalações Hidrossanitárias </t>
        </is>
      </c>
      <c r="H315" s="2162" t="n"/>
      <c r="I315" s="4" t="inlineStr">
        <is>
          <t>Tubos e Conexões Hidro-Sanitárias</t>
        </is>
      </c>
    </row>
    <row r="316" ht="15.75" customHeight="1">
      <c r="A316" s="10">
        <f>COUNTIFS($B$2:$B$996,B316)</f>
        <v/>
      </c>
      <c r="B316" s="10" t="inlineStr">
        <is>
          <t>Fita Veda Rosca</t>
        </is>
      </c>
      <c r="C316" s="11" t="inlineStr">
        <is>
          <t>M</t>
        </is>
      </c>
      <c r="D316" s="2162">
        <f>E316*$D$1</f>
        <v/>
      </c>
      <c r="E316" s="2162" t="n">
        <v>0.24</v>
      </c>
      <c r="F316" s="2162" t="inlineStr">
        <is>
          <t xml:space="preserve">Instalações Hidrossanitárias </t>
        </is>
      </c>
      <c r="G316" s="2162" t="inlineStr">
        <is>
          <t xml:space="preserve">Instalações Hidrossanitárias </t>
        </is>
      </c>
      <c r="H316" s="2162" t="n"/>
      <c r="I316" s="4" t="inlineStr">
        <is>
          <t>Tubos e Conexões Hidro-Sanitárias</t>
        </is>
      </c>
    </row>
    <row r="317" ht="15.75" customHeight="1">
      <c r="A317" s="10">
        <f>COUNTIFS($B$2:$B$996,B317)</f>
        <v/>
      </c>
      <c r="B317" s="10" t="inlineStr">
        <is>
          <t>EXTINTOR INCENDIO PO QUIMICO 06KG CLASSE ABC (COMPLETO) NBR 15808</t>
        </is>
      </c>
      <c r="C317" s="11" t="inlineStr">
        <is>
          <t>UN</t>
        </is>
      </c>
      <c r="D317" s="2162">
        <f>E317*$D$1</f>
        <v/>
      </c>
      <c r="E317" s="2162" t="n">
        <v>185.37</v>
      </c>
      <c r="F317" s="2162" t="inlineStr">
        <is>
          <t>Instalações PCI</t>
        </is>
      </c>
      <c r="G317" s="2162" t="inlineStr">
        <is>
          <t>Instalações PCI</t>
        </is>
      </c>
      <c r="H317" s="2162" t="n"/>
      <c r="I317" s="4" t="inlineStr">
        <is>
          <t>Tubos e Conexões Hidro-Sanitárias</t>
        </is>
      </c>
    </row>
    <row r="318" ht="15.75" customHeight="1">
      <c r="A318" s="10">
        <f>COUNTIFS($B$2:$B$996,B318)</f>
        <v/>
      </c>
      <c r="B318" s="10" t="inlineStr">
        <is>
          <t>Chuveiro Teto DocolHeaven Q150 Cromado Docol</t>
        </is>
      </c>
      <c r="C318" s="11" t="inlineStr">
        <is>
          <t>UN</t>
        </is>
      </c>
      <c r="D318" s="2162">
        <f>E318*$D$1</f>
        <v/>
      </c>
      <c r="E318" s="2162" t="n">
        <v>970</v>
      </c>
      <c r="F318" s="2162" t="inlineStr">
        <is>
          <t>Louças e metais</t>
        </is>
      </c>
      <c r="G318" s="2162" t="inlineStr">
        <is>
          <t>Acessórios</t>
        </is>
      </c>
      <c r="H318" s="2162" t="n"/>
      <c r="I318" s="4" t="inlineStr">
        <is>
          <t>Louças e Acessórios</t>
        </is>
      </c>
    </row>
    <row r="319" ht="15.75" customHeight="1">
      <c r="A319" s="10">
        <f>COUNTIFS($B$2:$B$996,B319)</f>
        <v/>
      </c>
      <c r="B319" s="10" t="inlineStr">
        <is>
          <t>Dispenser detergente cromado</t>
        </is>
      </c>
      <c r="C319" s="11" t="inlineStr">
        <is>
          <t>UN</t>
        </is>
      </c>
      <c r="D319" s="2162">
        <f>E319*$D$1</f>
        <v/>
      </c>
      <c r="E319" s="2162" t="n">
        <v>225.38</v>
      </c>
      <c r="F319" s="2162" t="inlineStr">
        <is>
          <t>Louças e metais</t>
        </is>
      </c>
      <c r="G319" s="2162" t="inlineStr">
        <is>
          <t>Acessórios</t>
        </is>
      </c>
      <c r="H319" s="2162" t="n"/>
      <c r="I319" s="4" t="inlineStr">
        <is>
          <t>Louças e Acessórios</t>
        </is>
      </c>
    </row>
    <row r="320" ht="15.75" customHeight="1">
      <c r="A320" s="10">
        <f>COUNTIFS($B$2:$B$996,B320)</f>
        <v/>
      </c>
      <c r="B320" s="10" t="inlineStr">
        <is>
          <t>Ducha / Detalhe: Aqua Ultra - Lorenzetti</t>
        </is>
      </c>
      <c r="C320" s="11" t="inlineStr">
        <is>
          <t>UN</t>
        </is>
      </c>
      <c r="D320" s="2162">
        <f>E320*$D$1</f>
        <v/>
      </c>
      <c r="E320" s="2162" t="n">
        <v>660</v>
      </c>
      <c r="F320" s="2162" t="inlineStr">
        <is>
          <t>Louças e metais</t>
        </is>
      </c>
      <c r="G320" s="2162" t="inlineStr">
        <is>
          <t>Metais</t>
        </is>
      </c>
      <c r="H320" s="2162" t="n"/>
      <c r="I320" s="4" t="inlineStr">
        <is>
          <t>Metais</t>
        </is>
      </c>
    </row>
    <row r="321" ht="15.75" customHeight="1">
      <c r="A321" s="10">
        <f>COUNTIFS($B$2:$B$996,B321)</f>
        <v/>
      </c>
      <c r="B321" s="10" t="inlineStr">
        <is>
          <t>Ducha \ Detalhe: Parede Cromado Vercci</t>
        </is>
      </c>
      <c r="C321" s="11" t="inlineStr">
        <is>
          <t>UN</t>
        </is>
      </c>
      <c r="D321" s="2162">
        <f>E321*$D$1</f>
        <v/>
      </c>
      <c r="E321" s="2162" t="n">
        <v>1196.32</v>
      </c>
      <c r="F321" s="2162" t="inlineStr">
        <is>
          <t>Louças e metais</t>
        </is>
      </c>
      <c r="G321" s="2162" t="inlineStr">
        <is>
          <t>Metais</t>
        </is>
      </c>
      <c r="H321" s="2162" t="n"/>
      <c r="I321" s="4" t="inlineStr">
        <is>
          <t>Metais</t>
        </is>
      </c>
    </row>
    <row r="322" ht="15.75" customHeight="1">
      <c r="A322" s="10">
        <f>COUNTIFS($B$2:$B$996,B322)</f>
        <v/>
      </c>
      <c r="B322" s="10" t="inlineStr">
        <is>
          <t>Monocomando Banheira e Ducha</t>
        </is>
      </c>
      <c r="C322" s="11" t="inlineStr">
        <is>
          <t>UN</t>
        </is>
      </c>
      <c r="D322" s="2162">
        <f>E322*$D$1</f>
        <v/>
      </c>
      <c r="E322" s="2162" t="n">
        <v>1876.89</v>
      </c>
      <c r="F322" s="2162" t="inlineStr">
        <is>
          <t>Louças e metais</t>
        </is>
      </c>
      <c r="G322" s="2162" t="inlineStr">
        <is>
          <t>Metais</t>
        </is>
      </c>
      <c r="H322" s="2162" t="n"/>
      <c r="I322" s="4" t="inlineStr">
        <is>
          <t>Metais</t>
        </is>
      </c>
    </row>
    <row r="323" ht="15.75" customHeight="1">
      <c r="A323" s="10">
        <f>COUNTIFS($B$2:$B$996,B323)</f>
        <v/>
      </c>
      <c r="B323" s="10" t="inlineStr">
        <is>
          <t>Ducha higiênica\ Detalhe: Cromado Vercci</t>
        </is>
      </c>
      <c r="C323" s="11" t="inlineStr">
        <is>
          <t>UN</t>
        </is>
      </c>
      <c r="D323" s="2162">
        <f>E323*$D$1</f>
        <v/>
      </c>
      <c r="E323" s="2162" t="n">
        <v>688.6799999999999</v>
      </c>
      <c r="F323" s="2162" t="inlineStr">
        <is>
          <t>Louças e metais</t>
        </is>
      </c>
      <c r="G323" s="2162" t="inlineStr">
        <is>
          <t>Metais</t>
        </is>
      </c>
      <c r="H323" s="2162" t="n"/>
      <c r="I323" s="4" t="inlineStr">
        <is>
          <t>Metais</t>
        </is>
      </c>
    </row>
    <row r="324" ht="15.75" customHeight="1">
      <c r="A324" s="10">
        <f>COUNTIFS($B$2:$B$996,B324)</f>
        <v/>
      </c>
      <c r="B324" s="10" t="inlineStr">
        <is>
          <t>Engate Flexível Trançado 1/2"</t>
        </is>
      </c>
      <c r="C324" s="11" t="inlineStr">
        <is>
          <t>UN</t>
        </is>
      </c>
      <c r="D324" s="2162">
        <f>E324*$D$1</f>
        <v/>
      </c>
      <c r="E324" s="2162" t="n">
        <v>26.9</v>
      </c>
      <c r="F324" s="2162" t="inlineStr">
        <is>
          <t>Louças e metais</t>
        </is>
      </c>
      <c r="G324" s="2162" t="inlineStr">
        <is>
          <t>Acessórios</t>
        </is>
      </c>
      <c r="H324" s="2162" t="n"/>
      <c r="I324" s="4" t="inlineStr">
        <is>
          <t>Louças e Acessórios</t>
        </is>
      </c>
    </row>
    <row r="325" ht="15.75" customHeight="1">
      <c r="A325" s="10">
        <f>COUNTIFS($B$2:$B$996,B325)</f>
        <v/>
      </c>
      <c r="B325" s="10" t="inlineStr">
        <is>
          <t>Valvula de Escoamento cromada</t>
        </is>
      </c>
      <c r="C325" s="11" t="inlineStr">
        <is>
          <t>UN</t>
        </is>
      </c>
      <c r="D325" s="2162">
        <f>E325*$D$1</f>
        <v/>
      </c>
      <c r="E325" s="2162" t="n">
        <v>196.76</v>
      </c>
      <c r="F325" s="2162" t="inlineStr">
        <is>
          <t>Louças e metais</t>
        </is>
      </c>
      <c r="G325" s="2162" t="inlineStr">
        <is>
          <t>Acessórios</t>
        </is>
      </c>
      <c r="H325" s="2162" t="n"/>
      <c r="I325" s="4" t="inlineStr">
        <is>
          <t>Louças e Acessórios</t>
        </is>
      </c>
    </row>
    <row r="326" ht="15.75" customHeight="1">
      <c r="A326" s="10">
        <f>COUNTIFS($B$2:$B$996,B326)</f>
        <v/>
      </c>
      <c r="B326" s="10" t="inlineStr">
        <is>
          <t>Valvula Metálica 1"</t>
        </is>
      </c>
      <c r="C326" s="11" t="inlineStr">
        <is>
          <t>UN</t>
        </is>
      </c>
      <c r="D326" s="2162">
        <f>E326*$D$1</f>
        <v/>
      </c>
      <c r="E326" s="2162" t="n">
        <v>65</v>
      </c>
      <c r="F326" s="2162" t="inlineStr">
        <is>
          <t>Louças e metais</t>
        </is>
      </c>
      <c r="G326" s="2162" t="inlineStr">
        <is>
          <t>Acessórios</t>
        </is>
      </c>
      <c r="H326" s="2162" t="n"/>
      <c r="I326" s="4" t="inlineStr">
        <is>
          <t>Louças e Acessórios</t>
        </is>
      </c>
    </row>
    <row r="327" ht="15.75" customHeight="1">
      <c r="A327" s="10">
        <f>COUNTIFS($B$2:$B$996,B327)</f>
        <v/>
      </c>
      <c r="B327" s="10" t="inlineStr">
        <is>
          <t>Válvula Pia Tanque Lavanderia Escoamento 1.1/4'' Metal Cromado</t>
        </is>
      </c>
      <c r="C327" s="11" t="inlineStr">
        <is>
          <t>UN</t>
        </is>
      </c>
      <c r="D327" s="2162">
        <f>E327*$D$1</f>
        <v/>
      </c>
      <c r="E327" s="2162" t="n">
        <v>35.9</v>
      </c>
      <c r="F327" s="2162" t="inlineStr">
        <is>
          <t>Louças e metais</t>
        </is>
      </c>
      <c r="G327" s="2162" t="inlineStr">
        <is>
          <t>Acessórios</t>
        </is>
      </c>
      <c r="H327" s="2162" t="n"/>
      <c r="I327" s="4" t="inlineStr">
        <is>
          <t>Louças e Acessórios</t>
        </is>
      </c>
    </row>
    <row r="328" ht="15.75" customHeight="1">
      <c r="A328" s="10">
        <f>COUNTIFS($B$2:$B$996,B328)</f>
        <v/>
      </c>
      <c r="B328" s="10" t="inlineStr">
        <is>
          <t>Exaustor Td Silent 350 Ultra Silencioso</t>
        </is>
      </c>
      <c r="C328" s="11" t="inlineStr">
        <is>
          <t>UN</t>
        </is>
      </c>
      <c r="D328" s="2162">
        <f>E328*$D$1</f>
        <v/>
      </c>
      <c r="E328" s="2162" t="n">
        <v>900</v>
      </c>
      <c r="F328" s="2162" t="inlineStr">
        <is>
          <t>Louças e metais</t>
        </is>
      </c>
      <c r="G328" s="2162" t="inlineStr">
        <is>
          <t>Equipamento</t>
        </is>
      </c>
      <c r="H328" s="2162" t="n"/>
      <c r="I328" s="4" t="inlineStr">
        <is>
          <t>Louças e Acessórios</t>
        </is>
      </c>
    </row>
    <row r="329" ht="15.75" customHeight="1">
      <c r="A329" s="10">
        <f>COUNTIFS($B$2:$B$996,B329)</f>
        <v/>
      </c>
      <c r="B329" s="10" t="inlineStr">
        <is>
          <t xml:space="preserve">Bacia com caixa acoplada </t>
        </is>
      </c>
      <c r="C329" s="11" t="inlineStr">
        <is>
          <t>UN</t>
        </is>
      </c>
      <c r="D329" s="2162">
        <f>E329*$D$1</f>
        <v/>
      </c>
      <c r="E329" s="2162" t="n">
        <v>736.5012</v>
      </c>
      <c r="F329" s="2162" t="inlineStr">
        <is>
          <t>Louças e metais</t>
        </is>
      </c>
      <c r="G329" s="2162" t="inlineStr">
        <is>
          <t>Louças</t>
        </is>
      </c>
      <c r="H329" s="2162" t="n"/>
      <c r="I329" s="4" t="inlineStr">
        <is>
          <t>Louças e Acessórios</t>
        </is>
      </c>
    </row>
    <row r="330" ht="15.75" customHeight="1">
      <c r="A330" s="10">
        <f>COUNTIFS($B$2:$B$996,B330)</f>
        <v/>
      </c>
      <c r="B330" s="10" t="inlineStr">
        <is>
          <t>Bacia com caixa acoplada PNE</t>
        </is>
      </c>
      <c r="C330" s="11" t="inlineStr">
        <is>
          <t>UN</t>
        </is>
      </c>
      <c r="D330" s="2162">
        <f>E330*$D$1</f>
        <v/>
      </c>
      <c r="E330" s="2162">
        <f>298.72+1295.7+962.2</f>
        <v/>
      </c>
      <c r="F330" s="2162" t="inlineStr">
        <is>
          <t>Louças e metais</t>
        </is>
      </c>
      <c r="G330" s="2162" t="inlineStr">
        <is>
          <t>Louças</t>
        </is>
      </c>
      <c r="H330" s="2162" t="n"/>
      <c r="I330" s="4" t="inlineStr">
        <is>
          <t>Louças e Acessórios</t>
        </is>
      </c>
    </row>
    <row r="331" ht="15.75" customHeight="1">
      <c r="A331" s="10">
        <f>COUNTIFS($B$2:$B$996,B331)</f>
        <v/>
      </c>
      <c r="B331" s="10" t="inlineStr">
        <is>
          <t>Bacia com caixa acoplada / Detalhe: Linha Living, branco, saída lado direito, Deca</t>
        </is>
      </c>
      <c r="C331" s="11" t="inlineStr">
        <is>
          <t>UN</t>
        </is>
      </c>
      <c r="D331" s="2162">
        <f>E331*$D$1</f>
        <v/>
      </c>
      <c r="E331" s="2162" t="n">
        <v>523.17</v>
      </c>
      <c r="F331" s="2162" t="inlineStr">
        <is>
          <t>Louças e metais</t>
        </is>
      </c>
      <c r="G331" s="2162" t="inlineStr">
        <is>
          <t>Louças</t>
        </is>
      </c>
      <c r="H331" s="2162" t="n"/>
      <c r="I331" s="4" t="inlineStr">
        <is>
          <t>Louças e Acessórios</t>
        </is>
      </c>
    </row>
    <row r="332" ht="15.75" customHeight="1">
      <c r="A332" s="10">
        <f>COUNTIFS($B$2:$B$996,B332)</f>
        <v/>
      </c>
      <c r="B332" s="10" t="inlineStr">
        <is>
          <t>Bacia Com Caixa Acoplada Lift Branco - Docol</t>
        </is>
      </c>
      <c r="C332" s="11" t="inlineStr">
        <is>
          <t>UN</t>
        </is>
      </c>
      <c r="D332" s="2162">
        <f>E332*$D$1</f>
        <v/>
      </c>
      <c r="E332" s="2162" t="n">
        <v>1999</v>
      </c>
      <c r="F332" s="2162" t="inlineStr">
        <is>
          <t>Louças e metais</t>
        </is>
      </c>
      <c r="G332" s="2162" t="inlineStr">
        <is>
          <t>Louças</t>
        </is>
      </c>
      <c r="H332" s="2162" t="n"/>
      <c r="I332" s="4" t="inlineStr">
        <is>
          <t>Louças e Acessórios</t>
        </is>
      </c>
    </row>
    <row r="333" ht="15.75" customHeight="1">
      <c r="A333" s="10">
        <f>COUNTIFS($B$2:$B$996,B333)</f>
        <v/>
      </c>
      <c r="B333" s="10" t="inlineStr">
        <is>
          <t>Cuba / Detalhe: Cuba retangular aço escovado</t>
        </is>
      </c>
      <c r="C333" s="11" t="inlineStr">
        <is>
          <t>UN</t>
        </is>
      </c>
      <c r="D333" s="2162">
        <f>E333*$D$1</f>
        <v/>
      </c>
      <c r="E333" s="2162" t="n">
        <v>2750.38</v>
      </c>
      <c r="F333" s="2162" t="inlineStr">
        <is>
          <t>Louças e metais</t>
        </is>
      </c>
      <c r="G333" s="2162" t="inlineStr">
        <is>
          <t>Louças</t>
        </is>
      </c>
      <c r="H333" s="2162" t="n"/>
      <c r="I333" s="4" t="inlineStr">
        <is>
          <t>Louças e Acessórios</t>
        </is>
      </c>
    </row>
    <row r="334" ht="15.75" customHeight="1">
      <c r="A334" s="10">
        <f>COUNTIFS($B$2:$B$996,B334)</f>
        <v/>
      </c>
      <c r="B334" s="10" t="inlineStr">
        <is>
          <t>Cuba de Apoio Redonda 32cmx13cm Luxo Docol Branco</t>
        </is>
      </c>
      <c r="C334" s="11" t="inlineStr">
        <is>
          <t>UN</t>
        </is>
      </c>
      <c r="D334" s="2162">
        <f>E334*$D$1</f>
        <v/>
      </c>
      <c r="E334" s="2162" t="n">
        <v>272.9</v>
      </c>
      <c r="F334" s="2162" t="inlineStr">
        <is>
          <t>Louças e metais</t>
        </is>
      </c>
      <c r="G334" s="2162" t="inlineStr">
        <is>
          <t>Louças</t>
        </is>
      </c>
      <c r="H334" s="2162" t="n"/>
      <c r="I334" s="4" t="inlineStr">
        <is>
          <t>Louças e Acessórios</t>
        </is>
      </c>
    </row>
    <row r="335" ht="15.75" customHeight="1">
      <c r="A335" s="10">
        <f>COUNTIFS($B$2:$B$996,B335)</f>
        <v/>
      </c>
      <c r="B335" s="10" t="inlineStr">
        <is>
          <t>Cuba Docol Invicta 46x42 01696504 Inox Polido</t>
        </is>
      </c>
      <c r="C335" s="11" t="inlineStr">
        <is>
          <t>UN</t>
        </is>
      </c>
      <c r="D335" s="2162">
        <f>E335*$D$1</f>
        <v/>
      </c>
      <c r="E335" s="2162" t="n">
        <v>460</v>
      </c>
      <c r="F335" s="2162" t="inlineStr">
        <is>
          <t>Louças e metais</t>
        </is>
      </c>
      <c r="G335" s="2162" t="inlineStr">
        <is>
          <t>Louças</t>
        </is>
      </c>
      <c r="H335" s="2162" t="n"/>
      <c r="I335" s="4" t="inlineStr">
        <is>
          <t>Louças e Acessórios</t>
        </is>
      </c>
    </row>
    <row r="336" ht="15.75" customHeight="1">
      <c r="A336" s="10">
        <f>COUNTIFS($B$2:$B$996,B336)</f>
        <v/>
      </c>
      <c r="B336" s="10" t="inlineStr">
        <is>
          <t>Lavatório suspenso \ Detalhe: Cuba viggo 54cm branca</t>
        </is>
      </c>
      <c r="C336" s="11" t="inlineStr">
        <is>
          <t>UN</t>
        </is>
      </c>
      <c r="D336" s="2162">
        <f>E336*$D$1</f>
        <v/>
      </c>
      <c r="E336" s="2162" t="n">
        <v>1574.1</v>
      </c>
      <c r="F336" s="2162" t="inlineStr">
        <is>
          <t>Louças e metais</t>
        </is>
      </c>
      <c r="G336" s="2162" t="inlineStr">
        <is>
          <t>Louças</t>
        </is>
      </c>
      <c r="H336" s="2162" t="n"/>
      <c r="I336" s="4" t="inlineStr">
        <is>
          <t>Louças e Acessórios</t>
        </is>
      </c>
    </row>
    <row r="337" ht="15.75" customHeight="1">
      <c r="A337" s="10">
        <f>COUNTIFS($B$2:$B$996,B337)</f>
        <v/>
      </c>
      <c r="B337" s="10" t="inlineStr">
        <is>
          <t>Lavatório Suspenso Eco 40x30cm Branco Celite</t>
        </is>
      </c>
      <c r="C337" s="11" t="inlineStr">
        <is>
          <t>UN</t>
        </is>
      </c>
      <c r="D337" s="2162">
        <f>E337*$D$1</f>
        <v/>
      </c>
      <c r="E337" s="2162" t="n">
        <v>203.9</v>
      </c>
      <c r="F337" s="2162" t="inlineStr">
        <is>
          <t>Louças e metais</t>
        </is>
      </c>
      <c r="G337" s="2162" t="inlineStr">
        <is>
          <t>Louças</t>
        </is>
      </c>
      <c r="H337" s="2162" t="n"/>
      <c r="I337" s="4" t="inlineStr">
        <is>
          <t>Louças e Acessórios</t>
        </is>
      </c>
    </row>
    <row r="338" ht="15.75" customHeight="1">
      <c r="A338" s="10">
        <f>COUNTIFS($B$2:$B$996,B338)</f>
        <v/>
      </c>
      <c r="B338" s="10" t="inlineStr">
        <is>
          <t>Mictório com Válvula de Acionamento</t>
        </is>
      </c>
      <c r="C338" s="11" t="inlineStr">
        <is>
          <t>UN</t>
        </is>
      </c>
      <c r="D338" s="2162">
        <f>E338*$D$1</f>
        <v/>
      </c>
      <c r="E338" s="2162" t="n">
        <v>1010.4012</v>
      </c>
      <c r="F338" s="2162" t="inlineStr">
        <is>
          <t>Louças e metais</t>
        </is>
      </c>
      <c r="G338" s="2162" t="inlineStr">
        <is>
          <t>Louças</t>
        </is>
      </c>
      <c r="H338" s="2162" t="n"/>
      <c r="I338" s="4" t="inlineStr">
        <is>
          <t>Louças e Acessórios</t>
        </is>
      </c>
    </row>
    <row r="339" ht="15.75" customHeight="1">
      <c r="A339" s="10">
        <f>COUNTIFS($B$2:$B$996,B339)</f>
        <v/>
      </c>
      <c r="B339" s="10" t="inlineStr">
        <is>
          <t>Tanque De Louça Hervy Com 18 Litros Branco</t>
        </is>
      </c>
      <c r="C339" s="11" t="inlineStr">
        <is>
          <t>UN</t>
        </is>
      </c>
      <c r="D339" s="2162">
        <f>E339*$D$1</f>
        <v/>
      </c>
      <c r="E339" s="2162" t="n">
        <v>396.87</v>
      </c>
      <c r="F339" s="2162" t="inlineStr">
        <is>
          <t>Louças e metais</t>
        </is>
      </c>
      <c r="G339" s="2162" t="inlineStr">
        <is>
          <t>Louças</t>
        </is>
      </c>
      <c r="H339" s="2162" t="n"/>
      <c r="I339" s="4" t="inlineStr">
        <is>
          <t>Louças e Acessórios</t>
        </is>
      </c>
    </row>
    <row r="340" ht="14.25" customHeight="1">
      <c r="A340" s="10">
        <f>COUNTIFS($B$2:$B$996,B340)</f>
        <v/>
      </c>
      <c r="B340" s="82" t="inlineStr">
        <is>
          <t>Logasa Lavatório Suspenso de Canto</t>
        </is>
      </c>
      <c r="C340" s="83" t="inlineStr">
        <is>
          <t>UN</t>
        </is>
      </c>
      <c r="D340" s="2165">
        <f>E340*$D$1</f>
        <v/>
      </c>
      <c r="E340" s="2165" t="n">
        <v>215</v>
      </c>
      <c r="F340" s="2165" t="inlineStr">
        <is>
          <t>Louças e metais</t>
        </is>
      </c>
      <c r="G340" s="2165" t="inlineStr">
        <is>
          <t>Louças</t>
        </is>
      </c>
      <c r="H340" s="2165" t="n"/>
      <c r="I340" s="85" t="inlineStr">
        <is>
          <t>Louças e Acessórios</t>
        </is>
      </c>
    </row>
    <row r="341" ht="15.75" customHeight="1">
      <c r="A341" s="10">
        <f>COUNTIFS($B$2:$B$996,B341)</f>
        <v/>
      </c>
      <c r="B341" s="10" t="inlineStr">
        <is>
          <t>Tanque Monobloco Polido Docol 32L 55x45x23 cm</t>
        </is>
      </c>
      <c r="C341" s="11" t="inlineStr">
        <is>
          <t>UN</t>
        </is>
      </c>
      <c r="D341" s="2162">
        <f>E341*$D$1</f>
        <v/>
      </c>
      <c r="E341" s="2162" t="n">
        <v>760</v>
      </c>
      <c r="F341" s="2162" t="inlineStr">
        <is>
          <t>Louças e metais</t>
        </is>
      </c>
      <c r="G341" s="2162" t="inlineStr">
        <is>
          <t>Louças</t>
        </is>
      </c>
      <c r="H341" s="2162" t="n"/>
      <c r="I341" s="4" t="inlineStr">
        <is>
          <t>Louças e Acessórios</t>
        </is>
      </c>
    </row>
    <row r="342" ht="15.75" customHeight="1">
      <c r="A342" s="10">
        <f>COUNTIFS($B$2:$B$996,B342)</f>
        <v/>
      </c>
      <c r="B342" s="10" t="inlineStr">
        <is>
          <t>Acabamento de Registro pressão \ Detalhe: Cromado Vercci</t>
        </is>
      </c>
      <c r="C342" s="11" t="inlineStr">
        <is>
          <t>UN</t>
        </is>
      </c>
      <c r="D342" s="2162">
        <f>E342*$D$1</f>
        <v/>
      </c>
      <c r="E342" s="2162" t="n">
        <v>493.7</v>
      </c>
      <c r="F342" s="2162" t="inlineStr">
        <is>
          <t>Louças e metais</t>
        </is>
      </c>
      <c r="G342" s="2162" t="inlineStr">
        <is>
          <t>Metais</t>
        </is>
      </c>
      <c r="H342" s="2162" t="n"/>
      <c r="I342" s="4" t="inlineStr">
        <is>
          <t>Metais</t>
        </is>
      </c>
    </row>
    <row r="343" ht="15.75" customHeight="1">
      <c r="A343" s="10">
        <f>COUNTIFS($B$2:$B$996,B343)</f>
        <v/>
      </c>
      <c r="B343" s="10" t="inlineStr">
        <is>
          <t>Acabamento de Registro\ Detalhe: Cromado Vercci</t>
        </is>
      </c>
      <c r="C343" s="11" t="inlineStr">
        <is>
          <t>UN</t>
        </is>
      </c>
      <c r="D343" s="2162">
        <f>E343*$D$1</f>
        <v/>
      </c>
      <c r="E343" s="2162" t="n">
        <v>240.41</v>
      </c>
      <c r="F343" s="2162" t="inlineStr">
        <is>
          <t>Louças e metais</t>
        </is>
      </c>
      <c r="G343" s="2162" t="inlineStr">
        <is>
          <t>Metais</t>
        </is>
      </c>
      <c r="H343" s="2162" t="n"/>
      <c r="I343" s="4" t="inlineStr">
        <is>
          <t>Metais</t>
        </is>
      </c>
    </row>
    <row r="344" ht="15.75" customHeight="1">
      <c r="A344" s="10">
        <f>COUNTIFS($B$2:$B$996,B344)</f>
        <v/>
      </c>
      <c r="B344" s="10" t="inlineStr">
        <is>
          <t>Barra de Apoio - Deficiente</t>
        </is>
      </c>
      <c r="C344" s="11" t="inlineStr">
        <is>
          <t>UN</t>
        </is>
      </c>
      <c r="D344" s="2162">
        <f>E344*$D$1</f>
        <v/>
      </c>
      <c r="E344" s="2162" t="n">
        <v>84.8</v>
      </c>
      <c r="F344" s="2162" t="inlineStr">
        <is>
          <t>Louças e metais</t>
        </is>
      </c>
      <c r="G344" s="2162" t="inlineStr">
        <is>
          <t>Metais</t>
        </is>
      </c>
      <c r="H344" s="2162" t="n"/>
      <c r="I344" s="4" t="inlineStr">
        <is>
          <t>Metais</t>
        </is>
      </c>
    </row>
    <row r="345" ht="15.75" customHeight="1">
      <c r="A345" s="10">
        <f>COUNTIFS($B$2:$B$996,B345)</f>
        <v/>
      </c>
      <c r="B345" s="10" t="inlineStr">
        <is>
          <t>Estabilizador p/ Lavatórios</t>
        </is>
      </c>
      <c r="C345" s="11" t="inlineStr">
        <is>
          <t>UN</t>
        </is>
      </c>
      <c r="D345" s="2162">
        <f>E345*$D$1</f>
        <v/>
      </c>
      <c r="E345" s="2162" t="n">
        <v>32</v>
      </c>
      <c r="F345" s="2162" t="inlineStr">
        <is>
          <t>Louças e metais</t>
        </is>
      </c>
      <c r="G345" s="2162" t="inlineStr">
        <is>
          <t>Metais</t>
        </is>
      </c>
      <c r="H345" s="2162" t="n"/>
      <c r="I345" s="4" t="inlineStr">
        <is>
          <t>Metais</t>
        </is>
      </c>
    </row>
    <row r="346" ht="15.75" customHeight="1">
      <c r="A346" s="10">
        <f>COUNTIFS($B$2:$B$996,B346)</f>
        <v/>
      </c>
      <c r="B346" s="10" t="inlineStr">
        <is>
          <t>Gancho\ Detalhe: Cromado Vercci</t>
        </is>
      </c>
      <c r="C346" s="11" t="inlineStr">
        <is>
          <t>UN</t>
        </is>
      </c>
      <c r="D346" s="2162">
        <f>E346*$D$1</f>
        <v/>
      </c>
      <c r="E346" s="2162" t="n">
        <v>293</v>
      </c>
      <c r="F346" s="2162" t="inlineStr">
        <is>
          <t>Louças e metais</t>
        </is>
      </c>
      <c r="G346" s="2162" t="inlineStr">
        <is>
          <t>Metais</t>
        </is>
      </c>
      <c r="H346" s="2162" t="n"/>
      <c r="I346" s="4" t="inlineStr">
        <is>
          <t>Metais</t>
        </is>
      </c>
    </row>
    <row r="347" ht="15.75" customHeight="1">
      <c r="A347" s="10">
        <f>COUNTIFS($B$2:$B$996,B347)</f>
        <v/>
      </c>
      <c r="B347" s="10" t="inlineStr">
        <is>
          <t>Grade aramada para cuba</t>
        </is>
      </c>
      <c r="C347" s="11" t="inlineStr">
        <is>
          <t>UN</t>
        </is>
      </c>
      <c r="D347" s="2162">
        <f>E347*$D$1</f>
        <v/>
      </c>
      <c r="E347" s="2162" t="n">
        <v>71.55</v>
      </c>
      <c r="F347" s="2162" t="inlineStr">
        <is>
          <t>Louças e metais</t>
        </is>
      </c>
      <c r="G347" s="2162" t="inlineStr">
        <is>
          <t>Metais</t>
        </is>
      </c>
      <c r="H347" s="2162" t="n"/>
      <c r="I347" s="4" t="inlineStr">
        <is>
          <t>Metais</t>
        </is>
      </c>
    </row>
    <row r="348" ht="15.75" customHeight="1">
      <c r="A348" s="10">
        <f>COUNTIFS($B$2:$B$996,B348)</f>
        <v/>
      </c>
      <c r="B348" s="10" t="inlineStr">
        <is>
          <t>Misturador monocomando \ Detalhe: aço escovado</t>
        </is>
      </c>
      <c r="C348" s="11" t="inlineStr">
        <is>
          <t>UN</t>
        </is>
      </c>
      <c r="D348" s="2162">
        <f>E348*$D$1</f>
        <v/>
      </c>
      <c r="E348" s="2162" t="n">
        <v>2117.89</v>
      </c>
      <c r="F348" s="2162" t="inlineStr">
        <is>
          <t>Louças e metais</t>
        </is>
      </c>
      <c r="G348" s="2162" t="inlineStr">
        <is>
          <t>metais</t>
        </is>
      </c>
      <c r="H348" s="2162" t="n"/>
      <c r="I348" s="4" t="inlineStr">
        <is>
          <t>Metais</t>
        </is>
      </c>
    </row>
    <row r="349" ht="15.75" customHeight="1">
      <c r="A349" s="10">
        <f>COUNTIFS($B$2:$B$996,B349)</f>
        <v/>
      </c>
      <c r="B349" s="10" t="inlineStr">
        <is>
          <t>Porta papel higienico \ Detalhe: Cromado Vercci</t>
        </is>
      </c>
      <c r="C349" s="11" t="inlineStr">
        <is>
          <t>UN</t>
        </is>
      </c>
      <c r="D349" s="2162">
        <f>E349*$D$1</f>
        <v/>
      </c>
      <c r="E349" s="2162" t="n">
        <v>396.67</v>
      </c>
      <c r="F349" s="2162" t="inlineStr">
        <is>
          <t>Louças e metais</t>
        </is>
      </c>
      <c r="G349" s="2162" t="inlineStr">
        <is>
          <t>metais</t>
        </is>
      </c>
      <c r="H349" s="2162" t="n"/>
      <c r="I349" s="4" t="inlineStr">
        <is>
          <t>Metais</t>
        </is>
      </c>
    </row>
    <row r="350" ht="15.75" customHeight="1">
      <c r="A350" s="10">
        <f>COUNTIFS($B$2:$B$996,B350)</f>
        <v/>
      </c>
      <c r="B350" s="10" t="inlineStr">
        <is>
          <t>Sifão Cromado</t>
        </is>
      </c>
      <c r="C350" s="11" t="inlineStr">
        <is>
          <t>UN</t>
        </is>
      </c>
      <c r="D350" s="2162">
        <f>E350*$D$1</f>
        <v/>
      </c>
      <c r="E350" s="2162" t="n">
        <v>256.9</v>
      </c>
      <c r="F350" s="2162" t="inlineStr">
        <is>
          <t>Louças e metais</t>
        </is>
      </c>
      <c r="G350" s="2162" t="inlineStr">
        <is>
          <t>metais</t>
        </is>
      </c>
      <c r="H350" s="2162" t="n"/>
      <c r="I350" s="4" t="inlineStr">
        <is>
          <t>Metais</t>
        </is>
      </c>
    </row>
    <row r="351" ht="15.75" customHeight="1">
      <c r="A351" s="10">
        <f>COUNTIFS($B$2:$B$996,B351)</f>
        <v/>
      </c>
      <c r="B351" s="10" t="inlineStr">
        <is>
          <t>Sifão flexível com copo para Lavatório</t>
        </is>
      </c>
      <c r="C351" s="11" t="inlineStr">
        <is>
          <t>UN</t>
        </is>
      </c>
      <c r="D351" s="2162">
        <f>E351*$D$1</f>
        <v/>
      </c>
      <c r="E351" s="2162" t="n">
        <v>8.9</v>
      </c>
      <c r="F351" s="2162" t="inlineStr">
        <is>
          <t>Louças e metais</t>
        </is>
      </c>
      <c r="G351" s="2162" t="inlineStr">
        <is>
          <t>metais</t>
        </is>
      </c>
      <c r="H351" s="2162" t="n"/>
      <c r="I351" s="4" t="inlineStr">
        <is>
          <t>Metais</t>
        </is>
      </c>
    </row>
    <row r="352" ht="15.75" customHeight="1">
      <c r="A352" s="10">
        <f>COUNTIFS($B$2:$B$996,B352)</f>
        <v/>
      </c>
      <c r="B352" s="10" t="inlineStr">
        <is>
          <t>Sifão Universal Flexível Multiuso</t>
        </is>
      </c>
      <c r="C352" s="11" t="inlineStr">
        <is>
          <t>UN</t>
        </is>
      </c>
      <c r="D352" s="2162">
        <f>E352*$D$1</f>
        <v/>
      </c>
      <c r="E352" s="2162" t="n">
        <v>35</v>
      </c>
      <c r="F352" s="2162" t="inlineStr">
        <is>
          <t>Louças e metais</t>
        </is>
      </c>
      <c r="G352" s="2162" t="inlineStr">
        <is>
          <t>metais</t>
        </is>
      </c>
      <c r="H352" s="2162" t="n"/>
      <c r="I352" s="4" t="inlineStr">
        <is>
          <t>Metais</t>
        </is>
      </c>
    </row>
    <row r="353" ht="15.75" customHeight="1">
      <c r="A353" s="10">
        <f>COUNTIFS($B$2:$B$996,B353)</f>
        <v/>
      </c>
      <c r="B353" s="10" t="inlineStr">
        <is>
          <t>Toalheiro rosto \ Detalhe: Cromado Vercci</t>
        </is>
      </c>
      <c r="C353" s="11" t="inlineStr">
        <is>
          <t>UN</t>
        </is>
      </c>
      <c r="D353" s="2162">
        <f>E353*$D$1</f>
        <v/>
      </c>
      <c r="E353" s="2162" t="n">
        <v>493.84</v>
      </c>
      <c r="F353" s="2162" t="inlineStr">
        <is>
          <t>Louças e metais</t>
        </is>
      </c>
      <c r="G353" s="2162" t="inlineStr">
        <is>
          <t>metais</t>
        </is>
      </c>
      <c r="H353" s="2162" t="n"/>
      <c r="I353" s="4" t="inlineStr">
        <is>
          <t>Metais</t>
        </is>
      </c>
    </row>
    <row r="354" ht="15.75" customHeight="1">
      <c r="A354" s="10">
        <f>COUNTIFS($B$2:$B$996,B354)</f>
        <v/>
      </c>
      <c r="B354" s="10" t="inlineStr">
        <is>
          <t>Torneira de bancada para tanque \ Detalhe: mesa inox</t>
        </is>
      </c>
      <c r="C354" s="11" t="inlineStr">
        <is>
          <t>UN</t>
        </is>
      </c>
      <c r="D354" s="2162">
        <f>E354*$D$1</f>
        <v/>
      </c>
      <c r="E354" s="2162" t="n">
        <v>1054.93</v>
      </c>
      <c r="F354" s="2162" t="inlineStr">
        <is>
          <t>Louças e metais</t>
        </is>
      </c>
      <c r="G354" s="2162" t="inlineStr">
        <is>
          <t>metais</t>
        </is>
      </c>
      <c r="H354" s="2162" t="n"/>
      <c r="I354" s="4" t="inlineStr">
        <is>
          <t>Metais</t>
        </is>
      </c>
    </row>
    <row r="355" ht="15.75" customHeight="1">
      <c r="A355" s="10">
        <f>COUNTIFS($B$2:$B$996,B355)</f>
        <v/>
      </c>
      <c r="B355" s="10" t="inlineStr">
        <is>
          <t>Torneira de jardim inox</t>
        </is>
      </c>
      <c r="C355" s="11" t="inlineStr">
        <is>
          <t>UN</t>
        </is>
      </c>
      <c r="D355" s="2162">
        <f>E355*$D$1</f>
        <v/>
      </c>
      <c r="E355" s="2162" t="n">
        <v>1054.93</v>
      </c>
      <c r="F355" s="2162" t="inlineStr">
        <is>
          <t>Louças e metais</t>
        </is>
      </c>
      <c r="G355" s="2162" t="inlineStr">
        <is>
          <t>metais</t>
        </is>
      </c>
      <c r="H355" s="2162" t="n"/>
      <c r="I355" s="4" t="inlineStr">
        <is>
          <t>Metais</t>
        </is>
      </c>
    </row>
    <row r="356" ht="15.75" customHeight="1">
      <c r="A356" s="10">
        <f>COUNTIFS($B$2:$B$996,B356)</f>
        <v/>
      </c>
      <c r="B356" s="10" t="inlineStr">
        <is>
          <t>Torneira para Lavatório\ Detalhe: Cromado Vercci</t>
        </is>
      </c>
      <c r="C356" s="11" t="inlineStr">
        <is>
          <t>UN</t>
        </is>
      </c>
      <c r="D356" s="2162">
        <f>E356*$D$1</f>
        <v/>
      </c>
      <c r="E356" s="2162" t="n">
        <v>1054.93</v>
      </c>
      <c r="F356" s="2162" t="inlineStr">
        <is>
          <t>Louças e metais</t>
        </is>
      </c>
      <c r="G356" s="2162" t="inlineStr">
        <is>
          <t>metais</t>
        </is>
      </c>
      <c r="H356" s="2162" t="n"/>
      <c r="I356" s="4" t="inlineStr">
        <is>
          <t>Metais</t>
        </is>
      </c>
    </row>
    <row r="357" ht="15.75" customHeight="1">
      <c r="A357" s="10">
        <f>COUNTIFS($B$2:$B$996,B357)</f>
        <v/>
      </c>
      <c r="B357" s="10" t="inlineStr">
        <is>
          <t>Torneira para pia inox</t>
        </is>
      </c>
      <c r="C357" s="11" t="inlineStr">
        <is>
          <t>UN</t>
        </is>
      </c>
      <c r="D357" s="2162">
        <f>E357*$D$1</f>
        <v/>
      </c>
      <c r="E357" s="2162" t="n">
        <v>1054.93</v>
      </c>
      <c r="F357" s="2162" t="inlineStr">
        <is>
          <t>Louças e metais</t>
        </is>
      </c>
      <c r="G357" s="2162" t="inlineStr">
        <is>
          <t>metais</t>
        </is>
      </c>
      <c r="H357" s="2162" t="n"/>
      <c r="I357" s="4" t="inlineStr">
        <is>
          <t>Metais</t>
        </is>
      </c>
    </row>
    <row r="358" ht="15.75" customHeight="1">
      <c r="A358" s="10">
        <f>COUNTIFS($B$2:$B$996,B358)</f>
        <v/>
      </c>
      <c r="B358" s="10" t="inlineStr">
        <is>
          <t>Churrasqueiras kit Gourmet Médio Inox 304</t>
        </is>
      </c>
      <c r="C358" s="11" t="inlineStr">
        <is>
          <t>UN</t>
        </is>
      </c>
      <c r="D358" s="2162">
        <f>E358*$D$1</f>
        <v/>
      </c>
      <c r="E358" s="2162" t="n">
        <v>6200</v>
      </c>
      <c r="F358" s="2162" t="inlineStr">
        <is>
          <t>Louças e metais</t>
        </is>
      </c>
      <c r="G358" s="2162" t="inlineStr">
        <is>
          <t>metais</t>
        </is>
      </c>
      <c r="H358" s="2162" t="n"/>
      <c r="I358" s="4" t="inlineStr">
        <is>
          <t>Metais</t>
        </is>
      </c>
    </row>
    <row r="359" ht="14.25" customHeight="1">
      <c r="A359" s="10">
        <f>COUNTIFS($B$2:$B$996,B359)</f>
        <v/>
      </c>
      <c r="B359" s="82" t="inlineStr">
        <is>
          <t>Forro Knauf Cleaneo A1 (gesso acústico perfurado)</t>
        </is>
      </c>
      <c r="C359" s="83" t="inlineStr">
        <is>
          <t>M2</t>
        </is>
      </c>
      <c r="D359" s="2165">
        <f>E359*$D$1</f>
        <v/>
      </c>
      <c r="E359" s="2165">
        <f>85+95</f>
        <v/>
      </c>
      <c r="F359" s="2165" t="inlineStr">
        <is>
          <t>Serviço Terceiros</t>
        </is>
      </c>
      <c r="G359" s="2165" t="inlineStr">
        <is>
          <t>Serviço Terceiros</t>
        </is>
      </c>
      <c r="H359" s="2165" t="n"/>
      <c r="I359" s="85" t="inlineStr">
        <is>
          <t>Mão de obra de Terceiros</t>
        </is>
      </c>
    </row>
    <row r="360" ht="15.75" customHeight="1">
      <c r="A360" s="10">
        <f>COUNTIFS($B$2:$B$996,B360)</f>
        <v/>
      </c>
      <c r="B360" s="10" t="inlineStr">
        <is>
          <t>Churrasqueiras Pré-Moldadas</t>
        </is>
      </c>
      <c r="C360" s="11" t="inlineStr">
        <is>
          <t>UN</t>
        </is>
      </c>
      <c r="D360" s="2162">
        <f>E360*$D$1</f>
        <v/>
      </c>
      <c r="E360" s="2162" t="n">
        <v>1400</v>
      </c>
      <c r="F360" s="2162" t="inlineStr">
        <is>
          <t>Louças e metais</t>
        </is>
      </c>
      <c r="G360" s="2162" t="inlineStr">
        <is>
          <t>metais</t>
        </is>
      </c>
      <c r="H360" s="2165" t="n"/>
      <c r="I360" s="4" t="inlineStr">
        <is>
          <t>Metais</t>
        </is>
      </c>
    </row>
    <row r="361" ht="14.25" customHeight="1">
      <c r="A361" s="10">
        <f>COUNTIFS($B$2:$B$996,B361)</f>
        <v/>
      </c>
      <c r="B361" s="471" t="inlineStr">
        <is>
          <t>CHAPA  DE MADEIRA IMBUIA</t>
        </is>
      </c>
      <c r="C361" s="472" t="inlineStr">
        <is>
          <t>M2</t>
        </is>
      </c>
      <c r="D361" s="2165">
        <f>E361*$D$1</f>
        <v/>
      </c>
      <c r="E361" s="2165" t="n">
        <v>520</v>
      </c>
      <c r="F361" s="2165" t="inlineStr">
        <is>
          <t>Materiais complementares</t>
        </is>
      </c>
      <c r="G361" s="2165" t="inlineStr">
        <is>
          <t>Diversos</t>
        </is>
      </c>
      <c r="H361" s="2165" t="n"/>
      <c r="I361" s="85" t="inlineStr">
        <is>
          <t>Diversos</t>
        </is>
      </c>
    </row>
    <row r="362" ht="14.25" customHeight="1">
      <c r="A362" s="10">
        <f>COUNTIFS($B$2:$B$996,B362)</f>
        <v/>
      </c>
      <c r="B362" s="471" t="inlineStr">
        <is>
          <t>CHAPA DE MADEIRA ITAUBA</t>
        </is>
      </c>
      <c r="C362" s="472" t="inlineStr">
        <is>
          <t>M2</t>
        </is>
      </c>
      <c r="D362" s="2165">
        <f>E362*$D$1</f>
        <v/>
      </c>
      <c r="E362" s="2165" t="n">
        <v>580</v>
      </c>
      <c r="F362" s="2165" t="inlineStr">
        <is>
          <t>Materiais complementares</t>
        </is>
      </c>
      <c r="G362" s="2165" t="inlineStr">
        <is>
          <t>Diversos</t>
        </is>
      </c>
      <c r="H362" s="2165" t="n"/>
      <c r="I362" s="85" t="inlineStr">
        <is>
          <t>Diversos</t>
        </is>
      </c>
    </row>
    <row r="363" ht="14.25" customHeight="1">
      <c r="A363" s="10">
        <f>COUNTIFS($B$2:$B$996,B363)</f>
        <v/>
      </c>
      <c r="B363" s="471" t="inlineStr">
        <is>
          <t>PISO MADEIRA ESCURA - Sucupira</t>
        </is>
      </c>
      <c r="C363" s="472" t="inlineStr">
        <is>
          <t>M2</t>
        </is>
      </c>
      <c r="D363" s="2165">
        <f>E363*$D$1</f>
        <v/>
      </c>
      <c r="E363" s="2165" t="n">
        <v>600</v>
      </c>
      <c r="F363" s="2165" t="inlineStr">
        <is>
          <t>Materiais complementares</t>
        </is>
      </c>
      <c r="G363" s="2165" t="inlineStr">
        <is>
          <t>Diversos</t>
        </is>
      </c>
      <c r="H363" s="2165" t="n"/>
      <c r="I363" s="85" t="inlineStr">
        <is>
          <t>Diversos</t>
        </is>
      </c>
    </row>
    <row r="364" ht="14.25" customHeight="1">
      <c r="A364" s="10">
        <f>COUNTIFS($B$2:$B$996,B364)</f>
        <v/>
      </c>
      <c r="B364" s="471" t="inlineStr">
        <is>
          <t>PISO MADEIRA ESCURA - Tauari Naturalle</t>
        </is>
      </c>
      <c r="C364" s="472" t="inlineStr">
        <is>
          <t>M2</t>
        </is>
      </c>
      <c r="D364" s="2165">
        <f>E364*$D$1</f>
        <v/>
      </c>
      <c r="E364" s="2165" t="n">
        <v>590</v>
      </c>
      <c r="F364" s="2165" t="inlineStr">
        <is>
          <t>Materiais complementares</t>
        </is>
      </c>
      <c r="G364" s="2165" t="inlineStr">
        <is>
          <t>Diversos</t>
        </is>
      </c>
      <c r="H364" s="2165" t="n"/>
      <c r="I364" s="85" t="inlineStr">
        <is>
          <t>Diversos</t>
        </is>
      </c>
    </row>
    <row r="365" ht="14.25" customHeight="1">
      <c r="A365" s="10">
        <f>COUNTIFS($B$2:$B$996,B365)</f>
        <v/>
      </c>
      <c r="B365" s="471" t="inlineStr">
        <is>
          <t>PISO MADEIRA CLARA - Tauari Naturalle Creme</t>
        </is>
      </c>
      <c r="C365" s="472" t="inlineStr">
        <is>
          <t>M2</t>
        </is>
      </c>
      <c r="D365" s="2165">
        <f>E365*$D$1</f>
        <v/>
      </c>
      <c r="E365" s="2165" t="n">
        <v>590</v>
      </c>
      <c r="F365" s="2165" t="inlineStr">
        <is>
          <t>Materiais complementares</t>
        </is>
      </c>
      <c r="G365" s="2165" t="inlineStr">
        <is>
          <t>Diversos</t>
        </is>
      </c>
      <c r="H365" s="2165" t="n"/>
      <c r="I365" s="85" t="inlineStr">
        <is>
          <t>Diversos</t>
        </is>
      </c>
    </row>
    <row r="366" ht="14.25" customHeight="1">
      <c r="A366" s="10">
        <f>COUNTIFS($B$2:$B$996,B366)</f>
        <v/>
      </c>
      <c r="B366" s="471" t="inlineStr">
        <is>
          <t>PISO MADEIRA CLARA - Carvalho Bianco</t>
        </is>
      </c>
      <c r="C366" s="472" t="inlineStr">
        <is>
          <t>M2</t>
        </is>
      </c>
      <c r="D366" s="2165">
        <f>E366*$D$1</f>
        <v/>
      </c>
      <c r="E366" s="2165" t="n">
        <v>850</v>
      </c>
      <c r="F366" s="2165" t="inlineStr">
        <is>
          <t>Materiais complementares</t>
        </is>
      </c>
      <c r="G366" s="2165" t="inlineStr">
        <is>
          <t>Diversos</t>
        </is>
      </c>
      <c r="H366" s="2165" t="n"/>
      <c r="I366" s="85" t="inlineStr">
        <is>
          <t>Diversos</t>
        </is>
      </c>
    </row>
    <row r="367" ht="14.25" customHeight="1">
      <c r="A367" s="10">
        <f>COUNTIFS($B$2:$B$996,B367)</f>
        <v/>
      </c>
      <c r="B367" s="471" t="inlineStr">
        <is>
          <t>PISO DECK MADEIRA (CUMARU) - Tábuas: 10 x 200 cm - Material e Mão de Obra</t>
        </is>
      </c>
      <c r="C367" s="472" t="inlineStr">
        <is>
          <t>M2</t>
        </is>
      </c>
      <c r="D367" s="2165">
        <f>E367*$D$1</f>
        <v/>
      </c>
      <c r="E367" s="2165" t="n">
        <v>850</v>
      </c>
      <c r="F367" s="2165" t="inlineStr">
        <is>
          <t>Materiais complementares</t>
        </is>
      </c>
      <c r="G367" s="2165" t="inlineStr">
        <is>
          <t>Diversos</t>
        </is>
      </c>
      <c r="H367" s="2165" t="n"/>
      <c r="I367" s="85" t="inlineStr">
        <is>
          <t>Diversos</t>
        </is>
      </c>
    </row>
    <row r="368" ht="14.25" customHeight="1">
      <c r="A368" s="10">
        <f>COUNTIFS($B$2:$B$996,B368)</f>
        <v/>
      </c>
      <c r="B368" s="471" t="inlineStr">
        <is>
          <t>PISO MADEIRA CHEVRON (45º) - Cumaru Chevron</t>
        </is>
      </c>
      <c r="C368" s="472" t="inlineStr">
        <is>
          <t>M2</t>
        </is>
      </c>
      <c r="D368" s="2165">
        <f>E368*$D$1</f>
        <v/>
      </c>
      <c r="E368" s="2165" t="n">
        <v>900</v>
      </c>
      <c r="F368" s="2165" t="inlineStr">
        <is>
          <t>Materiais complementares</t>
        </is>
      </c>
      <c r="G368" s="2165" t="inlineStr">
        <is>
          <t>Diversos</t>
        </is>
      </c>
      <c r="H368" s="2165" t="n"/>
      <c r="I368" s="85" t="inlineStr">
        <is>
          <t>Diversos</t>
        </is>
      </c>
    </row>
    <row r="369" ht="14.25" customHeight="1">
      <c r="A369" s="10">
        <f>COUNTIFS($B$2:$B$996,B369)</f>
        <v/>
      </c>
      <c r="B369" s="471" t="inlineStr">
        <is>
          <t>PISO MADEIRA CHEVRON (45º) - Sucupira Chevron</t>
        </is>
      </c>
      <c r="C369" s="472" t="inlineStr">
        <is>
          <t>M2</t>
        </is>
      </c>
      <c r="D369" s="2165">
        <f>E369*$D$1</f>
        <v/>
      </c>
      <c r="E369" s="2165" t="n">
        <v>850</v>
      </c>
      <c r="F369" s="2165" t="inlineStr">
        <is>
          <t>Materiais complementares</t>
        </is>
      </c>
      <c r="G369" s="2165" t="inlineStr">
        <is>
          <t>Diversos</t>
        </is>
      </c>
      <c r="H369" s="2165" t="n"/>
      <c r="I369" s="85" t="inlineStr">
        <is>
          <t>Diversos</t>
        </is>
      </c>
    </row>
    <row r="370" ht="14.25" customHeight="1">
      <c r="A370" s="10">
        <f>COUNTIFS($B$2:$B$996,B370)</f>
        <v/>
      </c>
      <c r="B370" s="471" t="inlineStr">
        <is>
          <t xml:space="preserve">Piso de madeira natural - Carvalho Europeu Prime (Engineered Oak) - material e mão de obra </t>
        </is>
      </c>
      <c r="C370" s="472" t="inlineStr">
        <is>
          <t>M2</t>
        </is>
      </c>
      <c r="D370" s="2165">
        <f>E370*$D$1</f>
        <v/>
      </c>
      <c r="E370" s="2165" t="n">
        <v>1050</v>
      </c>
      <c r="F370" s="2165" t="inlineStr">
        <is>
          <t>Materiais complementares</t>
        </is>
      </c>
      <c r="G370" s="2165" t="inlineStr">
        <is>
          <t>Diversos</t>
        </is>
      </c>
      <c r="H370" s="2165" t="n"/>
      <c r="I370" s="85" t="inlineStr">
        <is>
          <t>Diversos</t>
        </is>
      </c>
    </row>
    <row r="371" ht="14.25" customHeight="1">
      <c r="A371" s="10">
        <f>COUNTIFS($B$2:$B$996,B371)</f>
        <v/>
      </c>
      <c r="B371" s="471" t="inlineStr">
        <is>
          <t xml:space="preserve">Piso de madeira natural - Carvalho Rustic Premium - material e mão de obra </t>
        </is>
      </c>
      <c r="C371" s="472" t="inlineStr">
        <is>
          <t>M2</t>
        </is>
      </c>
      <c r="D371" s="2165">
        <f>E371*$D$1</f>
        <v/>
      </c>
      <c r="E371" s="2165" t="n">
        <v>780</v>
      </c>
      <c r="F371" s="2165" t="inlineStr">
        <is>
          <t>Materiais complementares</t>
        </is>
      </c>
      <c r="G371" s="2165" t="inlineStr">
        <is>
          <t>Diversos</t>
        </is>
      </c>
      <c r="H371" s="2165" t="n"/>
      <c r="I371" s="85" t="inlineStr">
        <is>
          <t>Diversos</t>
        </is>
      </c>
    </row>
    <row r="372" ht="14.25" customHeight="1">
      <c r="A372" s="10">
        <f>COUNTIFS($B$2:$B$996,B372)</f>
        <v/>
      </c>
      <c r="B372" s="471" t="inlineStr">
        <is>
          <t xml:space="preserve">Piso de madeira natural - Nogueira Americana - material e mão de obra </t>
        </is>
      </c>
      <c r="C372" s="472" t="inlineStr">
        <is>
          <t>M2</t>
        </is>
      </c>
      <c r="D372" s="2165">
        <f>E372*$D$1</f>
        <v/>
      </c>
      <c r="E372" s="2165" t="n">
        <v>1100</v>
      </c>
      <c r="F372" s="2165" t="inlineStr">
        <is>
          <t>Materiais complementares</t>
        </is>
      </c>
      <c r="G372" s="2165" t="inlineStr">
        <is>
          <t>Diversos</t>
        </is>
      </c>
      <c r="H372" s="2165" t="n"/>
      <c r="I372" s="85" t="inlineStr">
        <is>
          <t>Diversos</t>
        </is>
      </c>
    </row>
    <row r="373" ht="14.25" customHeight="1">
      <c r="A373" s="10">
        <f>COUNTIFS($B$2:$B$996,B373)</f>
        <v/>
      </c>
      <c r="B373" s="471" t="inlineStr">
        <is>
          <t xml:space="preserve">Piso de madeira natural - Cumaru engenheirado - material e mão de obra </t>
        </is>
      </c>
      <c r="C373" s="472" t="inlineStr">
        <is>
          <t>M2</t>
        </is>
      </c>
      <c r="D373" s="2165">
        <f>E373*$D$1</f>
        <v/>
      </c>
      <c r="E373" s="2165" t="n">
        <v>750</v>
      </c>
      <c r="F373" s="2165" t="inlineStr">
        <is>
          <t>Materiais complementares</t>
        </is>
      </c>
      <c r="G373" s="2165" t="inlineStr">
        <is>
          <t>Diversos</t>
        </is>
      </c>
      <c r="H373" s="2165" t="n"/>
      <c r="I373" s="85" t="inlineStr">
        <is>
          <t>Diversos</t>
        </is>
      </c>
    </row>
    <row r="374" ht="14.25" customHeight="1">
      <c r="A374" s="10">
        <f>COUNTIFS($B$2:$B$996,B374)</f>
        <v/>
      </c>
      <c r="B374" s="471" t="inlineStr">
        <is>
          <t>Mão de obra de instalação de Piso de madeira</t>
        </is>
      </c>
      <c r="C374" s="472" t="inlineStr">
        <is>
          <t>M2</t>
        </is>
      </c>
      <c r="D374" s="2165">
        <f>E374*$D$1</f>
        <v/>
      </c>
      <c r="E374" s="2165" t="n">
        <v>210</v>
      </c>
      <c r="F374" s="2165" t="inlineStr">
        <is>
          <t>Materiais complementares</t>
        </is>
      </c>
      <c r="G374" s="2165" t="inlineStr">
        <is>
          <t>Diversos</t>
        </is>
      </c>
      <c r="H374" s="2165" t="n"/>
      <c r="I374" s="85" t="inlineStr">
        <is>
          <t>Diversos</t>
        </is>
      </c>
    </row>
    <row r="375" ht="14.25" customHeight="1">
      <c r="A375" s="10">
        <f>COUNTIFS($B$2:$B$996,B375)</f>
        <v/>
      </c>
      <c r="B375" s="471" t="inlineStr">
        <is>
          <t>PAINEL DE ITAUBA 18 MM</t>
        </is>
      </c>
      <c r="C375" s="472" t="inlineStr">
        <is>
          <t>M2</t>
        </is>
      </c>
      <c r="D375" s="2165">
        <f>E375*$D$1</f>
        <v/>
      </c>
      <c r="E375" s="2165">
        <f>422.81/(2.75*1.85)</f>
        <v/>
      </c>
      <c r="F375" s="2165" t="inlineStr">
        <is>
          <t>Materiais complementares</t>
        </is>
      </c>
      <c r="G375" s="2165" t="inlineStr">
        <is>
          <t>Diversos</t>
        </is>
      </c>
      <c r="H375" s="2165" t="n"/>
      <c r="I375" s="85" t="inlineStr">
        <is>
          <t>Diversos</t>
        </is>
      </c>
    </row>
    <row r="376" ht="14.25" customHeight="1">
      <c r="A376" s="10">
        <f>COUNTIFS($B$2:$B$996,B376)</f>
        <v/>
      </c>
      <c r="B376" s="471" t="inlineStr">
        <is>
          <t>CHAPA DE MDF IMBUIA 15 MM</t>
        </is>
      </c>
      <c r="C376" s="472" t="inlineStr">
        <is>
          <t>M2</t>
        </is>
      </c>
      <c r="D376" s="2165">
        <f>E376*$D$1</f>
        <v/>
      </c>
      <c r="E376" s="2165">
        <f>456.32/(2.75*1.85)</f>
        <v/>
      </c>
      <c r="F376" s="2165" t="inlineStr">
        <is>
          <t>Materiais complementares</t>
        </is>
      </c>
      <c r="G376" s="2165" t="inlineStr">
        <is>
          <t>Diversos</t>
        </is>
      </c>
      <c r="H376" s="2165" t="n"/>
      <c r="I376" s="85" t="inlineStr">
        <is>
          <t>Diversos</t>
        </is>
      </c>
    </row>
    <row r="377" ht="15.75" customHeight="1">
      <c r="A377" s="10">
        <f>COUNTIFS($B$2:$B$996,B377)</f>
        <v/>
      </c>
      <c r="B377" s="10" t="inlineStr">
        <is>
          <t>CAIBRO NAO APARELHADO *5 X 6* CM, EM MACARANDUBA/MASSARANDUBA, ANGELIM OU EQUIVALENTE DA REGIAO - BRUTA</t>
        </is>
      </c>
      <c r="C377" s="11" t="inlineStr">
        <is>
          <t>M</t>
        </is>
      </c>
      <c r="D377" s="2162">
        <f>E377*$D$1</f>
        <v/>
      </c>
      <c r="E377" s="2162" t="n">
        <v>29.5</v>
      </c>
      <c r="F377" s="2162" t="inlineStr">
        <is>
          <t>Madeira</t>
        </is>
      </c>
      <c r="G377" s="2162" t="inlineStr">
        <is>
          <t>Madeira</t>
        </is>
      </c>
      <c r="H377" s="2165" t="n"/>
      <c r="I377" s="4" t="inlineStr">
        <is>
          <t>Madeira para Formas (Estrutura)</t>
        </is>
      </c>
    </row>
    <row r="378" ht="15.75" customHeight="1">
      <c r="A378" s="10">
        <f>COUNTIFS($B$2:$B$996,B378)</f>
        <v/>
      </c>
      <c r="B378" s="10" t="inlineStr">
        <is>
          <t>CHAPA/PAINEL DE MADEIRA COMPENSADA PLASTIFICADA, DE 2200 X 1100 MM, E = 14 MM</t>
        </is>
      </c>
      <c r="C378" s="11" t="inlineStr">
        <is>
          <t>M2</t>
        </is>
      </c>
      <c r="D378" s="2162">
        <f>E378*$D$1</f>
        <v/>
      </c>
      <c r="E378" s="2162" t="n">
        <v>46.12029384756657</v>
      </c>
      <c r="F378" s="2162" t="inlineStr">
        <is>
          <t>Madeira</t>
        </is>
      </c>
      <c r="G378" s="2162" t="inlineStr">
        <is>
          <t>Madeira</t>
        </is>
      </c>
      <c r="H378" s="2165" t="n"/>
      <c r="I378" s="4" t="inlineStr">
        <is>
          <t>Madeira para Formas (Estrutura)</t>
        </is>
      </c>
    </row>
    <row r="379" ht="15.75" customHeight="1">
      <c r="A379" s="10">
        <f>COUNTIFS($B$2:$B$996,B379)</f>
        <v/>
      </c>
      <c r="B379" s="10" t="inlineStr">
        <is>
          <t>CHAPA/PAINEL DE MADEIRA COMPENSADA PLASTIFICADA, DE 2200 X 1100 MM, E = 18 MM</t>
        </is>
      </c>
      <c r="C379" s="11" t="inlineStr">
        <is>
          <t>M2</t>
        </is>
      </c>
      <c r="D379" s="2162">
        <f>E379*$D$1</f>
        <v/>
      </c>
      <c r="E379" s="2162" t="n">
        <v>59.29752066115702</v>
      </c>
      <c r="F379" s="2162" t="inlineStr">
        <is>
          <t>Madeira</t>
        </is>
      </c>
      <c r="G379" s="2162" t="inlineStr">
        <is>
          <t>Madeira</t>
        </is>
      </c>
      <c r="H379" s="2162" t="n"/>
      <c r="I379" s="4" t="inlineStr">
        <is>
          <t>Madeira para Formas (Estrutura)</t>
        </is>
      </c>
    </row>
    <row r="380" ht="15.75" customHeight="1">
      <c r="A380" s="10">
        <f>COUNTIFS($B$2:$B$996,B380)</f>
        <v/>
      </c>
      <c r="B380" s="10" t="inlineStr">
        <is>
          <t>CHAPA/PAINEL DE MADEIRA COMPENSADA PLASTIFICADA, DE 2200 X 1100 MM, E = 20 MM</t>
        </is>
      </c>
      <c r="C380" s="11" t="inlineStr">
        <is>
          <t>M2</t>
        </is>
      </c>
      <c r="D380" s="2162">
        <f>E380*$D$1</f>
        <v/>
      </c>
      <c r="E380" s="2162">
        <f>224.7/(1.1*2.2)</f>
        <v/>
      </c>
      <c r="F380" s="2162" t="inlineStr">
        <is>
          <t>Madeira</t>
        </is>
      </c>
      <c r="G380" s="2162" t="inlineStr">
        <is>
          <t>Madeira</t>
        </is>
      </c>
      <c r="H380" s="2162" t="n"/>
      <c r="I380" s="4" t="inlineStr">
        <is>
          <t>Madeira para Formas (Estrutura)</t>
        </is>
      </c>
    </row>
    <row r="381" ht="14.25" customHeight="1">
      <c r="A381" s="10">
        <f>COUNTIFS($B$2:$B$996,B381)</f>
        <v/>
      </c>
      <c r="B381" s="82" t="inlineStr">
        <is>
          <t>CHAPA/PAINEL DE MADEIRA COMPENSADA RESINADA, DE 2200 X 1100 MM, E = 17 MM</t>
        </is>
      </c>
      <c r="C381" s="83" t="inlineStr">
        <is>
          <t>M2</t>
        </is>
      </c>
      <c r="D381" s="2165">
        <f>E381*$D$1</f>
        <v/>
      </c>
      <c r="E381" s="2165" t="n">
        <v>37.96</v>
      </c>
      <c r="F381" s="2165" t="inlineStr">
        <is>
          <t>Madeira</t>
        </is>
      </c>
      <c r="G381" s="2165" t="inlineStr">
        <is>
          <t>Madeira</t>
        </is>
      </c>
      <c r="H381" s="2165" t="n"/>
      <c r="I381" s="85" t="inlineStr">
        <is>
          <t>Madeira para Formas (Estrutura)</t>
        </is>
      </c>
    </row>
    <row r="382" ht="15.75" customHeight="1">
      <c r="A382" s="10">
        <f>COUNTIFS($B$2:$B$996,B382)</f>
        <v/>
      </c>
      <c r="B382" s="10" t="inlineStr">
        <is>
          <t>CHAPA/PAINEL DE MADEIRA COMPENSADA RESINADA, DE 2200 X 1100 MM, E = 14 MM</t>
        </is>
      </c>
      <c r="C382" s="11" t="inlineStr">
        <is>
          <t>M2</t>
        </is>
      </c>
      <c r="D382" s="2162">
        <f>E382*$D$1</f>
        <v/>
      </c>
      <c r="E382" s="2162" t="n">
        <v>35.78</v>
      </c>
      <c r="F382" s="2162" t="inlineStr">
        <is>
          <t>Madeira</t>
        </is>
      </c>
      <c r="G382" s="2162" t="inlineStr">
        <is>
          <t>Madeira</t>
        </is>
      </c>
      <c r="H382" s="2162" t="n"/>
      <c r="I382" s="4" t="inlineStr">
        <is>
          <t>Madeira para Formas (Estrutura)</t>
        </is>
      </c>
    </row>
    <row r="383" ht="15.75" customHeight="1">
      <c r="A383" s="10">
        <f>COUNTIFS($B$2:$B$996,B383)</f>
        <v/>
      </c>
      <c r="B383" s="10" t="inlineStr">
        <is>
          <t>CHAPA/PAINEL DE MADEIRA COMPENSADA RESINADA, DE 2200 X 1100 MM, E = 18 MM</t>
        </is>
      </c>
      <c r="C383" s="11" t="inlineStr">
        <is>
          <t>M2</t>
        </is>
      </c>
      <c r="D383" s="2162">
        <f>E383*$D$1</f>
        <v/>
      </c>
      <c r="E383" s="2162" t="n">
        <v>46.00285714285714</v>
      </c>
      <c r="F383" s="2162" t="inlineStr">
        <is>
          <t>Madeira</t>
        </is>
      </c>
      <c r="G383" s="2162" t="inlineStr">
        <is>
          <t>Madeira</t>
        </is>
      </c>
      <c r="H383" s="2162" t="n"/>
      <c r="I383" s="4" t="inlineStr">
        <is>
          <t>Madeira para Formas (Estrutura)</t>
        </is>
      </c>
    </row>
    <row r="384" ht="15.75" customHeight="1">
      <c r="A384" s="10">
        <f>COUNTIFS($B$2:$B$996,B384)</f>
        <v/>
      </c>
      <c r="B384" s="10" t="inlineStr">
        <is>
          <t>COMPENSADO MADEIRA TIPO RESINADO COLA FENOLICA 2440X1220X10MM</t>
        </is>
      </c>
      <c r="C384" s="11" t="inlineStr">
        <is>
          <t>UN</t>
        </is>
      </c>
      <c r="D384" s="2162">
        <f>E384*$D$1</f>
        <v/>
      </c>
      <c r="E384" s="2162" t="n">
        <v>58.46</v>
      </c>
      <c r="F384" s="2162" t="inlineStr">
        <is>
          <t>Madeira</t>
        </is>
      </c>
      <c r="G384" s="2162" t="inlineStr">
        <is>
          <t>Madeira</t>
        </is>
      </c>
      <c r="H384" s="2162" t="n"/>
      <c r="I384" s="4" t="inlineStr">
        <is>
          <t>Madeira para Formas (Estrutura)</t>
        </is>
      </c>
    </row>
    <row r="385" ht="15.75" customHeight="1">
      <c r="A385" s="10">
        <f>COUNTIFS($B$2:$B$996,B385)</f>
        <v/>
      </c>
      <c r="B385" s="10" t="inlineStr">
        <is>
          <t>DECKS COMPOSTOS DE MADEIRA ECOLÓGICA PARA EXTERIORES</t>
        </is>
      </c>
      <c r="C385" s="11" t="inlineStr">
        <is>
          <t>M2</t>
        </is>
      </c>
      <c r="D385" s="2162">
        <f>E385*$D$1</f>
        <v/>
      </c>
      <c r="E385" s="2162" t="n">
        <v>557</v>
      </c>
      <c r="F385" s="2162" t="inlineStr">
        <is>
          <t>Madeira</t>
        </is>
      </c>
      <c r="G385" s="2162" t="inlineStr">
        <is>
          <t>Acabamento</t>
        </is>
      </c>
      <c r="H385" s="2162" t="n"/>
      <c r="I385" s="4" t="inlineStr">
        <is>
          <t>Madeira para Telhado</t>
        </is>
      </c>
    </row>
    <row r="386" ht="15.75" customHeight="1">
      <c r="A386" s="10">
        <f>COUNTIFS($B$2:$B$996,B386)</f>
        <v/>
      </c>
      <c r="B386" s="10" t="inlineStr">
        <is>
          <t xml:space="preserve">DESMOLDANTE PROTETOR PARA FORMAS DE MADEIRA, DE BASE OLEOSA EMULSIONADA EM AGUA   </t>
        </is>
      </c>
      <c r="C386" s="11" t="inlineStr">
        <is>
          <t>L</t>
        </is>
      </c>
      <c r="D386" s="2162">
        <f>E386*$D$1</f>
        <v/>
      </c>
      <c r="E386" s="2162" t="n">
        <v>15.55</v>
      </c>
      <c r="F386" s="2162" t="inlineStr">
        <is>
          <t>Madeira</t>
        </is>
      </c>
      <c r="G386" s="2162" t="inlineStr">
        <is>
          <t>Diversos</t>
        </is>
      </c>
      <c r="H386" s="2162" t="n"/>
      <c r="I386" s="4" t="inlineStr">
        <is>
          <t>Diversos</t>
        </is>
      </c>
    </row>
    <row r="387" ht="14.25" customHeight="1">
      <c r="A387" s="10">
        <f>COUNTIFS($B$2:$B$996,B387)</f>
        <v/>
      </c>
      <c r="B387" s="82" t="inlineStr">
        <is>
          <t>DESMOLDANTE PARA CONCRETO ESTAMPADO</t>
        </is>
      </c>
      <c r="C387" s="83" t="inlineStr">
        <is>
          <t>KG</t>
        </is>
      </c>
      <c r="D387" s="2165">
        <f>E387*$D$1</f>
        <v/>
      </c>
      <c r="E387" s="2165">
        <f>390/18</f>
        <v/>
      </c>
      <c r="F387" s="2165" t="inlineStr">
        <is>
          <t>Madeira</t>
        </is>
      </c>
      <c r="G387" s="2165" t="inlineStr">
        <is>
          <t>Diversos</t>
        </is>
      </c>
      <c r="H387" s="2165" t="n"/>
      <c r="I387" s="85" t="inlineStr">
        <is>
          <t>Diversos</t>
        </is>
      </c>
    </row>
    <row r="388" ht="14.25" customHeight="1">
      <c r="A388" s="10">
        <f>COUNTIFS($B$2:$B$996,B388)</f>
        <v/>
      </c>
      <c r="B388" s="82" t="inlineStr">
        <is>
          <t>MOLDE DE POLIURETANO, FLEXIVEL OU SEMI-FLEXIVEL, PARA ESTAMPAGEM DE PISO / PASSEIO DE CONCRETO</t>
        </is>
      </c>
      <c r="C388" s="83" t="inlineStr">
        <is>
          <t>M2</t>
        </is>
      </c>
      <c r="D388" s="2165">
        <f>E388*$D$1</f>
        <v/>
      </c>
      <c r="E388" s="2165">
        <f>130/(0.4*0.5)</f>
        <v/>
      </c>
      <c r="F388" s="2165" t="inlineStr">
        <is>
          <t>Madeira</t>
        </is>
      </c>
      <c r="G388" s="2165" t="inlineStr">
        <is>
          <t>Diversos</t>
        </is>
      </c>
      <c r="H388" s="2165" t="n"/>
      <c r="I388" s="85" t="inlineStr">
        <is>
          <t>Diversos</t>
        </is>
      </c>
    </row>
    <row r="389" ht="14.25" customHeight="1">
      <c r="A389" s="10">
        <f>COUNTIFS($B$2:$B$996,B389)</f>
        <v/>
      </c>
      <c r="B389" s="82" t="inlineStr">
        <is>
          <t>PO ENDURECEDOR PARA CONCRETO ESTAMPADO - PIGMENTO ENDURECEDOR</t>
        </is>
      </c>
      <c r="C389" s="83" t="inlineStr">
        <is>
          <t>KG</t>
        </is>
      </c>
      <c r="D389" s="2165">
        <f>E389*$D$1</f>
        <v/>
      </c>
      <c r="E389" s="2165">
        <f>78.9/5</f>
        <v/>
      </c>
      <c r="F389" s="2165" t="inlineStr">
        <is>
          <t>Madeira</t>
        </is>
      </c>
      <c r="G389" s="2165" t="inlineStr">
        <is>
          <t>Diversos</t>
        </is>
      </c>
      <c r="H389" s="2165" t="n"/>
      <c r="I389" s="85" t="inlineStr">
        <is>
          <t>Diversos</t>
        </is>
      </c>
    </row>
    <row r="390" ht="15.75" customHeight="1">
      <c r="A390" s="10">
        <f>COUNTIFS($B$2:$B$996,B390)</f>
        <v/>
      </c>
      <c r="B390" s="10" t="inlineStr">
        <is>
          <t>Estrutura e trama para cobertura em madeira</t>
        </is>
      </c>
      <c r="C390" s="11" t="inlineStr">
        <is>
          <t>M2</t>
        </is>
      </c>
      <c r="D390" s="2162">
        <f>E390*$D$1</f>
        <v/>
      </c>
      <c r="E390" s="2162" t="n">
        <v>119.77</v>
      </c>
      <c r="F390" s="2162" t="inlineStr">
        <is>
          <t>Madeira</t>
        </is>
      </c>
      <c r="G390" s="2162" t="inlineStr">
        <is>
          <t>Telhados</t>
        </is>
      </c>
      <c r="H390" s="2162" t="n"/>
      <c r="I390" s="4" t="inlineStr">
        <is>
          <t>Madeira para Telhado</t>
        </is>
      </c>
    </row>
    <row r="391" ht="15.75" customHeight="1">
      <c r="A391" s="10">
        <f>COUNTIFS($B$2:$B$996,B391)</f>
        <v/>
      </c>
      <c r="B391" s="10" t="inlineStr">
        <is>
          <t>Madeira Amescla para acabamento</t>
        </is>
      </c>
      <c r="C391" s="11" t="inlineStr">
        <is>
          <t>M2</t>
        </is>
      </c>
      <c r="D391" s="2162">
        <f>E391*$D$1</f>
        <v/>
      </c>
      <c r="E391" s="2162" t="n">
        <v>90</v>
      </c>
      <c r="F391" s="2162" t="inlineStr">
        <is>
          <t>Madeira</t>
        </is>
      </c>
      <c r="G391" s="2162" t="inlineStr">
        <is>
          <t>Acabamento</t>
        </is>
      </c>
      <c r="H391" s="2162" t="n"/>
      <c r="I391" s="4" t="inlineStr">
        <is>
          <t>Madeira para Telhado</t>
        </is>
      </c>
    </row>
    <row r="392" ht="14.25" customHeight="1">
      <c r="A392" s="10">
        <f>COUNTIFS($B$2:$B$996,B392)</f>
        <v/>
      </c>
      <c r="B392" s="82" t="inlineStr">
        <is>
          <t>Perna de serra pinus - 10x30x300cm</t>
        </is>
      </c>
      <c r="C392" s="83" t="inlineStr">
        <is>
          <t>un</t>
        </is>
      </c>
      <c r="D392" s="2165">
        <f>E392*$D$1</f>
        <v/>
      </c>
      <c r="E392" s="2165" t="n">
        <v>21.12</v>
      </c>
      <c r="F392" s="2165" t="inlineStr">
        <is>
          <t>Madeira</t>
        </is>
      </c>
      <c r="G392" s="2165" t="inlineStr">
        <is>
          <t>Madeira</t>
        </is>
      </c>
      <c r="H392" s="2165" t="n"/>
      <c r="I392" s="85" t="inlineStr">
        <is>
          <t>Madeira para Formas (Estrutura)</t>
        </is>
      </c>
    </row>
    <row r="393" ht="15.75" customHeight="1">
      <c r="A393" s="10">
        <f>COUNTIFS($B$2:$B$996,B393)</f>
        <v/>
      </c>
      <c r="B393" s="10" t="inlineStr">
        <is>
          <t>MADEIRA PINUS/SIMILAR - PONTALETE 75X75MM NBR 11700/15696</t>
        </is>
      </c>
      <c r="C393" s="11" t="inlineStr">
        <is>
          <t>M</t>
        </is>
      </c>
      <c r="D393" s="2162">
        <f>E393*$D$1</f>
        <v/>
      </c>
      <c r="E393" s="2162" t="n">
        <v>7</v>
      </c>
      <c r="F393" s="2162" t="inlineStr">
        <is>
          <t>Madeira</t>
        </is>
      </c>
      <c r="G393" s="2162" t="inlineStr">
        <is>
          <t>Madeira</t>
        </is>
      </c>
      <c r="H393" s="2162" t="n"/>
      <c r="I393" s="4" t="inlineStr">
        <is>
          <t>Madeira para Formas (Estrutura)</t>
        </is>
      </c>
    </row>
    <row r="394" ht="15.75" customHeight="1">
      <c r="A394" s="10">
        <f>COUNTIFS($B$2:$B$996,B394)</f>
        <v/>
      </c>
      <c r="B394" s="10" t="inlineStr">
        <is>
          <t>MADEIRA PINUS/SIMILAR - SARRAFO PINUS 50X10MM NBR 11700</t>
        </is>
      </c>
      <c r="C394" s="11" t="inlineStr">
        <is>
          <t>M</t>
        </is>
      </c>
      <c r="D394" s="2162">
        <f>E394*$D$1</f>
        <v/>
      </c>
      <c r="E394" s="2162">
        <f>22.17/3</f>
        <v/>
      </c>
      <c r="F394" s="2162" t="inlineStr">
        <is>
          <t>Madeira</t>
        </is>
      </c>
      <c r="G394" s="2162" t="inlineStr">
        <is>
          <t>Madeira</t>
        </is>
      </c>
      <c r="H394" s="2162" t="n"/>
      <c r="I394" s="4" t="inlineStr">
        <is>
          <t>Madeira para Formas (Estrutura)</t>
        </is>
      </c>
    </row>
    <row r="395" ht="15.75" customHeight="1">
      <c r="A395" s="10">
        <f>COUNTIFS($B$2:$B$996,B395)</f>
        <v/>
      </c>
      <c r="B395" s="10" t="inlineStr">
        <is>
          <t>MADEIRA PINUS/SIMILAR - SARRAFO PINUS 50X20MM NBR 11700/15696</t>
        </is>
      </c>
      <c r="C395" s="11" t="inlineStr">
        <is>
          <t>M2</t>
        </is>
      </c>
      <c r="D395" s="2162">
        <f>E395*$D$1</f>
        <v/>
      </c>
      <c r="E395" s="2162" t="n">
        <v>46.5</v>
      </c>
      <c r="F395" s="2162" t="inlineStr">
        <is>
          <t>Madeira</t>
        </is>
      </c>
      <c r="G395" s="2162" t="inlineStr">
        <is>
          <t>Madeira</t>
        </is>
      </c>
      <c r="H395" s="2162" t="n"/>
      <c r="I395" s="4" t="inlineStr">
        <is>
          <t>Madeira para Formas (Estrutura)</t>
        </is>
      </c>
    </row>
    <row r="396" ht="15.75" customHeight="1">
      <c r="A396" s="10">
        <f>COUNTIFS($B$2:$B$996,B396)</f>
        <v/>
      </c>
      <c r="B396" s="10" t="inlineStr">
        <is>
          <t>MADEIRA PINUS/SIMILAR - TABUA PINUS 200X20MM NBR 11700</t>
        </is>
      </c>
      <c r="C396" s="11" t="inlineStr">
        <is>
          <t>M2</t>
        </is>
      </c>
      <c r="D396" s="2162">
        <f>E396*$D$1</f>
        <v/>
      </c>
      <c r="E396" s="2162" t="n">
        <v>46.5</v>
      </c>
      <c r="F396" s="2162" t="inlineStr">
        <is>
          <t>Madeira</t>
        </is>
      </c>
      <c r="G396" s="2162" t="inlineStr">
        <is>
          <t>Madeira</t>
        </is>
      </c>
      <c r="H396" s="2162" t="n"/>
      <c r="I396" s="4" t="inlineStr">
        <is>
          <t>Madeira para Formas (Estrutura)</t>
        </is>
      </c>
    </row>
    <row r="397" ht="15.75" customHeight="1">
      <c r="A397" s="10">
        <f>COUNTIFS($B$2:$B$996,B397)</f>
        <v/>
      </c>
      <c r="B397" s="10" t="inlineStr">
        <is>
          <t>PONTALETE *7,5 X 7,5* CM EM PINUS, MISTA OU EQUIVALENTE DA REGIAO - BRUTA</t>
        </is>
      </c>
      <c r="C397" s="11" t="inlineStr">
        <is>
          <t>M3</t>
        </is>
      </c>
      <c r="D397" s="2162">
        <f>E397*$D$1</f>
        <v/>
      </c>
      <c r="E397" s="2162" t="n">
        <v>1100</v>
      </c>
      <c r="F397" s="2162" t="inlineStr">
        <is>
          <t>Madeira</t>
        </is>
      </c>
      <c r="G397" s="2162" t="inlineStr">
        <is>
          <t>Madeira</t>
        </is>
      </c>
      <c r="H397" s="2162" t="n"/>
      <c r="I397" s="4" t="inlineStr">
        <is>
          <t>Madeira para Formas (Estrutura)</t>
        </is>
      </c>
    </row>
    <row r="398" ht="15.75" customHeight="1">
      <c r="A398" s="10">
        <f>COUNTIFS($B$2:$B$996,B398)</f>
        <v/>
      </c>
      <c r="B398" s="10" t="inlineStr">
        <is>
          <t>RIPA NAO APARELHADA, *1,5 X 5* CM, EM MACARANDUBA/MASSARANDUBA, ANGELIM OU EQUIVALENTE DA REGIAO - BRUTA</t>
        </is>
      </c>
      <c r="C398" s="11" t="inlineStr">
        <is>
          <t>M</t>
        </is>
      </c>
      <c r="D398" s="2162">
        <f>E398*$D$1</f>
        <v/>
      </c>
      <c r="E398" s="2162" t="n">
        <v>5.62</v>
      </c>
      <c r="F398" s="2162" t="inlineStr">
        <is>
          <t>Madeira</t>
        </is>
      </c>
      <c r="G398" s="2162" t="inlineStr">
        <is>
          <t>Madeira</t>
        </is>
      </c>
      <c r="H398" s="2162" t="n"/>
      <c r="I398" s="4" t="inlineStr">
        <is>
          <t>Madeira para Formas (Estrutura)</t>
        </is>
      </c>
    </row>
    <row r="399" ht="15.75" customHeight="1">
      <c r="A399" s="10">
        <f>COUNTIFS($B$2:$B$996,B399)</f>
        <v/>
      </c>
      <c r="B399" s="10" t="inlineStr">
        <is>
          <t>SARRAFO *2,5 X 7,5* CM EM PINUS, MISTA OU EQUIVALENTE DA REGIAO - BRUTA</t>
        </is>
      </c>
      <c r="C399" s="11" t="inlineStr">
        <is>
          <t>M3</t>
        </is>
      </c>
      <c r="D399" s="2162">
        <f>E399*$D$1</f>
        <v/>
      </c>
      <c r="E399" s="2162" t="n">
        <v>1350</v>
      </c>
      <c r="F399" s="2162" t="inlineStr">
        <is>
          <t>Madeira</t>
        </is>
      </c>
      <c r="G399" s="2162" t="inlineStr">
        <is>
          <t>Madeira</t>
        </is>
      </c>
      <c r="H399" s="2162" t="n"/>
      <c r="I399" s="4" t="inlineStr">
        <is>
          <t>Madeira para Formas (Estrutura)</t>
        </is>
      </c>
    </row>
    <row r="400" ht="15.75" customHeight="1">
      <c r="A400" s="10">
        <f>COUNTIFS($B$2:$B$996,B400)</f>
        <v/>
      </c>
      <c r="B400" s="10" t="inlineStr">
        <is>
          <t>SARRAFO 2,5X10 CM PINUS*</t>
        </is>
      </c>
      <c r="C400" s="11" t="inlineStr">
        <is>
          <t>M3</t>
        </is>
      </c>
      <c r="D400" s="2162">
        <f>E400*$D$1</f>
        <v/>
      </c>
      <c r="E400" s="2162" t="n">
        <v>1050</v>
      </c>
      <c r="F400" s="2162" t="inlineStr">
        <is>
          <t>Madeira</t>
        </is>
      </c>
      <c r="G400" s="2162" t="inlineStr">
        <is>
          <t>Madeira</t>
        </is>
      </c>
      <c r="H400" s="2162" t="n"/>
      <c r="I400" s="4" t="inlineStr">
        <is>
          <t>Madeira para Formas (Estrutura)</t>
        </is>
      </c>
    </row>
    <row r="401" ht="15.75" customHeight="1">
      <c r="A401" s="10">
        <f>COUNTIFS($B$2:$B$996,B401)</f>
        <v/>
      </c>
      <c r="B401" s="10" t="inlineStr">
        <is>
          <t>TABUA *2,5 X 15 CM EM PINUS, MISTA OU EQUIVALENTE DA REGIAO - BRUTA</t>
        </is>
      </c>
      <c r="C401" s="11" t="inlineStr">
        <is>
          <t>M</t>
        </is>
      </c>
      <c r="D401" s="2162">
        <f>E401*$D$1</f>
        <v/>
      </c>
      <c r="E401" s="2162" t="n">
        <v>21.23</v>
      </c>
      <c r="F401" s="2162" t="inlineStr">
        <is>
          <t>Madeira</t>
        </is>
      </c>
      <c r="G401" s="2162" t="inlineStr">
        <is>
          <t>Madeira</t>
        </is>
      </c>
      <c r="H401" s="2162" t="n"/>
      <c r="I401" s="4" t="inlineStr">
        <is>
          <t>Madeira para Formas (Estrutura)</t>
        </is>
      </c>
    </row>
    <row r="402" ht="15.75" customHeight="1">
      <c r="A402" s="10">
        <f>COUNTIFS($B$2:$B$996,B402)</f>
        <v/>
      </c>
      <c r="B402" s="10" t="inlineStr">
        <is>
          <t>TABUA *2,5 X 30 CM EM PINUS, MISTA OU EQUIVALENTE DA REGIAO - BRUTA (M)</t>
        </is>
      </c>
      <c r="C402" s="11" t="inlineStr">
        <is>
          <t>M</t>
        </is>
      </c>
      <c r="D402" s="2162">
        <f>E402*$D$1</f>
        <v/>
      </c>
      <c r="E402" s="2162" t="n">
        <v>42.46</v>
      </c>
      <c r="F402" s="2162" t="inlineStr">
        <is>
          <t>Madeira</t>
        </is>
      </c>
      <c r="G402" s="2162" t="inlineStr">
        <is>
          <t>Madeira</t>
        </is>
      </c>
      <c r="H402" s="2162" t="n"/>
      <c r="I402" s="4" t="inlineStr">
        <is>
          <t>Madeira para Formas (Estrutura)</t>
        </is>
      </c>
    </row>
    <row r="403" ht="15.75" customHeight="1">
      <c r="A403" s="10">
        <f>COUNTIFS($B$2:$B$996,B403)</f>
        <v/>
      </c>
      <c r="B403" s="10" t="inlineStr">
        <is>
          <t>TABUA NAO APARELHADA *2,5 X 20* CM, EM MACARANDUBA/MASSARANDUBA, ANGELIM OU EQUIVALENTE DA REGIAO - BRUTA</t>
        </is>
      </c>
      <c r="C403" s="11" t="inlineStr">
        <is>
          <t>M</t>
        </is>
      </c>
      <c r="D403" s="2162">
        <f>E403*$D$1</f>
        <v/>
      </c>
      <c r="E403" s="2162" t="n">
        <v>42.46</v>
      </c>
      <c r="F403" s="2162" t="inlineStr">
        <is>
          <t>Madeira</t>
        </is>
      </c>
      <c r="G403" s="2162" t="inlineStr">
        <is>
          <t>Madeira</t>
        </is>
      </c>
      <c r="H403" s="2162" t="n"/>
      <c r="I403" s="4" t="inlineStr">
        <is>
          <t>Madeira para Formas (Estrutura)</t>
        </is>
      </c>
    </row>
    <row r="404" ht="15.75" customHeight="1">
      <c r="A404" s="10">
        <f>COUNTIFS($B$2:$B$996,B404)</f>
        <v/>
      </c>
      <c r="B404" s="10" t="inlineStr">
        <is>
          <t xml:space="preserve">Viga de Sustentação para pergolado em madeira </t>
        </is>
      </c>
      <c r="C404" s="11" t="inlineStr">
        <is>
          <t>UN</t>
        </is>
      </c>
      <c r="D404" s="2162">
        <f>E404*$D$1</f>
        <v/>
      </c>
      <c r="E404" s="2162" t="n">
        <v>3300</v>
      </c>
      <c r="F404" s="2162" t="inlineStr">
        <is>
          <t>Madeira</t>
        </is>
      </c>
      <c r="G404" s="2162" t="inlineStr">
        <is>
          <t>Telhados</t>
        </is>
      </c>
      <c r="H404" s="2162" t="n"/>
      <c r="I404" s="4" t="inlineStr">
        <is>
          <t>Madeira para Telhado</t>
        </is>
      </c>
    </row>
    <row r="405" ht="15.75" customHeight="1">
      <c r="A405" s="10">
        <f>COUNTIFS($B$2:$B$996,B405)</f>
        <v/>
      </c>
      <c r="B405" s="10" t="inlineStr">
        <is>
          <t>VIGA NAO APARELHADA *6 X 12* CM, EM MACARANDUBA/MASSARANDUBA, ANGELIM OU EQUIVALENTE DA REGIAO - BRUTA</t>
        </is>
      </c>
      <c r="C405" s="11" t="inlineStr">
        <is>
          <t>M</t>
        </is>
      </c>
      <c r="D405" s="2162">
        <f>E405*$D$1</f>
        <v/>
      </c>
      <c r="E405" s="2162" t="n">
        <v>62.4</v>
      </c>
      <c r="F405" s="2162" t="inlineStr">
        <is>
          <t>Madeira</t>
        </is>
      </c>
      <c r="G405" s="2162" t="inlineStr">
        <is>
          <t>Telhados</t>
        </is>
      </c>
      <c r="H405" s="2162" t="n"/>
      <c r="I405" s="4" t="inlineStr">
        <is>
          <t>Madeira para Telhado</t>
        </is>
      </c>
    </row>
    <row r="406" ht="15.75" customHeight="1">
      <c r="A406" s="10">
        <f>COUNTIFS($B$2:$B$996,B406)</f>
        <v/>
      </c>
      <c r="B406" s="10" t="inlineStr">
        <is>
          <t>Meio Oficial 1</t>
        </is>
      </c>
      <c r="C406" s="11" t="inlineStr">
        <is>
          <t>MÊS</t>
        </is>
      </c>
      <c r="D406" s="2162">
        <f>E406*$D$1</f>
        <v/>
      </c>
      <c r="E406" s="2162" t="n">
        <v>3400</v>
      </c>
      <c r="F406" s="2162" t="inlineStr">
        <is>
          <t xml:space="preserve">Mão de obra </t>
        </is>
      </c>
      <c r="G406" s="2162" t="inlineStr">
        <is>
          <t xml:space="preserve">Mão de obra </t>
        </is>
      </c>
      <c r="H406" s="2162" t="n"/>
      <c r="I406" s="4" t="inlineStr">
        <is>
          <t>Mão de Obra Própria</t>
        </is>
      </c>
    </row>
    <row r="407" ht="15.75" customHeight="1">
      <c r="A407" s="10">
        <f>COUNTIFS($B$2:$B$996,B407)</f>
        <v/>
      </c>
      <c r="B407" s="10" t="inlineStr">
        <is>
          <t>Mestre 1</t>
        </is>
      </c>
      <c r="C407" s="11" t="inlineStr">
        <is>
          <t>MÊS</t>
        </is>
      </c>
      <c r="D407" s="2162">
        <f>E407*$D$1</f>
        <v/>
      </c>
      <c r="E407" s="2162" t="n">
        <v>4550</v>
      </c>
      <c r="F407" s="2162" t="inlineStr">
        <is>
          <t xml:space="preserve">Mão de obra </t>
        </is>
      </c>
      <c r="G407" s="2162" t="inlineStr">
        <is>
          <t xml:space="preserve">Mão de obra </t>
        </is>
      </c>
      <c r="H407" s="2162" t="n"/>
      <c r="I407" s="4" t="inlineStr">
        <is>
          <t>Mão de Obra Própria</t>
        </is>
      </c>
    </row>
    <row r="408" ht="15.75" customHeight="1">
      <c r="A408" s="10">
        <f>COUNTIFS($B$2:$B$996,B408)</f>
        <v/>
      </c>
      <c r="B408" s="10" t="inlineStr">
        <is>
          <t>Mestre 2</t>
        </is>
      </c>
      <c r="C408" s="11" t="inlineStr">
        <is>
          <t>MÊS</t>
        </is>
      </c>
      <c r="D408" s="2162">
        <f>E408*$D$1</f>
        <v/>
      </c>
      <c r="E408" s="2162" t="n">
        <v>6500</v>
      </c>
      <c r="F408" s="2162" t="inlineStr">
        <is>
          <t xml:space="preserve">Mão de obra </t>
        </is>
      </c>
      <c r="G408" s="2162" t="inlineStr">
        <is>
          <t xml:space="preserve">Mão de obra </t>
        </is>
      </c>
      <c r="H408" s="2162" t="n"/>
      <c r="I408" s="4" t="inlineStr">
        <is>
          <t>Mão de Obra Própria</t>
        </is>
      </c>
    </row>
    <row r="409" ht="15.75" customHeight="1">
      <c r="A409" s="10">
        <f>COUNTIFS($B$2:$B$996,B409)</f>
        <v/>
      </c>
      <c r="B409" s="10" t="inlineStr">
        <is>
          <t>Oficial 1</t>
        </is>
      </c>
      <c r="C409" s="11" t="inlineStr">
        <is>
          <t>MÊS</t>
        </is>
      </c>
      <c r="D409" s="2162">
        <f>E409*$D$1</f>
        <v/>
      </c>
      <c r="E409" s="2162" t="n">
        <v>4200</v>
      </c>
      <c r="F409" s="2162" t="inlineStr">
        <is>
          <t xml:space="preserve">Mão de obra </t>
        </is>
      </c>
      <c r="G409" s="2162" t="inlineStr">
        <is>
          <t xml:space="preserve">Mão de obra </t>
        </is>
      </c>
      <c r="H409" s="2162" t="n"/>
      <c r="I409" s="4" t="inlineStr">
        <is>
          <t>Mão de Obra Própria</t>
        </is>
      </c>
    </row>
    <row r="410" ht="15.75" customHeight="1">
      <c r="A410" s="10">
        <f>COUNTIFS($B$2:$B$996,B410)</f>
        <v/>
      </c>
      <c r="B410" s="10" t="inlineStr">
        <is>
          <t>Oficial 2</t>
        </is>
      </c>
      <c r="C410" s="11" t="inlineStr">
        <is>
          <t>MÊS</t>
        </is>
      </c>
      <c r="D410" s="2162">
        <f>E410*$D$1</f>
        <v/>
      </c>
      <c r="E410" s="2162" t="n">
        <v>3000</v>
      </c>
      <c r="F410" s="2162" t="inlineStr">
        <is>
          <t xml:space="preserve">Mão de obra </t>
        </is>
      </c>
      <c r="G410" s="2162" t="inlineStr">
        <is>
          <t xml:space="preserve">Mão de obra </t>
        </is>
      </c>
      <c r="H410" s="2162" t="n"/>
      <c r="I410" s="4" t="inlineStr">
        <is>
          <t>Mão de Obra Própria</t>
        </is>
      </c>
    </row>
    <row r="411" ht="15.75" customHeight="1">
      <c r="A411" s="10">
        <f>COUNTIFS($B$2:$B$996,B411)</f>
        <v/>
      </c>
      <c r="B411" s="10" t="inlineStr">
        <is>
          <t>Operador de máquina 1</t>
        </is>
      </c>
      <c r="C411" s="11" t="inlineStr">
        <is>
          <t>MÊS</t>
        </is>
      </c>
      <c r="D411" s="2162">
        <f>E411*$D$1</f>
        <v/>
      </c>
      <c r="E411" s="2162" t="n">
        <v>4000</v>
      </c>
      <c r="F411" s="2162" t="inlineStr">
        <is>
          <t xml:space="preserve">Mão de obra </t>
        </is>
      </c>
      <c r="G411" s="2162" t="inlineStr">
        <is>
          <t xml:space="preserve">Mão de obra </t>
        </is>
      </c>
      <c r="H411" s="2162" t="n"/>
      <c r="I411" s="4" t="inlineStr">
        <is>
          <t>Mão de Obra Própria</t>
        </is>
      </c>
    </row>
    <row r="412" ht="15.75" customHeight="1">
      <c r="A412" s="10">
        <f>COUNTIFS($B$2:$B$996,B412)</f>
        <v/>
      </c>
      <c r="B412" s="10" t="inlineStr">
        <is>
          <t>Operador de máquina 2</t>
        </is>
      </c>
      <c r="C412" s="11" t="inlineStr">
        <is>
          <t>MÊS</t>
        </is>
      </c>
      <c r="D412" s="2162">
        <f>E412*$D$1</f>
        <v/>
      </c>
      <c r="E412" s="2162" t="n">
        <v>3450</v>
      </c>
      <c r="F412" s="2162" t="inlineStr">
        <is>
          <t xml:space="preserve">Mão de obra </t>
        </is>
      </c>
      <c r="G412" s="2162" t="inlineStr">
        <is>
          <t xml:space="preserve">Mão de obra </t>
        </is>
      </c>
      <c r="H412" s="2162" t="n"/>
      <c r="I412" s="4" t="inlineStr">
        <is>
          <t>Mão de Obra Própria</t>
        </is>
      </c>
    </row>
    <row r="413" ht="15.75" customHeight="1">
      <c r="A413" s="10">
        <f>COUNTIFS($B$2:$B$996,B413)</f>
        <v/>
      </c>
      <c r="B413" s="10" t="inlineStr">
        <is>
          <t>Operador de máquina 3</t>
        </is>
      </c>
      <c r="C413" s="11" t="inlineStr">
        <is>
          <t>MÊS</t>
        </is>
      </c>
      <c r="D413" s="2162">
        <f>E413*$D$1</f>
        <v/>
      </c>
      <c r="E413" s="2162" t="n">
        <v>5000</v>
      </c>
      <c r="F413" s="2162" t="inlineStr">
        <is>
          <t xml:space="preserve">Mão de obra </t>
        </is>
      </c>
      <c r="G413" s="2162" t="inlineStr">
        <is>
          <t xml:space="preserve">Mão de obra </t>
        </is>
      </c>
      <c r="H413" s="2162" t="n"/>
      <c r="I413" s="4" t="inlineStr">
        <is>
          <t>Mão de Obra Própria</t>
        </is>
      </c>
    </row>
    <row r="414" ht="15.75" customHeight="1">
      <c r="A414" s="10">
        <f>COUNTIFS($B$2:$B$996,B414)</f>
        <v/>
      </c>
      <c r="B414" s="10" t="inlineStr">
        <is>
          <t>Operador de máquina 4</t>
        </is>
      </c>
      <c r="C414" s="11" t="inlineStr">
        <is>
          <t>MÊS</t>
        </is>
      </c>
      <c r="D414" s="2162">
        <f>E414*$D$1</f>
        <v/>
      </c>
      <c r="E414" s="2162" t="n">
        <v>3000</v>
      </c>
      <c r="F414" s="2162" t="inlineStr">
        <is>
          <t xml:space="preserve">Mão de obra </t>
        </is>
      </c>
      <c r="G414" s="2162" t="inlineStr">
        <is>
          <t xml:space="preserve">Mão de obra </t>
        </is>
      </c>
      <c r="H414" s="2162" t="n"/>
      <c r="I414" s="4" t="inlineStr">
        <is>
          <t>Mão de Obra Própria</t>
        </is>
      </c>
    </row>
    <row r="415" ht="15.75" customHeight="1">
      <c r="A415" s="10">
        <f>COUNTIFS($B$2:$B$996,B415)</f>
        <v/>
      </c>
      <c r="B415" s="10" t="inlineStr">
        <is>
          <t>Operador de máquina 5</t>
        </is>
      </c>
      <c r="C415" s="11" t="inlineStr">
        <is>
          <t>MÊS</t>
        </is>
      </c>
      <c r="D415" s="2162">
        <f>E415*$D$1</f>
        <v/>
      </c>
      <c r="E415" s="2162" t="n">
        <v>2400</v>
      </c>
      <c r="F415" s="2162" t="inlineStr">
        <is>
          <t xml:space="preserve">Mão de obra </t>
        </is>
      </c>
      <c r="G415" s="2162" t="inlineStr">
        <is>
          <t xml:space="preserve">Mão de obra </t>
        </is>
      </c>
      <c r="H415" s="2162" t="n"/>
      <c r="I415" s="4" t="inlineStr">
        <is>
          <t>Mão de Obra Própria</t>
        </is>
      </c>
    </row>
    <row r="416" ht="15.75" customHeight="1">
      <c r="A416" s="10">
        <f>COUNTIFS($B$2:$B$996,B416)</f>
        <v/>
      </c>
      <c r="B416" s="10" t="inlineStr">
        <is>
          <t>Ajudante 1</t>
        </is>
      </c>
      <c r="C416" s="11" t="inlineStr">
        <is>
          <t>MÊS</t>
        </is>
      </c>
      <c r="D416" s="2162">
        <f>E416*$D$1</f>
        <v/>
      </c>
      <c r="E416" s="2162" t="n">
        <v>2400</v>
      </c>
      <c r="F416" s="2162" t="inlineStr">
        <is>
          <t xml:space="preserve">Mão de obra </t>
        </is>
      </c>
      <c r="G416" s="2162" t="inlineStr">
        <is>
          <t>Mão de obra própria</t>
        </is>
      </c>
      <c r="H416" s="2162" t="n"/>
      <c r="I416" s="4" t="inlineStr">
        <is>
          <t>Mão de Obra Própria</t>
        </is>
      </c>
    </row>
    <row r="417" ht="15.75" customHeight="1">
      <c r="A417" s="10">
        <f>COUNTIFS($B$2:$B$996,B417)</f>
        <v/>
      </c>
      <c r="B417" s="10" t="inlineStr">
        <is>
          <t>Adesivo Acrilico De Base Aquosa / Cola De Contato</t>
        </is>
      </c>
      <c r="C417" s="11" t="inlineStr">
        <is>
          <t>KG</t>
        </is>
      </c>
      <c r="D417" s="2162">
        <f>E417*$D$1</f>
        <v/>
      </c>
      <c r="E417" s="2162" t="n">
        <v>25.11</v>
      </c>
      <c r="F417" s="2162" t="inlineStr">
        <is>
          <t>Materiais complementares</t>
        </is>
      </c>
      <c r="G417" s="2162" t="inlineStr">
        <is>
          <t>Diversos</t>
        </is>
      </c>
      <c r="H417" s="2162" t="n"/>
      <c r="I417" s="4" t="inlineStr">
        <is>
          <t>Aditivos, Colas e Similares</t>
        </is>
      </c>
    </row>
    <row r="418" ht="15.75" customHeight="1">
      <c r="A418" s="10">
        <f>COUNTIFS($B$2:$B$996,B418)</f>
        <v/>
      </c>
      <c r="B418" s="10" t="inlineStr">
        <is>
          <t>ADESIVO DE BASE ACRÍLICA COMPATÍVEL COM CIMENTO</t>
        </is>
      </c>
      <c r="C418" s="11" t="inlineStr">
        <is>
          <t>KG</t>
        </is>
      </c>
      <c r="D418" s="2162">
        <f>E418*$D$1</f>
        <v/>
      </c>
      <c r="E418" s="2162" t="n">
        <v>22.95611111111111</v>
      </c>
      <c r="F418" s="2162" t="inlineStr">
        <is>
          <t>Materiais complementares</t>
        </is>
      </c>
      <c r="G418" s="2162" t="inlineStr">
        <is>
          <t>Diversos</t>
        </is>
      </c>
      <c r="H418" s="2162" t="n"/>
      <c r="I418" s="4" t="inlineStr">
        <is>
          <t>Aditivos, Colas e Similares</t>
        </is>
      </c>
    </row>
    <row r="419" ht="15.75" customHeight="1">
      <c r="A419" s="10">
        <f>COUNTIFS($B$2:$B$996,B419)</f>
        <v/>
      </c>
      <c r="B419" s="10" t="inlineStr">
        <is>
          <t>Aditivo Adesivo Liquido Para Impermeabilização</t>
        </is>
      </c>
      <c r="C419" s="11" t="inlineStr">
        <is>
          <t>L</t>
        </is>
      </c>
      <c r="D419" s="2162">
        <f>E419*$D$1</f>
        <v/>
      </c>
      <c r="E419" s="2162" t="n">
        <v>66.66666666666667</v>
      </c>
      <c r="F419" s="2162" t="inlineStr">
        <is>
          <t>Materiais complementares</t>
        </is>
      </c>
      <c r="G419" s="2162" t="inlineStr">
        <is>
          <t>Diversos</t>
        </is>
      </c>
      <c r="H419" s="2162" t="n"/>
      <c r="I419" s="4" t="inlineStr">
        <is>
          <t>Aditivos, Colas e Similares</t>
        </is>
      </c>
    </row>
    <row r="420" ht="15.75" customHeight="1">
      <c r="A420" s="10">
        <f>COUNTIFS($B$2:$B$996,B420)</f>
        <v/>
      </c>
      <c r="B420" s="10" t="inlineStr">
        <is>
          <t>Aditivo Adesivo Liquido Para Argamassas De Revestimentos Cimenticios</t>
        </is>
      </c>
      <c r="C420" s="11" t="inlineStr">
        <is>
          <t>L</t>
        </is>
      </c>
      <c r="D420" s="2162">
        <f>E420*$D$1</f>
        <v/>
      </c>
      <c r="E420" s="2162" t="n">
        <v>19.34</v>
      </c>
      <c r="F420" s="2162" t="inlineStr">
        <is>
          <t>Materiais complementares</t>
        </is>
      </c>
      <c r="G420" s="2162" t="inlineStr">
        <is>
          <t>Diversos</t>
        </is>
      </c>
      <c r="H420" s="2162" t="n"/>
      <c r="I420" s="4" t="inlineStr">
        <is>
          <t>Aditivos, Colas e Similares</t>
        </is>
      </c>
    </row>
    <row r="421" ht="15.75" customHeight="1">
      <c r="A421" s="10">
        <f>COUNTIFS($B$2:$B$996,B421)</f>
        <v/>
      </c>
      <c r="B421" s="10" t="inlineStr">
        <is>
          <t xml:space="preserve">Aditivo Bianco Adesivo Argamassa Chapisco </t>
        </is>
      </c>
      <c r="C421" s="11" t="inlineStr">
        <is>
          <t>KG</t>
        </is>
      </c>
      <c r="D421" s="2162">
        <f>E421*$D$1</f>
        <v/>
      </c>
      <c r="E421" s="2162" t="n">
        <v>11.2295</v>
      </c>
      <c r="F421" s="2162" t="inlineStr">
        <is>
          <t>Materiais complementares</t>
        </is>
      </c>
      <c r="G421" s="2162" t="inlineStr">
        <is>
          <t>Diversos</t>
        </is>
      </c>
      <c r="H421" s="2162" t="n"/>
      <c r="I421" s="4" t="inlineStr">
        <is>
          <t>Aditivos, Colas e Similares</t>
        </is>
      </c>
    </row>
    <row r="422" ht="15.75" customHeight="1">
      <c r="A422" s="10">
        <f>COUNTIFS($B$2:$B$996,B422)</f>
        <v/>
      </c>
      <c r="B422" s="10" t="inlineStr">
        <is>
          <t>ADITIVO EXPANSOR EM PÓ</t>
        </is>
      </c>
      <c r="C422" s="11" t="inlineStr">
        <is>
          <t>KG</t>
        </is>
      </c>
      <c r="D422" s="2162">
        <f>E422*$D$1</f>
        <v/>
      </c>
      <c r="E422" s="2162" t="n">
        <v>190</v>
      </c>
      <c r="F422" s="2162" t="inlineStr">
        <is>
          <t>Materiais complementares</t>
        </is>
      </c>
      <c r="G422" s="2162" t="inlineStr">
        <is>
          <t>Diversos</t>
        </is>
      </c>
      <c r="H422" s="2162" t="n"/>
      <c r="I422" s="4" t="inlineStr">
        <is>
          <t>Aditivos, Colas e Similares</t>
        </is>
      </c>
    </row>
    <row r="423" ht="15.75" customHeight="1">
      <c r="A423" s="10">
        <f>COUNTIFS($B$2:$B$996,B423)</f>
        <v/>
      </c>
      <c r="B423" s="10" t="inlineStr">
        <is>
          <t>BANNER LONA VINILICA</t>
        </is>
      </c>
      <c r="C423" s="11" t="inlineStr">
        <is>
          <t>UN</t>
        </is>
      </c>
      <c r="D423" s="2162">
        <f>E423*$D$1</f>
        <v/>
      </c>
      <c r="E423" s="2162" t="n">
        <v>1052.11</v>
      </c>
      <c r="F423" s="2162" t="inlineStr">
        <is>
          <t>Materiais complementares</t>
        </is>
      </c>
      <c r="G423" s="2162" t="inlineStr">
        <is>
          <t>Diversos</t>
        </is>
      </c>
      <c r="H423" s="2162" t="n"/>
      <c r="I423" s="4" t="inlineStr">
        <is>
          <t>Diversos</t>
        </is>
      </c>
    </row>
    <row r="424" ht="15.75" customHeight="1">
      <c r="A424" s="10">
        <f>COUNTIFS($B$2:$B$996,B424)</f>
        <v/>
      </c>
      <c r="B424" s="10" t="inlineStr">
        <is>
          <t>CARTUCHO/MUNIÇÃO FINCAPINO 22</t>
        </is>
      </c>
      <c r="C424" s="11" t="inlineStr">
        <is>
          <t>UN</t>
        </is>
      </c>
      <c r="D424" s="2162">
        <f>E424*$D$1</f>
        <v/>
      </c>
      <c r="E424" s="2162" t="n">
        <v>0.37</v>
      </c>
      <c r="F424" s="2162" t="inlineStr">
        <is>
          <t>Materiais complementares</t>
        </is>
      </c>
      <c r="G424" s="2162" t="inlineStr">
        <is>
          <t>Diversos</t>
        </is>
      </c>
      <c r="H424" s="2162" t="n"/>
      <c r="I424" s="4" t="inlineStr">
        <is>
          <t>Diversos</t>
        </is>
      </c>
    </row>
    <row r="425" ht="15.75" customHeight="1">
      <c r="A425" s="10">
        <f>COUNTIFS($B$2:$B$996,B425)</f>
        <v/>
      </c>
      <c r="B425" s="10" t="inlineStr">
        <is>
          <t>CHUMBADOR PARABOLT ACO CARBONO CBA 1/2"X75MM</t>
        </is>
      </c>
      <c r="C425" s="11" t="inlineStr">
        <is>
          <t>UN</t>
        </is>
      </c>
      <c r="D425" s="2162">
        <f>E425*$D$1</f>
        <v/>
      </c>
      <c r="E425" s="2162" t="n">
        <v>5.3</v>
      </c>
      <c r="F425" s="2162" t="inlineStr">
        <is>
          <t>Materiais complementares</t>
        </is>
      </c>
      <c r="G425" s="2162" t="inlineStr">
        <is>
          <t>Diversos</t>
        </is>
      </c>
      <c r="H425" s="2162" t="n"/>
      <c r="I425" s="4" t="inlineStr">
        <is>
          <t>Diversos</t>
        </is>
      </c>
    </row>
    <row r="426" ht="15.75" customHeight="1">
      <c r="A426" s="10">
        <f>COUNTIFS($B$2:$B$996,B426)</f>
        <v/>
      </c>
      <c r="B426" s="10" t="inlineStr">
        <is>
          <t>CLIPS PARA CABO DE AÇO 5/16</t>
        </is>
      </c>
      <c r="C426" s="11" t="inlineStr">
        <is>
          <t>UN</t>
        </is>
      </c>
      <c r="D426" s="2162">
        <f>E426*$D$1</f>
        <v/>
      </c>
      <c r="E426" s="2162" t="n">
        <v>1.7</v>
      </c>
      <c r="F426" s="2162" t="inlineStr">
        <is>
          <t>Materiais complementares</t>
        </is>
      </c>
      <c r="G426" s="2162" t="inlineStr">
        <is>
          <t>Diversos</t>
        </is>
      </c>
      <c r="H426" s="2162" t="n"/>
      <c r="I426" s="4" t="inlineStr">
        <is>
          <t>Diversos</t>
        </is>
      </c>
    </row>
    <row r="427" ht="15.75" customHeight="1">
      <c r="A427" s="10">
        <f>COUNTIFS($B$2:$B$996,B427)</f>
        <v/>
      </c>
      <c r="B427" s="10" t="inlineStr">
        <is>
          <t>Cola Branca base PVA</t>
        </is>
      </c>
      <c r="C427" s="11" t="inlineStr">
        <is>
          <t>KG</t>
        </is>
      </c>
      <c r="D427" s="2162">
        <f>E427*$D$1</f>
        <v/>
      </c>
      <c r="E427" s="2162" t="n">
        <v>29.13</v>
      </c>
      <c r="F427" s="2162" t="inlineStr">
        <is>
          <t>Materiais complementares</t>
        </is>
      </c>
      <c r="G427" s="2162" t="inlineStr">
        <is>
          <t>Diversos</t>
        </is>
      </c>
      <c r="H427" s="2162" t="n"/>
      <c r="I427" s="4" t="inlineStr">
        <is>
          <t>Diversos</t>
        </is>
      </c>
    </row>
    <row r="428" ht="15.75" customHeight="1">
      <c r="A428" s="10">
        <f>COUNTIFS($B$2:$B$996,B428)</f>
        <v/>
      </c>
      <c r="B428" s="10" t="inlineStr">
        <is>
          <t>PU Fix Branco Cartucho 387 Gramas/280 ML</t>
        </is>
      </c>
      <c r="C428" s="11" t="inlineStr">
        <is>
          <t>UN</t>
        </is>
      </c>
      <c r="D428" s="2162">
        <f>E428*$D$1</f>
        <v/>
      </c>
      <c r="E428" s="2162" t="n">
        <v>19.9</v>
      </c>
      <c r="F428" s="2162" t="inlineStr">
        <is>
          <t>Materiais complementares</t>
        </is>
      </c>
      <c r="G428" s="2162" t="inlineStr">
        <is>
          <t>Diversos</t>
        </is>
      </c>
      <c r="H428" s="2162" t="n"/>
      <c r="I428" s="4" t="inlineStr">
        <is>
          <t>Diversos</t>
        </is>
      </c>
    </row>
    <row r="429" ht="15.75" customHeight="1">
      <c r="A429" s="10">
        <f>COUNTIFS($B$2:$B$996,B429)</f>
        <v/>
      </c>
      <c r="B429" s="10" t="inlineStr">
        <is>
          <t>Cola Extra Forte AC6000-400G</t>
        </is>
      </c>
      <c r="C429" s="11" t="inlineStr">
        <is>
          <t>UN</t>
        </is>
      </c>
      <c r="D429" s="2162">
        <f>E429*$D$1</f>
        <v/>
      </c>
      <c r="E429" s="2162" t="n">
        <v>75</v>
      </c>
      <c r="F429" s="2162" t="inlineStr">
        <is>
          <t>Materiais complementares</t>
        </is>
      </c>
      <c r="G429" s="2162" t="inlineStr">
        <is>
          <t>Diversos</t>
        </is>
      </c>
      <c r="H429" s="2162" t="n"/>
      <c r="I429" s="4" t="inlineStr">
        <is>
          <t>Aditivos, Colas e Similares</t>
        </is>
      </c>
    </row>
    <row r="430" ht="15.75" customHeight="1">
      <c r="A430" s="10">
        <f>COUNTIFS($B$2:$B$996,B430)</f>
        <v/>
      </c>
      <c r="B430" s="10" t="inlineStr">
        <is>
          <t>Espuma Expansiva de PU 740 gramas</t>
        </is>
      </c>
      <c r="C430" s="11" t="inlineStr">
        <is>
          <t>un</t>
        </is>
      </c>
      <c r="D430" s="2162">
        <f>E430*$D$1</f>
        <v/>
      </c>
      <c r="E430" s="2162" t="n">
        <v>55</v>
      </c>
      <c r="F430" s="2162" t="inlineStr">
        <is>
          <t>Materiais complementares</t>
        </is>
      </c>
      <c r="G430" s="2162" t="inlineStr">
        <is>
          <t>Diversos</t>
        </is>
      </c>
      <c r="H430" s="2162" t="n"/>
      <c r="I430" s="4" t="inlineStr">
        <is>
          <t>Diversos</t>
        </is>
      </c>
    </row>
    <row r="431" ht="15.75" customHeight="1">
      <c r="A431" s="10">
        <f>COUNTIFS($B$2:$B$996,B431)</f>
        <v/>
      </c>
      <c r="B431" s="10" t="inlineStr">
        <is>
          <t>Fita Crepe Rolo De 25 Mm X 50 M</t>
        </is>
      </c>
      <c r="C431" s="11" t="inlineStr">
        <is>
          <t>UN</t>
        </is>
      </c>
      <c r="D431" s="2162">
        <f>E431*$D$1</f>
        <v/>
      </c>
      <c r="E431" s="2162" t="n">
        <v>11.26</v>
      </c>
      <c r="F431" s="2162" t="inlineStr">
        <is>
          <t>Materiais complementares</t>
        </is>
      </c>
      <c r="G431" s="2162" t="inlineStr">
        <is>
          <t>Diversos</t>
        </is>
      </c>
      <c r="H431" s="2162" t="n"/>
      <c r="I431" s="4" t="inlineStr">
        <is>
          <t>Diversos</t>
        </is>
      </c>
    </row>
    <row r="432" ht="15.75" customHeight="1">
      <c r="A432" s="10">
        <f>COUNTIFS($B$2:$B$996,B432)</f>
        <v/>
      </c>
      <c r="B432" s="10" t="inlineStr">
        <is>
          <t>Thiner</t>
        </is>
      </c>
      <c r="C432" s="11" t="inlineStr">
        <is>
          <t>L</t>
        </is>
      </c>
      <c r="D432" s="2162">
        <f>E432*$D$1</f>
        <v/>
      </c>
      <c r="E432" s="2162" t="n">
        <v>13.5</v>
      </c>
      <c r="F432" s="2162" t="inlineStr">
        <is>
          <t>Materiais complementares</t>
        </is>
      </c>
      <c r="G432" s="2162" t="inlineStr">
        <is>
          <t>Diversos</t>
        </is>
      </c>
      <c r="H432" s="2162" t="n"/>
      <c r="I432" s="4" t="inlineStr">
        <is>
          <t>Diversos</t>
        </is>
      </c>
    </row>
    <row r="433" ht="15.75" customHeight="1">
      <c r="A433" s="10">
        <f>COUNTIFS($B$2:$B$996,B433)</f>
        <v/>
      </c>
      <c r="B433" s="10" t="inlineStr">
        <is>
          <t>Pacote de Estopa</t>
        </is>
      </c>
      <c r="C433" s="11" t="inlineStr">
        <is>
          <t>UN</t>
        </is>
      </c>
      <c r="D433" s="2162">
        <f>E433*$D$1</f>
        <v/>
      </c>
      <c r="E433" s="2162" t="n">
        <v>6.9</v>
      </c>
      <c r="F433" s="2162" t="inlineStr">
        <is>
          <t>Materiais complementares</t>
        </is>
      </c>
      <c r="G433" s="2162" t="inlineStr">
        <is>
          <t>Diversos</t>
        </is>
      </c>
      <c r="H433" s="2162" t="n"/>
      <c r="I433" s="4" t="inlineStr">
        <is>
          <t>Diversos</t>
        </is>
      </c>
    </row>
    <row r="434" ht="15.75" customHeight="1">
      <c r="A434" s="10">
        <f>COUNTIFS($B$2:$B$996,B434)</f>
        <v/>
      </c>
      <c r="B434" s="10" t="inlineStr">
        <is>
          <t>Cloro para Limpeza</t>
        </is>
      </c>
      <c r="C434" s="11" t="inlineStr">
        <is>
          <t>L</t>
        </is>
      </c>
      <c r="D434" s="2162">
        <f>E434*$D$1</f>
        <v/>
      </c>
      <c r="E434" s="2162" t="n">
        <v>6.4</v>
      </c>
      <c r="F434" s="2162" t="inlineStr">
        <is>
          <t>Materiais complementares</t>
        </is>
      </c>
      <c r="G434" s="2162" t="inlineStr">
        <is>
          <t>Diversos</t>
        </is>
      </c>
      <c r="H434" s="2162" t="n"/>
      <c r="I434" s="4" t="inlineStr">
        <is>
          <t>Diversos</t>
        </is>
      </c>
    </row>
    <row r="435" ht="15.75" customHeight="1">
      <c r="A435" s="10">
        <f>COUNTIFS($B$2:$B$996,B435)</f>
        <v/>
      </c>
      <c r="B435" s="10" t="inlineStr">
        <is>
          <t>Disco de lixa (Diametro 225mm) - Grão 180</t>
        </is>
      </c>
      <c r="C435" s="11" t="inlineStr">
        <is>
          <t>UN</t>
        </is>
      </c>
      <c r="D435" s="2162">
        <f>E435*$D$1</f>
        <v/>
      </c>
      <c r="E435" s="2162" t="n">
        <v>5.989</v>
      </c>
      <c r="F435" s="2162" t="inlineStr">
        <is>
          <t>Materiais complementares</t>
        </is>
      </c>
      <c r="G435" s="2162" t="inlineStr">
        <is>
          <t>Diversos</t>
        </is>
      </c>
      <c r="H435" s="2162" t="n"/>
      <c r="I435" s="4" t="inlineStr">
        <is>
          <t>Diversos</t>
        </is>
      </c>
    </row>
    <row r="436" ht="15.75" customHeight="1">
      <c r="A436" s="10">
        <f>COUNTIFS($B$2:$B$996,B436)</f>
        <v/>
      </c>
      <c r="B436" s="10" t="inlineStr">
        <is>
          <t>Disco de lixa telado (Diâmetro 225mm) - Grão 220</t>
        </is>
      </c>
      <c r="C436" s="11" t="inlineStr">
        <is>
          <t>UN</t>
        </is>
      </c>
      <c r="D436" s="2162">
        <f>E436*$D$1</f>
        <v/>
      </c>
      <c r="E436" s="2162" t="n">
        <v>5.25</v>
      </c>
      <c r="F436" s="2162" t="inlineStr">
        <is>
          <t>Materiais complementares</t>
        </is>
      </c>
      <c r="G436" s="2162" t="inlineStr">
        <is>
          <t>Diversos</t>
        </is>
      </c>
      <c r="H436" s="2162" t="n"/>
      <c r="I436" s="4" t="inlineStr">
        <is>
          <t>Diversos</t>
        </is>
      </c>
    </row>
    <row r="437" ht="15.75" customHeight="1">
      <c r="A437" s="10">
        <f>COUNTIFS($B$2:$B$996,B437)</f>
        <v/>
      </c>
      <c r="B437" s="10" t="inlineStr">
        <is>
          <t>Fita Crepe 50mm x 50mt Azul</t>
        </is>
      </c>
      <c r="C437" s="11" t="inlineStr">
        <is>
          <t>UN</t>
        </is>
      </c>
      <c r="D437" s="2162">
        <f>E437*$D$1</f>
        <v/>
      </c>
      <c r="E437" s="2162" t="n">
        <v>36.9</v>
      </c>
      <c r="F437" s="2162" t="inlineStr">
        <is>
          <t>Materiais complementares</t>
        </is>
      </c>
      <c r="G437" s="2162" t="inlineStr">
        <is>
          <t>Diversos</t>
        </is>
      </c>
      <c r="H437" s="2162" t="n"/>
      <c r="I437" s="4" t="inlineStr">
        <is>
          <t>Diversos</t>
        </is>
      </c>
    </row>
    <row r="438" ht="15.75" customHeight="1">
      <c r="A438" s="10">
        <f>COUNTIFS($B$2:$B$996,B438)</f>
        <v/>
      </c>
      <c r="B438" s="10" t="inlineStr">
        <is>
          <t>LIXA DAGUA 225X275MM GR100</t>
        </is>
      </c>
      <c r="C438" s="11" t="inlineStr">
        <is>
          <t>UN</t>
        </is>
      </c>
      <c r="D438" s="2162">
        <f>E438*$D$1</f>
        <v/>
      </c>
      <c r="E438" s="2162" t="n">
        <v>1.89</v>
      </c>
      <c r="F438" s="2162" t="inlineStr">
        <is>
          <t>Materiais complementares</t>
        </is>
      </c>
      <c r="G438" s="2162" t="inlineStr">
        <is>
          <t>Diversos</t>
        </is>
      </c>
      <c r="H438" s="2162" t="n"/>
      <c r="I438" s="4" t="inlineStr">
        <is>
          <t>Diversos</t>
        </is>
      </c>
    </row>
    <row r="439" ht="15.75" customHeight="1">
      <c r="A439" s="10">
        <f>COUNTIFS($B$2:$B$996,B439)</f>
        <v/>
      </c>
      <c r="B439" s="10" t="inlineStr">
        <is>
          <t>LIXA EM FOLHA PARA FERRO, NÚMERO 100</t>
        </is>
      </c>
      <c r="C439" s="11" t="inlineStr">
        <is>
          <t>UN</t>
        </is>
      </c>
      <c r="D439" s="2162">
        <f>E439*$D$1</f>
        <v/>
      </c>
      <c r="E439" s="2162" t="n">
        <v>3.13</v>
      </c>
      <c r="F439" s="2162" t="inlineStr">
        <is>
          <t>Materiais complementares</t>
        </is>
      </c>
      <c r="G439" s="2162" t="inlineStr">
        <is>
          <t>Diversos</t>
        </is>
      </c>
      <c r="H439" s="2162" t="n"/>
      <c r="I439" s="4" t="inlineStr">
        <is>
          <t>Diversos</t>
        </is>
      </c>
    </row>
    <row r="440" ht="15.75" customHeight="1">
      <c r="A440" s="10">
        <f>COUNTIFS($B$2:$B$996,B440)</f>
        <v/>
      </c>
      <c r="B440" s="10" t="inlineStr">
        <is>
          <t>LONA PLASTICA 120 MICRAS 4X100M PRETA</t>
        </is>
      </c>
      <c r="C440" s="11" t="inlineStr">
        <is>
          <t>M2</t>
        </is>
      </c>
      <c r="D440" s="2162">
        <f>E440*$D$1</f>
        <v/>
      </c>
      <c r="E440" s="2162" t="n">
        <v>1.25</v>
      </c>
      <c r="F440" s="2162" t="inlineStr">
        <is>
          <t>Materiais complementares</t>
        </is>
      </c>
      <c r="G440" s="2162" t="inlineStr">
        <is>
          <t>Diversos</t>
        </is>
      </c>
      <c r="H440" s="2162" t="n"/>
      <c r="I440" s="4" t="inlineStr">
        <is>
          <t>Diversos</t>
        </is>
      </c>
    </row>
    <row r="441" ht="15.75" customHeight="1">
      <c r="A441" s="10">
        <f>COUNTIFS($B$2:$B$996,B441)</f>
        <v/>
      </c>
      <c r="B441" s="10" t="inlineStr">
        <is>
          <t>Lona Preta Plástica 4x100 Metros 25kg - Agroplastic, Tamanho: 120 Micras</t>
        </is>
      </c>
      <c r="C441" s="11" t="inlineStr">
        <is>
          <t>M2</t>
        </is>
      </c>
      <c r="D441" s="2162">
        <f>E441*$D$1</f>
        <v/>
      </c>
      <c r="E441" s="2162" t="n">
        <v>2.3025</v>
      </c>
      <c r="F441" s="2162" t="inlineStr">
        <is>
          <t>Materiais complementares</t>
        </is>
      </c>
      <c r="G441" s="2162" t="inlineStr">
        <is>
          <t>Diversos</t>
        </is>
      </c>
      <c r="H441" s="2162" t="n"/>
      <c r="I441" s="4" t="inlineStr">
        <is>
          <t>Diversos</t>
        </is>
      </c>
    </row>
    <row r="442" ht="15.75" customHeight="1">
      <c r="A442" s="10">
        <f>COUNTIFS($B$2:$B$996,B442)</f>
        <v/>
      </c>
      <c r="B442" s="10" t="inlineStr">
        <is>
          <t>Moldura EPS - m³</t>
        </is>
      </c>
      <c r="C442" s="11" t="inlineStr">
        <is>
          <t>M3</t>
        </is>
      </c>
      <c r="D442" s="2162">
        <f>E442*$D$1</f>
        <v/>
      </c>
      <c r="E442" s="2162">
        <f>50/(1*0.33*0.11)</f>
        <v/>
      </c>
      <c r="F442" s="2162" t="inlineStr">
        <is>
          <t>Materiais complementares</t>
        </is>
      </c>
      <c r="G442" s="2162" t="inlineStr">
        <is>
          <t>Diversos</t>
        </is>
      </c>
      <c r="H442" s="2162" t="n"/>
      <c r="I442" s="4" t="inlineStr">
        <is>
          <t>Diversos</t>
        </is>
      </c>
    </row>
    <row r="443" ht="15.75" customHeight="1">
      <c r="A443" s="10">
        <f>COUNTIFS($B$2:$B$996,B443)</f>
        <v/>
      </c>
      <c r="B443" s="10" t="inlineStr">
        <is>
          <t>Isopor Eps Nivelamento Laje Contra Piso 1000x330x110mm</t>
        </is>
      </c>
      <c r="C443" s="11" t="inlineStr">
        <is>
          <t>M2</t>
        </is>
      </c>
      <c r="D443" s="2162">
        <f>E443*$D$1</f>
        <v/>
      </c>
      <c r="E443" s="2162">
        <f>50/(1*0.33)</f>
        <v/>
      </c>
      <c r="F443" s="2162" t="inlineStr">
        <is>
          <t>Materiais complementares</t>
        </is>
      </c>
      <c r="G443" s="2162" t="inlineStr">
        <is>
          <t>Diversos</t>
        </is>
      </c>
      <c r="H443" s="2162" t="n"/>
      <c r="I443" s="4" t="inlineStr">
        <is>
          <t>Diversos</t>
        </is>
      </c>
    </row>
    <row r="444" ht="15.75" customHeight="1">
      <c r="A444" s="10">
        <f>COUNTIFS($B$2:$B$996,B444)</f>
        <v/>
      </c>
      <c r="B444" s="10" t="inlineStr">
        <is>
          <t>Silicone acético 250gr</t>
        </is>
      </c>
      <c r="C444" s="11" t="inlineStr">
        <is>
          <t>UN</t>
        </is>
      </c>
      <c r="D444" s="2162">
        <f>E444*$D$1</f>
        <v/>
      </c>
      <c r="E444" s="2162" t="n">
        <v>35.6</v>
      </c>
      <c r="F444" s="2162" t="inlineStr">
        <is>
          <t>Materiais complementares</t>
        </is>
      </c>
      <c r="G444" s="2162" t="inlineStr">
        <is>
          <t>Diversos</t>
        </is>
      </c>
      <c r="H444" s="2162" t="n"/>
      <c r="I444" s="4" t="inlineStr">
        <is>
          <t>Diversos</t>
        </is>
      </c>
    </row>
    <row r="445" ht="15.75" customHeight="1">
      <c r="A445" s="10">
        <f>COUNTIFS($B$2:$B$996,B445)</f>
        <v/>
      </c>
      <c r="B445" s="10" t="inlineStr">
        <is>
          <t>SOLDA EM BARRA DE ESTANHO-CHUMBO 50/50</t>
        </is>
      </c>
      <c r="C445" s="11" t="inlineStr">
        <is>
          <t>KG</t>
        </is>
      </c>
      <c r="D445" s="2162">
        <f>E445*$D$1</f>
        <v/>
      </c>
      <c r="E445" s="2162" t="n">
        <v>163.07</v>
      </c>
      <c r="F445" s="2162" t="inlineStr">
        <is>
          <t>Materiais complementares</t>
        </is>
      </c>
      <c r="G445" s="2162" t="inlineStr">
        <is>
          <t>Diversos</t>
        </is>
      </c>
      <c r="H445" s="2162" t="n"/>
      <c r="I445" s="4" t="inlineStr">
        <is>
          <t>Diversos</t>
        </is>
      </c>
    </row>
    <row r="446" ht="15.75" customHeight="1">
      <c r="A446" s="10">
        <f>COUNTIFS($B$2:$B$996,B446)</f>
        <v/>
      </c>
      <c r="B446" s="10" t="inlineStr">
        <is>
          <t>MATERIAL PARA INSTALAÇÃO ELÉTRICA</t>
        </is>
      </c>
      <c r="C446" s="11" t="inlineStr">
        <is>
          <t>VB</t>
        </is>
      </c>
      <c r="D446" s="2162">
        <f>E446*$D$1</f>
        <v/>
      </c>
      <c r="E446" s="2162" t="n">
        <v>215</v>
      </c>
      <c r="F446" s="2162" t="inlineStr">
        <is>
          <t>Materiais complementares</t>
        </is>
      </c>
      <c r="G446" s="2162" t="inlineStr">
        <is>
          <t>Diversos</t>
        </is>
      </c>
      <c r="H446" s="2162" t="n"/>
      <c r="I446" s="4" t="inlineStr">
        <is>
          <t>Diversos</t>
        </is>
      </c>
    </row>
    <row r="447" ht="15.75" customHeight="1">
      <c r="A447" s="10">
        <f>COUNTIFS($B$2:$B$996,B447)</f>
        <v/>
      </c>
      <c r="B447" s="10" t="inlineStr">
        <is>
          <t>Espuma Tarugo Corpo de Apoio Tarucel 15mm (delimitador de profundidade)</t>
        </is>
      </c>
      <c r="C447" s="11" t="inlineStr">
        <is>
          <t>m</t>
        </is>
      </c>
      <c r="D447" s="2162">
        <f>E447*$D$1</f>
        <v/>
      </c>
      <c r="E447" s="2162">
        <f>86/50</f>
        <v/>
      </c>
      <c r="F447" s="2162" t="inlineStr">
        <is>
          <t>Materiais complementares</t>
        </is>
      </c>
      <c r="G447" s="2162" t="inlineStr">
        <is>
          <t>Diversos</t>
        </is>
      </c>
      <c r="H447" s="2162" t="n"/>
      <c r="I447" s="4" t="inlineStr">
        <is>
          <t>Diversos</t>
        </is>
      </c>
    </row>
    <row r="448" ht="15.75" customHeight="1">
      <c r="A448" s="10">
        <f>COUNTIFS($B$2:$B$996,B448)</f>
        <v/>
      </c>
      <c r="B448" s="10" t="inlineStr">
        <is>
          <t>AREIA FINA</t>
        </is>
      </c>
      <c r="C448" s="11" t="inlineStr">
        <is>
          <t>M3</t>
        </is>
      </c>
      <c r="D448" s="2162">
        <f>E448*$D$1</f>
        <v/>
      </c>
      <c r="E448" s="2162" t="n">
        <v>134</v>
      </c>
      <c r="F448" s="2162" t="inlineStr">
        <is>
          <t>Agregados</t>
        </is>
      </c>
      <c r="G448" s="2162" t="inlineStr">
        <is>
          <t>Areia</t>
        </is>
      </c>
      <c r="H448" s="2162" t="n"/>
      <c r="I448" s="4" t="inlineStr">
        <is>
          <t>Agregados</t>
        </is>
      </c>
    </row>
    <row r="449" ht="15.75" customHeight="1">
      <c r="A449" s="10">
        <f>COUNTIFS($B$2:$B$996,B449)</f>
        <v/>
      </c>
      <c r="B449" s="10" t="inlineStr">
        <is>
          <t>AREIA MEDIA</t>
        </is>
      </c>
      <c r="C449" s="11" t="inlineStr">
        <is>
          <t>M3</t>
        </is>
      </c>
      <c r="D449" s="2162">
        <f>E449*$D$1</f>
        <v/>
      </c>
      <c r="E449" s="2162" t="n">
        <v>145</v>
      </c>
      <c r="F449" s="2162" t="inlineStr">
        <is>
          <t>Agregados</t>
        </is>
      </c>
      <c r="G449" s="2162" t="inlineStr">
        <is>
          <t>Areia</t>
        </is>
      </c>
      <c r="H449" s="2162" t="n"/>
      <c r="I449" s="4" t="inlineStr">
        <is>
          <t>Agregados</t>
        </is>
      </c>
    </row>
    <row r="450" ht="15.75" customHeight="1">
      <c r="A450" s="10">
        <f>COUNTIFS($B$2:$B$996,B450)</f>
        <v/>
      </c>
      <c r="B450" s="10" t="inlineStr">
        <is>
          <t>Bica corrida</t>
        </is>
      </c>
      <c r="C450" s="11" t="inlineStr">
        <is>
          <t>M3</t>
        </is>
      </c>
      <c r="D450" s="2162">
        <f>E450*$D$1</f>
        <v/>
      </c>
      <c r="E450" s="2162" t="n">
        <v>143</v>
      </c>
      <c r="F450" s="2162" t="inlineStr">
        <is>
          <t>Agregados</t>
        </is>
      </c>
      <c r="G450" s="2162" t="inlineStr">
        <is>
          <t>Brita/ Pó de Pedra/ Pedra</t>
        </is>
      </c>
      <c r="H450" s="2162" t="n"/>
      <c r="I450" s="4" t="inlineStr">
        <is>
          <t>Agregados</t>
        </is>
      </c>
    </row>
    <row r="451" ht="15.75" customHeight="1">
      <c r="A451" s="10">
        <f>COUNTIFS($B$2:$B$996,B451)</f>
        <v/>
      </c>
      <c r="B451" s="10" t="inlineStr">
        <is>
          <t>BRITA Nº2</t>
        </is>
      </c>
      <c r="C451" s="11" t="inlineStr">
        <is>
          <t>M3</t>
        </is>
      </c>
      <c r="D451" s="2162">
        <f>E451*$D$1</f>
        <v/>
      </c>
      <c r="E451" s="2162" t="n">
        <v>151.2</v>
      </c>
      <c r="F451" s="2162" t="inlineStr">
        <is>
          <t>Agregados</t>
        </is>
      </c>
      <c r="G451" s="2162" t="inlineStr">
        <is>
          <t>Brita/ Pó de Pedra/ Pedra</t>
        </is>
      </c>
      <c r="H451" s="2162" t="n"/>
      <c r="I451" s="4" t="inlineStr">
        <is>
          <t>Agregados</t>
        </is>
      </c>
    </row>
    <row r="452" ht="15.75" customHeight="1">
      <c r="A452" s="10">
        <f>COUNTIFS($B$2:$B$996,B452)</f>
        <v/>
      </c>
      <c r="B452" s="10" t="inlineStr">
        <is>
          <t xml:space="preserve">PO DE PEDRA </t>
        </is>
      </c>
      <c r="C452" s="11" t="inlineStr">
        <is>
          <t>M3</t>
        </is>
      </c>
      <c r="D452" s="2162">
        <f>E452*$D$1</f>
        <v/>
      </c>
      <c r="E452" s="2162" t="n">
        <v>105.71</v>
      </c>
      <c r="F452" s="2162" t="inlineStr">
        <is>
          <t>Agregados</t>
        </is>
      </c>
      <c r="G452" s="2162" t="inlineStr">
        <is>
          <t>Brita/ Pó de Pedra/ Pedra</t>
        </is>
      </c>
      <c r="H452" s="2162" t="n"/>
      <c r="I452" s="4" t="inlineStr">
        <is>
          <t>Agregados</t>
        </is>
      </c>
    </row>
    <row r="453" ht="15.75" customHeight="1">
      <c r="A453" s="10">
        <f>COUNTIFS($B$2:$B$996,B453)</f>
        <v/>
      </c>
      <c r="B453" s="10" t="inlineStr">
        <is>
          <t>PO PEDRA A GRANEL (M3) - GRANULOMETRIA 1,2 A 4,75MM NBR 7211</t>
        </is>
      </c>
      <c r="C453" s="11" t="inlineStr">
        <is>
          <t>M3</t>
        </is>
      </c>
      <c r="D453" s="2162">
        <f>E453*$D$1</f>
        <v/>
      </c>
      <c r="E453" s="2162" t="n">
        <v>300</v>
      </c>
      <c r="F453" s="2162" t="inlineStr">
        <is>
          <t>Agregados</t>
        </is>
      </c>
      <c r="G453" s="2162" t="inlineStr">
        <is>
          <t>Brita/ Pó de Pedra/ Pedra</t>
        </is>
      </c>
      <c r="H453" s="2162" t="n"/>
      <c r="I453" s="4" t="inlineStr">
        <is>
          <t>Agregados</t>
        </is>
      </c>
    </row>
    <row r="454" ht="15.75" customHeight="1">
      <c r="A454" s="10">
        <f>COUNTIFS($B$2:$B$996,B454)</f>
        <v/>
      </c>
      <c r="B454" s="10" t="inlineStr">
        <is>
          <t xml:space="preserve">Cimento Autonivelante para Contrapiso </t>
        </is>
      </c>
      <c r="C454" s="11" t="inlineStr">
        <is>
          <t>KG</t>
        </is>
      </c>
      <c r="D454" s="2162">
        <f>E454*$D$1</f>
        <v/>
      </c>
      <c r="E454" s="2162" t="n">
        <v>4.25</v>
      </c>
      <c r="F454" s="2162" t="inlineStr">
        <is>
          <t>Agregados</t>
        </is>
      </c>
      <c r="G454" s="2162" t="inlineStr">
        <is>
          <t>Cimento</t>
        </is>
      </c>
      <c r="H454" s="2162" t="n"/>
      <c r="I454" s="4" t="inlineStr">
        <is>
          <t>Agregados</t>
        </is>
      </c>
    </row>
    <row r="455" ht="15.75" customHeight="1">
      <c r="A455" s="10">
        <f>COUNTIFS($B$2:$B$996,B455)</f>
        <v/>
      </c>
      <c r="B455" s="10" t="inlineStr">
        <is>
          <t>CIMENTO BRANCO NÃO ESTRUTURAL</t>
        </is>
      </c>
      <c r="C455" s="11" t="inlineStr">
        <is>
          <t>KG</t>
        </is>
      </c>
      <c r="D455" s="2162">
        <f>E455*$D$1</f>
        <v/>
      </c>
      <c r="E455" s="2162" t="n">
        <v>3.49</v>
      </c>
      <c r="F455" s="2162" t="inlineStr">
        <is>
          <t>Agregados</t>
        </is>
      </c>
      <c r="G455" s="2162" t="inlineStr">
        <is>
          <t>Cimento</t>
        </is>
      </c>
      <c r="H455" s="2162" t="n"/>
      <c r="I455" s="4" t="inlineStr">
        <is>
          <t>Agregados</t>
        </is>
      </c>
    </row>
    <row r="456" ht="15.75" customHeight="1">
      <c r="A456" s="10">
        <f>COUNTIFS($B$2:$B$996,B456)</f>
        <v/>
      </c>
      <c r="B456" s="10" t="inlineStr">
        <is>
          <t>Cimento Portland Composto CP II-32</t>
        </is>
      </c>
      <c r="C456" s="11" t="inlineStr">
        <is>
          <t>KG</t>
        </is>
      </c>
      <c r="D456" s="2162">
        <f>E456*$D$1</f>
        <v/>
      </c>
      <c r="E456" s="2162" t="n">
        <v>0.76</v>
      </c>
      <c r="F456" s="2162" t="inlineStr">
        <is>
          <t>Agregados</t>
        </is>
      </c>
      <c r="G456" s="2162" t="inlineStr">
        <is>
          <t>Cimento</t>
        </is>
      </c>
      <c r="H456" s="2162" t="n"/>
      <c r="I456" s="4" t="inlineStr">
        <is>
          <t>Agregados</t>
        </is>
      </c>
    </row>
    <row r="457" ht="15.75" customHeight="1">
      <c r="A457" s="10">
        <f>COUNTIFS($B$2:$B$996,B457)</f>
        <v/>
      </c>
      <c r="B457" s="10" t="inlineStr">
        <is>
          <t>Cimento Queimado 4,2kg Elegance - Cor: Tubarão</t>
        </is>
      </c>
      <c r="C457" s="11" t="inlineStr">
        <is>
          <t>KG</t>
        </is>
      </c>
      <c r="D457" s="2162">
        <f>E457*$D$1</f>
        <v/>
      </c>
      <c r="E457" s="2162" t="n">
        <v>33</v>
      </c>
      <c r="F457" s="2162" t="inlineStr">
        <is>
          <t>Agregados</t>
        </is>
      </c>
      <c r="G457" s="2162" t="inlineStr">
        <is>
          <t>Cimento</t>
        </is>
      </c>
      <c r="H457" s="2162" t="n"/>
      <c r="I457" s="4" t="inlineStr">
        <is>
          <t>Agregados</t>
        </is>
      </c>
    </row>
    <row r="458" ht="15.75" customHeight="1">
      <c r="A458" s="10">
        <f>COUNTIFS($B$2:$B$996,B458)</f>
        <v/>
      </c>
      <c r="B458" s="10" t="inlineStr">
        <is>
          <t>Lapidação de piso com lixas diamantadas</t>
        </is>
      </c>
      <c r="C458" s="11" t="inlineStr">
        <is>
          <t>M2</t>
        </is>
      </c>
      <c r="D458" s="2162">
        <f>E458*$D$1</f>
        <v/>
      </c>
      <c r="E458" s="2162" t="n">
        <v>75</v>
      </c>
      <c r="F458" s="2162" t="inlineStr">
        <is>
          <t>Agregados</t>
        </is>
      </c>
      <c r="G458" s="2162" t="inlineStr">
        <is>
          <t>Cimento</t>
        </is>
      </c>
      <c r="H458" s="2162" t="n"/>
      <c r="I458" s="4" t="inlineStr">
        <is>
          <t>Agregados</t>
        </is>
      </c>
    </row>
    <row r="459" ht="15.75" customHeight="1">
      <c r="A459" s="10">
        <f>COUNTIFS($B$2:$B$996,B459)</f>
        <v/>
      </c>
      <c r="B459" s="10" t="inlineStr">
        <is>
          <t>ENDURECEDOR MINERAL DE BASE CIMENTICIA PARA PISO DE CONCRETO</t>
        </is>
      </c>
      <c r="C459" s="11" t="inlineStr">
        <is>
          <t>KG</t>
        </is>
      </c>
      <c r="D459" s="2162">
        <f>E459*$D$1</f>
        <v/>
      </c>
      <c r="E459" s="2162" t="n">
        <v>9.35</v>
      </c>
      <c r="F459" s="2162" t="inlineStr">
        <is>
          <t>Agregados</t>
        </is>
      </c>
      <c r="G459" s="2162" t="inlineStr">
        <is>
          <t>Cimento</t>
        </is>
      </c>
      <c r="H459" s="2162" t="n"/>
      <c r="I459" s="4" t="inlineStr">
        <is>
          <t>Agregados</t>
        </is>
      </c>
    </row>
    <row r="460">
      <c r="A460" s="10">
        <f>COUNTIFS($B$2:$B$996,B460)</f>
        <v/>
      </c>
      <c r="B460" s="10" t="inlineStr">
        <is>
          <t>Forro De Fibra Mineral Armstrong Ceilings Scala Lay-in 1250 X 625 X 16mm</t>
        </is>
      </c>
      <c r="C460" s="11" t="inlineStr">
        <is>
          <t>M2</t>
        </is>
      </c>
      <c r="D460" s="2162">
        <f>E460*$D$1</f>
        <v/>
      </c>
      <c r="E460" s="2162" t="n">
        <v>75.5984</v>
      </c>
      <c r="F460" s="2162" t="inlineStr">
        <is>
          <t>Agregados</t>
        </is>
      </c>
      <c r="G460" s="2162" t="inlineStr">
        <is>
          <t>Gesso</t>
        </is>
      </c>
      <c r="H460" s="2162" t="n"/>
      <c r="I460" s="4" t="inlineStr">
        <is>
          <t>Revestimentos</t>
        </is>
      </c>
    </row>
    <row r="461" ht="15.75" customHeight="1">
      <c r="A461" s="10">
        <f>COUNTIFS($B$2:$B$996,B461)</f>
        <v/>
      </c>
      <c r="B461" s="10" t="inlineStr">
        <is>
          <t>Cortineiro em gesso com rasgo iluminado</t>
        </is>
      </c>
      <c r="C461" s="11" t="inlineStr">
        <is>
          <t>m</t>
        </is>
      </c>
      <c r="D461" s="2162">
        <f>E461*$D$1</f>
        <v/>
      </c>
      <c r="E461" s="2162" t="n">
        <v>60</v>
      </c>
      <c r="F461" s="2162" t="inlineStr">
        <is>
          <t>Agregados</t>
        </is>
      </c>
      <c r="G461" s="2162" t="inlineStr">
        <is>
          <t>Gesso</t>
        </is>
      </c>
      <c r="H461" s="2162" t="inlineStr">
        <is>
          <t>ALTO PADRÃO + 40%</t>
        </is>
      </c>
      <c r="I461" s="4" t="inlineStr">
        <is>
          <t>Revestimentos</t>
        </is>
      </c>
    </row>
    <row r="462" ht="15.75" customHeight="1">
      <c r="A462" s="10">
        <f>COUNTIFS($B$2:$B$996,B462)</f>
        <v/>
      </c>
      <c r="B462" s="10" t="inlineStr">
        <is>
          <t>Cortineiro Isopor Cortina Sanca 1 Metro 15cm L X 10cm A - Branco, , COLOR Branco</t>
        </is>
      </c>
      <c r="C462" s="11" t="inlineStr">
        <is>
          <t>m</t>
        </is>
      </c>
      <c r="D462" s="2162">
        <f>E462*$D$1</f>
        <v/>
      </c>
      <c r="E462" s="2162">
        <f>32*1.4</f>
        <v/>
      </c>
      <c r="F462" s="2162" t="inlineStr">
        <is>
          <t>Agregados</t>
        </is>
      </c>
      <c r="G462" s="2162" t="inlineStr">
        <is>
          <t>Gesso</t>
        </is>
      </c>
      <c r="H462" s="2162" t="inlineStr">
        <is>
          <t>ALTO PADRÃO + 40%</t>
        </is>
      </c>
      <c r="I462" s="4" t="inlineStr">
        <is>
          <t>Revestimentos</t>
        </is>
      </c>
    </row>
    <row r="463" ht="15.75" customHeight="1">
      <c r="A463" s="10">
        <f>COUNTIFS($B$2:$B$996,B463)</f>
        <v/>
      </c>
      <c r="B463" s="10" t="inlineStr">
        <is>
          <t>Tabica em gesso com perfil metálico LED</t>
        </is>
      </c>
      <c r="C463" s="11" t="inlineStr">
        <is>
          <t>m</t>
        </is>
      </c>
      <c r="D463" s="2162">
        <f>E463*$D$1</f>
        <v/>
      </c>
      <c r="E463" s="2162" t="n">
        <v>45</v>
      </c>
      <c r="F463" s="2162" t="inlineStr">
        <is>
          <t>Agregados</t>
        </is>
      </c>
      <c r="G463" s="2162" t="inlineStr">
        <is>
          <t>Gesso</t>
        </is>
      </c>
      <c r="H463" s="2162" t="inlineStr">
        <is>
          <t>ALTO PADRÃO + 35%</t>
        </is>
      </c>
      <c r="I463" s="4" t="inlineStr">
        <is>
          <t>Revestimentos</t>
        </is>
      </c>
    </row>
    <row r="464" ht="15.75" customHeight="1">
      <c r="A464" s="10">
        <f>COUNTIFS($B$2:$B$996,B464)</f>
        <v/>
      </c>
      <c r="B464" s="10" t="inlineStr">
        <is>
          <t>Tabica em gesso</t>
        </is>
      </c>
      <c r="C464" s="11" t="inlineStr">
        <is>
          <t>m</t>
        </is>
      </c>
      <c r="D464" s="2162">
        <f>E464*$D$1</f>
        <v/>
      </c>
      <c r="E464" s="2162">
        <f>24*1.35</f>
        <v/>
      </c>
      <c r="F464" s="2162" t="inlineStr">
        <is>
          <t>Agregados</t>
        </is>
      </c>
      <c r="G464" s="2162" t="inlineStr">
        <is>
          <t>Gesso</t>
        </is>
      </c>
      <c r="H464" s="2162" t="inlineStr">
        <is>
          <t>ALTO PADRÃO + 35%</t>
        </is>
      </c>
      <c r="I464" s="4" t="inlineStr">
        <is>
          <t>Revestimentos</t>
        </is>
      </c>
    </row>
    <row r="465" ht="15.75" customHeight="1">
      <c r="A465" s="10">
        <f>COUNTIFS($B$2:$B$996,B465)</f>
        <v/>
      </c>
      <c r="B465" s="10" t="inlineStr">
        <is>
          <t>Sanca em gesso</t>
        </is>
      </c>
      <c r="C465" s="11" t="inlineStr">
        <is>
          <t>m</t>
        </is>
      </c>
      <c r="D465" s="2162">
        <f>E465*$D$1</f>
        <v/>
      </c>
      <c r="E465" s="2162">
        <f>48*1.4</f>
        <v/>
      </c>
      <c r="F465" s="2162" t="inlineStr">
        <is>
          <t>Agregados</t>
        </is>
      </c>
      <c r="G465" s="2162" t="inlineStr">
        <is>
          <t>Gesso</t>
        </is>
      </c>
      <c r="H465" s="2162" t="inlineStr">
        <is>
          <t>ALTO PADRÃO + 40%</t>
        </is>
      </c>
      <c r="I465" s="4" t="inlineStr">
        <is>
          <t>Revestimentos</t>
        </is>
      </c>
    </row>
    <row r="466" ht="15.75" customHeight="1">
      <c r="A466" s="10">
        <f>COUNTIFS($B$2:$B$996,B466)</f>
        <v/>
      </c>
      <c r="B466" s="10" t="inlineStr">
        <is>
          <t>Sanca em gesso com iluminação indireta + LED + perfil</t>
        </is>
      </c>
      <c r="C466" s="11" t="inlineStr">
        <is>
          <t>m</t>
        </is>
      </c>
      <c r="D466" s="2162">
        <f>E466*$D$1</f>
        <v/>
      </c>
      <c r="E466" s="2162" t="n">
        <v>85</v>
      </c>
      <c r="F466" s="2162" t="inlineStr">
        <is>
          <t>Agregados</t>
        </is>
      </c>
      <c r="G466" s="2162" t="inlineStr">
        <is>
          <t>Gesso</t>
        </is>
      </c>
      <c r="H466" s="2162" t="inlineStr">
        <is>
          <t>ALTO PADRÃO + 40%</t>
        </is>
      </c>
      <c r="I466" s="4" t="inlineStr">
        <is>
          <t>Revestimentos</t>
        </is>
      </c>
    </row>
    <row r="467" ht="14.25" customHeight="1">
      <c r="A467" s="10">
        <f>COUNTIFS($B$2:$B$996,B467)</f>
        <v/>
      </c>
      <c r="B467" s="82" t="inlineStr">
        <is>
          <t>Esquadrias de Alumínio do duplex - fornecimento e instalação</t>
        </is>
      </c>
      <c r="C467" s="83" t="inlineStr">
        <is>
          <t>M2</t>
        </is>
      </c>
      <c r="D467" s="2165">
        <f>E467*$D$1</f>
        <v/>
      </c>
      <c r="E467" s="2165" t="n">
        <v>1350</v>
      </c>
      <c r="F467" s="2165" t="inlineStr">
        <is>
          <t xml:space="preserve">Esquadrias </t>
        </is>
      </c>
      <c r="G467" s="2165" t="inlineStr">
        <is>
          <t>Alumínio</t>
        </is>
      </c>
      <c r="H467" s="2165" t="n"/>
      <c r="I467" s="85" t="inlineStr">
        <is>
          <t>Esquadrias de Alumínio</t>
        </is>
      </c>
    </row>
    <row r="468" ht="14.25" customHeight="1">
      <c r="A468" s="10">
        <f>COUNTIFS($B$2:$B$996,B468)</f>
        <v/>
      </c>
      <c r="B468" s="82" t="inlineStr">
        <is>
          <t>Esquadrias de Alumínio, linha 25 supreme - fornecimento e instalação</t>
        </is>
      </c>
      <c r="C468" s="83" t="inlineStr">
        <is>
          <t>M2</t>
        </is>
      </c>
      <c r="D468" s="2165">
        <f>E468*$D$1</f>
        <v/>
      </c>
      <c r="E468" s="2165" t="n">
        <v>980</v>
      </c>
      <c r="F468" s="2165" t="inlineStr">
        <is>
          <t xml:space="preserve">Esquadrias </t>
        </is>
      </c>
      <c r="G468" s="2165" t="inlineStr">
        <is>
          <t>Alumínio</t>
        </is>
      </c>
      <c r="H468" s="2165" t="n"/>
      <c r="I468" s="85" t="inlineStr">
        <is>
          <t>Esquadrias de Alumínio</t>
        </is>
      </c>
    </row>
    <row r="469" ht="14.25" customHeight="1">
      <c r="A469" s="10">
        <f>COUNTIFS($B$2:$B$996,B469)</f>
        <v/>
      </c>
      <c r="B469" s="82" t="inlineStr">
        <is>
          <t>Esquadrias de Alumínio, linha 32 gold - fornecimento e instalação</t>
        </is>
      </c>
      <c r="C469" s="83" t="inlineStr">
        <is>
          <t>M2</t>
        </is>
      </c>
      <c r="D469" s="2165">
        <f>E469*$D$1</f>
        <v/>
      </c>
      <c r="E469" s="2165" t="n">
        <v>1350</v>
      </c>
      <c r="F469" s="2165" t="inlineStr">
        <is>
          <t xml:space="preserve">Esquadrias </t>
        </is>
      </c>
      <c r="G469" s="2165" t="inlineStr">
        <is>
          <t>Alumínio</t>
        </is>
      </c>
      <c r="H469" s="2165" t="n"/>
      <c r="I469" s="85" t="inlineStr">
        <is>
          <t>Esquadrias de Alumínio</t>
        </is>
      </c>
    </row>
    <row r="470" ht="15.75" customHeight="1">
      <c r="A470" s="10">
        <f>COUNTIFS($B$2:$B$996,B470)</f>
        <v/>
      </c>
      <c r="B470" s="10" t="inlineStr">
        <is>
          <t>CONTRAMARCO DE AÇO</t>
        </is>
      </c>
      <c r="C470" s="11" t="inlineStr">
        <is>
          <t>M</t>
        </is>
      </c>
      <c r="D470" s="2162">
        <f>E470*$D$1</f>
        <v/>
      </c>
      <c r="E470" s="2162" t="n">
        <v>36</v>
      </c>
      <c r="F470" s="2162" t="inlineStr">
        <is>
          <t>Revestimentos</t>
        </is>
      </c>
      <c r="G470" s="2162" t="inlineStr">
        <is>
          <t>Revestimentos</t>
        </is>
      </c>
      <c r="H470" s="2162" t="n"/>
      <c r="I470" s="4" t="inlineStr">
        <is>
          <t>Revestimentos</t>
        </is>
      </c>
    </row>
    <row r="471" ht="15.75" customHeight="1">
      <c r="A471" s="10">
        <f>COUNTIFS($B$2:$B$996,B471)</f>
        <v/>
      </c>
      <c r="B471" s="10" t="inlineStr">
        <is>
          <t xml:space="preserve">CONTRAMARCO DE ALUMINIO </t>
        </is>
      </c>
      <c r="C471" s="11" t="inlineStr">
        <is>
          <t>M</t>
        </is>
      </c>
      <c r="D471" s="2162">
        <f>E471*$D$1</f>
        <v/>
      </c>
      <c r="E471" s="2162" t="n">
        <v>7.39</v>
      </c>
      <c r="F471" s="2162" t="inlineStr">
        <is>
          <t>Revestimentos</t>
        </is>
      </c>
      <c r="G471" s="2162" t="inlineStr">
        <is>
          <t>Revestimentos</t>
        </is>
      </c>
      <c r="H471" s="2162" t="n"/>
      <c r="I471" s="4" t="inlineStr">
        <is>
          <t>Revestimentos</t>
        </is>
      </c>
    </row>
    <row r="472" ht="14.25" customHeight="1">
      <c r="A472" s="10">
        <f>COUNTIFS($B$2:$B$996,B472)</f>
        <v/>
      </c>
      <c r="B472" s="82" t="inlineStr">
        <is>
          <t>CONTRAMARCO DE ALUMINIO Pequeno</t>
        </is>
      </c>
      <c r="C472" s="83" t="inlineStr">
        <is>
          <t>Un</t>
        </is>
      </c>
      <c r="D472" s="2165">
        <f>E472*$D$1</f>
        <v/>
      </c>
      <c r="E472" s="2165">
        <f>AVERAGE(45,85)</f>
        <v/>
      </c>
      <c r="F472" s="2165" t="inlineStr">
        <is>
          <t>Revestimentos</t>
        </is>
      </c>
      <c r="G472" s="2165" t="inlineStr">
        <is>
          <t>Revestimentos</t>
        </is>
      </c>
      <c r="H472" s="2165" t="n"/>
      <c r="I472" s="85" t="inlineStr">
        <is>
          <t>Revestimentos</t>
        </is>
      </c>
    </row>
    <row r="473" ht="14.25" customHeight="1">
      <c r="A473" s="10">
        <f>COUNTIFS($B$2:$B$996,B473)</f>
        <v/>
      </c>
      <c r="B473" s="82" t="inlineStr">
        <is>
          <t>CONTRAMARCO DE ALUMINIO grande</t>
        </is>
      </c>
      <c r="C473" s="83" t="inlineStr">
        <is>
          <t>Un</t>
        </is>
      </c>
      <c r="D473" s="2165">
        <f>E473*$D$1</f>
        <v/>
      </c>
      <c r="E473" s="2165">
        <f>AVERAGE(120,190)</f>
        <v/>
      </c>
      <c r="F473" s="2165" t="inlineStr">
        <is>
          <t>Revestimentos</t>
        </is>
      </c>
      <c r="G473" s="2165" t="inlineStr">
        <is>
          <t>Revestimentos</t>
        </is>
      </c>
      <c r="H473" s="2165" t="n"/>
      <c r="I473" s="85" t="inlineStr">
        <is>
          <t>Revestimentos</t>
        </is>
      </c>
    </row>
    <row r="474" ht="15.75" customHeight="1">
      <c r="A474" s="10">
        <f>COUNTIFS($B$2:$B$996,B474)</f>
        <v/>
      </c>
      <c r="B474" s="10" t="inlineStr">
        <is>
          <t>Massa para Drywall 25kg</t>
        </is>
      </c>
      <c r="C474" s="11" t="inlineStr">
        <is>
          <t>KG</t>
        </is>
      </c>
      <c r="D474" s="2162">
        <f>E474*$D$1</f>
        <v/>
      </c>
      <c r="E474" s="2162" t="n">
        <v>5.918</v>
      </c>
      <c r="F474" s="2162" t="inlineStr">
        <is>
          <t>Agregados</t>
        </is>
      </c>
      <c r="G474" s="2162" t="inlineStr">
        <is>
          <t>Gesso</t>
        </is>
      </c>
      <c r="H474" s="2162" t="n"/>
      <c r="I474" s="4" t="inlineStr">
        <is>
          <t>Agregados</t>
        </is>
      </c>
    </row>
    <row r="475" ht="15.75" customHeight="1">
      <c r="A475" s="10">
        <f>COUNTIFS($B$2:$B$996,B475)</f>
        <v/>
      </c>
      <c r="B475" s="10" t="inlineStr">
        <is>
          <t xml:space="preserve">	GESSO EM PÓ PARA REVESTIMENTOS</t>
        </is>
      </c>
      <c r="C475" s="11" t="inlineStr">
        <is>
          <t>KG</t>
        </is>
      </c>
      <c r="D475" s="2162">
        <f>E475*$D$1</f>
        <v/>
      </c>
      <c r="E475" s="2162" t="n">
        <v>0.45</v>
      </c>
      <c r="F475" s="2162" t="inlineStr">
        <is>
          <t>Agregados</t>
        </is>
      </c>
      <c r="G475" s="2162" t="inlineStr">
        <is>
          <t>Gesso</t>
        </is>
      </c>
      <c r="H475" s="2162" t="n"/>
      <c r="I475" s="4" t="inlineStr">
        <is>
          <t>Agregados</t>
        </is>
      </c>
    </row>
    <row r="476" ht="15.75" customHeight="1">
      <c r="A476" s="10">
        <f>COUNTIFS($B$2:$B$996,B476)</f>
        <v/>
      </c>
      <c r="B476" s="10" t="inlineStr">
        <is>
          <t xml:space="preserve">Pilar de Sustentação para pergolado em madeira </t>
        </is>
      </c>
      <c r="C476" s="11" t="inlineStr">
        <is>
          <t>UN</t>
        </is>
      </c>
      <c r="D476" s="2162">
        <f>E476*$D$1</f>
        <v/>
      </c>
      <c r="E476" s="2162" t="n">
        <v>382</v>
      </c>
      <c r="F476" s="2162" t="inlineStr">
        <is>
          <t>Madeira</t>
        </is>
      </c>
      <c r="G476" s="2162" t="inlineStr">
        <is>
          <t>Medeira Acabamento</t>
        </is>
      </c>
      <c r="H476" s="2162" t="n"/>
      <c r="I476" s="4" t="inlineStr">
        <is>
          <t>Madeira para Telhado</t>
        </is>
      </c>
    </row>
    <row r="477" ht="15.75" customHeight="1">
      <c r="A477" s="10">
        <f>COUNTIFS($B$2:$B$996,B477)</f>
        <v/>
      </c>
      <c r="B477" s="10" t="inlineStr">
        <is>
          <t>Grama esmeralda</t>
        </is>
      </c>
      <c r="C477" s="11" t="inlineStr">
        <is>
          <t>M2</t>
        </is>
      </c>
      <c r="D477" s="2162">
        <f>E477*$D$1</f>
        <v/>
      </c>
      <c r="E477" s="2162" t="n">
        <v>11.1</v>
      </c>
      <c r="F477" s="2162" t="inlineStr">
        <is>
          <t>Paisagismo</t>
        </is>
      </c>
      <c r="G477" s="2162" t="inlineStr">
        <is>
          <t>Paisagismo</t>
        </is>
      </c>
      <c r="H477" s="2162" t="n"/>
      <c r="I477" s="4" t="inlineStr">
        <is>
          <t>Jardinagem</t>
        </is>
      </c>
    </row>
    <row r="478" ht="15.75" customHeight="1">
      <c r="A478" s="10">
        <f>COUNTIFS($B$2:$B$996,B478)</f>
        <v/>
      </c>
      <c r="B478" s="10" t="inlineStr">
        <is>
          <t>Terra vegetal</t>
        </is>
      </c>
      <c r="C478" s="11" t="inlineStr">
        <is>
          <t>M3</t>
        </is>
      </c>
      <c r="D478" s="2162">
        <f>E478*$D$1</f>
        <v/>
      </c>
      <c r="E478" s="2162" t="n">
        <v>143.57</v>
      </c>
      <c r="F478" s="2162" t="inlineStr">
        <is>
          <t>Paisagismo</t>
        </is>
      </c>
      <c r="G478" s="2162" t="inlineStr">
        <is>
          <t>Paisagismo</t>
        </is>
      </c>
      <c r="H478" s="2162" t="n"/>
      <c r="I478" s="4" t="inlineStr">
        <is>
          <t>Jardinagem</t>
        </is>
      </c>
    </row>
    <row r="479" ht="15.75" customHeight="1">
      <c r="A479" s="10">
        <f>COUNTIFS($B$2:$B$996,B479)</f>
        <v/>
      </c>
      <c r="B479" s="10" t="inlineStr">
        <is>
          <t>Nicho Em Porcelanato 65x35cm Carrara Cristal Borda Dupla</t>
        </is>
      </c>
      <c r="C479" s="11" t="inlineStr">
        <is>
          <t>UN</t>
        </is>
      </c>
      <c r="D479" s="2162">
        <f>E479*$D$1</f>
        <v/>
      </c>
      <c r="E479" s="2162" t="n">
        <v>409</v>
      </c>
      <c r="F479" s="2162" t="inlineStr">
        <is>
          <t>Pedras acabamento</t>
        </is>
      </c>
      <c r="G479" s="2162" t="inlineStr">
        <is>
          <t>Pedras acabamento</t>
        </is>
      </c>
      <c r="H479" s="2162" t="n"/>
      <c r="I479" s="4" t="inlineStr">
        <is>
          <t>Revestimentos</t>
        </is>
      </c>
    </row>
    <row r="480" ht="15.75" customHeight="1">
      <c r="A480" s="10">
        <f>COUNTIFS($B$2:$B$996,B480)</f>
        <v/>
      </c>
      <c r="B480" s="10" t="inlineStr">
        <is>
          <t>Granito Branco Ceará Flameado</t>
        </is>
      </c>
      <c r="C480" s="11" t="inlineStr">
        <is>
          <t>M2</t>
        </is>
      </c>
      <c r="D480" s="2162">
        <f>E480*$D$1</f>
        <v/>
      </c>
      <c r="E480" s="2162" t="n">
        <v>890</v>
      </c>
      <c r="F480" s="2162" t="inlineStr">
        <is>
          <t>Pedras acabamento</t>
        </is>
      </c>
      <c r="G480" s="2162" t="inlineStr">
        <is>
          <t>Pedras acabamento</t>
        </is>
      </c>
      <c r="H480" s="2162" t="n"/>
      <c r="I480" s="4" t="inlineStr">
        <is>
          <t>Revestimentos</t>
        </is>
      </c>
    </row>
    <row r="481" ht="15.75" customHeight="1">
      <c r="A481" s="10">
        <f>COUNTIFS($B$2:$B$996,B481)</f>
        <v/>
      </c>
      <c r="B481" s="10" t="inlineStr">
        <is>
          <t>Quartzo Silestone</t>
        </is>
      </c>
      <c r="C481" s="11" t="inlineStr">
        <is>
          <t>M2</t>
        </is>
      </c>
      <c r="D481" s="2162">
        <f>E481*$D$1</f>
        <v/>
      </c>
      <c r="E481" s="2162" t="n">
        <v>1850</v>
      </c>
      <c r="F481" s="2162" t="inlineStr">
        <is>
          <t>Pedras acabamento</t>
        </is>
      </c>
      <c r="G481" s="2162" t="inlineStr">
        <is>
          <t>Pedras acabamento</t>
        </is>
      </c>
      <c r="H481" s="2162" t="n"/>
      <c r="I481" s="4" t="inlineStr">
        <is>
          <t>Revestimentos</t>
        </is>
      </c>
    </row>
    <row r="482" ht="15.75" customHeight="1">
      <c r="A482" s="10">
        <f>COUNTIFS($B$2:$B$996,B482)</f>
        <v/>
      </c>
      <c r="B482" s="10" t="inlineStr">
        <is>
          <t>Mármore Natural</t>
        </is>
      </c>
      <c r="C482" s="11" t="inlineStr">
        <is>
          <t>M2</t>
        </is>
      </c>
      <c r="D482" s="2162">
        <f>E482*$D$1</f>
        <v/>
      </c>
      <c r="E482" s="2162" t="n">
        <v>800</v>
      </c>
      <c r="F482" s="2162" t="inlineStr">
        <is>
          <t>Pedras acabamento</t>
        </is>
      </c>
      <c r="G482" s="2162" t="inlineStr">
        <is>
          <t>Pedras acabamento</t>
        </is>
      </c>
      <c r="H482" s="2162" t="n"/>
      <c r="I482" s="4" t="inlineStr">
        <is>
          <t>Revestimentos</t>
        </is>
      </c>
    </row>
    <row r="483" ht="15.75" customHeight="1">
      <c r="A483" s="10">
        <f>COUNTIFS($B$2:$B$996,B483)</f>
        <v/>
      </c>
      <c r="B483" s="10" t="inlineStr">
        <is>
          <t>SISTEMA DE PISO AQUECIDO</t>
        </is>
      </c>
      <c r="C483" s="11" t="inlineStr">
        <is>
          <t>M2</t>
        </is>
      </c>
      <c r="D483" s="2162">
        <f>E483*$D$1</f>
        <v/>
      </c>
      <c r="E483" s="2162" t="n">
        <v>600</v>
      </c>
      <c r="F483" s="2162" t="inlineStr">
        <is>
          <t>Pedras acabamento</t>
        </is>
      </c>
      <c r="G483" s="2162" t="inlineStr">
        <is>
          <t>Pedras acabamento</t>
        </is>
      </c>
      <c r="H483" s="2162" t="n"/>
      <c r="I483" s="4" t="inlineStr">
        <is>
          <t>Revestimentos</t>
        </is>
      </c>
    </row>
    <row r="484" ht="15.75" customHeight="1">
      <c r="A484" s="10">
        <f>COUNTIFS($B$2:$B$996,B484)</f>
        <v/>
      </c>
      <c r="B484" s="10" t="inlineStr">
        <is>
          <t>Pedra Ônix Cristal Rose</t>
        </is>
      </c>
      <c r="C484" s="11" t="inlineStr">
        <is>
          <t>M2</t>
        </is>
      </c>
      <c r="D484" s="2162">
        <f>E484*$D$1</f>
        <v/>
      </c>
      <c r="E484" s="2162" t="n">
        <v>4800</v>
      </c>
      <c r="F484" s="2162" t="inlineStr">
        <is>
          <t>Pedras acabamento</t>
        </is>
      </c>
      <c r="G484" s="2162" t="inlineStr">
        <is>
          <t>Pedras acabamento</t>
        </is>
      </c>
      <c r="H484" s="2162" t="n"/>
      <c r="I484" s="4" t="inlineStr">
        <is>
          <t>Revestimentos</t>
        </is>
      </c>
    </row>
    <row r="485" ht="15.75" customHeight="1">
      <c r="A485" s="10">
        <f>COUNTIFS($B$2:$B$996,B485)</f>
        <v/>
      </c>
      <c r="B485" s="10" t="inlineStr">
        <is>
          <t>Mármore Travertino Nacional</t>
        </is>
      </c>
      <c r="C485" s="11" t="inlineStr">
        <is>
          <t>M2</t>
        </is>
      </c>
      <c r="D485" s="2162">
        <f>E485*$D$1</f>
        <v/>
      </c>
      <c r="E485" s="2162" t="n">
        <v>900</v>
      </c>
      <c r="F485" s="2162" t="inlineStr">
        <is>
          <t>Pedras acabamento</t>
        </is>
      </c>
      <c r="G485" s="2162" t="inlineStr">
        <is>
          <t>Pedras acabamento</t>
        </is>
      </c>
      <c r="H485" s="2162" t="n"/>
      <c r="I485" s="4" t="inlineStr">
        <is>
          <t>Revestimentos</t>
        </is>
      </c>
    </row>
    <row r="486" ht="15.75" customHeight="1">
      <c r="A486" s="10">
        <f>COUNTIFS($B$2:$B$996,B486)</f>
        <v/>
      </c>
      <c r="B486" s="10" t="inlineStr">
        <is>
          <t>Mármore Travertino Navona</t>
        </is>
      </c>
      <c r="C486" s="11" t="inlineStr">
        <is>
          <t>M2</t>
        </is>
      </c>
      <c r="D486" s="2162">
        <f>E486*$D$1</f>
        <v/>
      </c>
      <c r="E486" s="2162" t="n">
        <v>1300</v>
      </c>
      <c r="F486" s="2162" t="inlineStr">
        <is>
          <t>Pedras acabamento</t>
        </is>
      </c>
      <c r="G486" s="2162" t="inlineStr">
        <is>
          <t>Pedras acabamento</t>
        </is>
      </c>
      <c r="H486" s="2162" t="n"/>
      <c r="I486" s="4" t="inlineStr">
        <is>
          <t>Revestimentos</t>
        </is>
      </c>
    </row>
    <row r="487" ht="15.75" customHeight="1">
      <c r="A487" s="10">
        <f>COUNTIFS($B$2:$B$996,B487)</f>
        <v/>
      </c>
      <c r="B487" s="10" t="inlineStr">
        <is>
          <t>Mármore Travertino Importado</t>
        </is>
      </c>
      <c r="C487" s="11" t="inlineStr">
        <is>
          <t>M2</t>
        </is>
      </c>
      <c r="D487" s="2162">
        <f>E487*$D$1</f>
        <v/>
      </c>
      <c r="E487" s="2162" t="n">
        <v>2200</v>
      </c>
      <c r="F487" s="2162" t="inlineStr">
        <is>
          <t>Pedras acabamento</t>
        </is>
      </c>
      <c r="G487" s="2162" t="inlineStr">
        <is>
          <t>Pedras acabamento</t>
        </is>
      </c>
      <c r="H487" s="2162" t="n"/>
      <c r="I487" s="4" t="inlineStr">
        <is>
          <t>Revestimentos</t>
        </is>
      </c>
    </row>
    <row r="488" ht="15.75" customHeight="1">
      <c r="A488" s="10">
        <f>COUNTIFS($B$2:$B$996,B488)</f>
        <v/>
      </c>
      <c r="B488" s="10" t="inlineStr">
        <is>
          <t>Mármore Travertino Romano</t>
        </is>
      </c>
      <c r="C488" s="11" t="inlineStr">
        <is>
          <t>M2</t>
        </is>
      </c>
      <c r="D488" s="2162">
        <f>E488*$D$1</f>
        <v/>
      </c>
      <c r="E488" s="2162" t="n">
        <v>1300</v>
      </c>
      <c r="F488" s="2162" t="inlineStr">
        <is>
          <t>Pedras acabamento</t>
        </is>
      </c>
      <c r="G488" s="2162" t="inlineStr">
        <is>
          <t>Pedras acabamento</t>
        </is>
      </c>
      <c r="H488" s="2162" t="n"/>
      <c r="I488" s="4" t="inlineStr">
        <is>
          <t>Revestimentos</t>
        </is>
      </c>
    </row>
    <row r="489" ht="15.75" customHeight="1">
      <c r="A489" s="10">
        <f>COUNTIFS($B$2:$B$996,B489)</f>
        <v/>
      </c>
      <c r="B489" s="10" t="inlineStr">
        <is>
          <t>Marmore Cinza</t>
        </is>
      </c>
      <c r="C489" s="11" t="inlineStr">
        <is>
          <t>M2</t>
        </is>
      </c>
      <c r="D489" s="2162">
        <f>E489*$D$1</f>
        <v/>
      </c>
      <c r="E489" s="2162" t="n">
        <v>480</v>
      </c>
      <c r="F489" s="2162" t="inlineStr">
        <is>
          <t>Pedras acabamento</t>
        </is>
      </c>
      <c r="G489" s="2162" t="inlineStr">
        <is>
          <t>Pedras acabamento</t>
        </is>
      </c>
      <c r="H489" s="2162" t="n"/>
      <c r="I489" s="4" t="inlineStr">
        <is>
          <t>Revestimentos</t>
        </is>
      </c>
    </row>
    <row r="490" ht="14.25" customHeight="1">
      <c r="A490" s="10">
        <f>COUNTIFS($B$2:$B$996,B490)</f>
        <v/>
      </c>
      <c r="B490" s="82" t="inlineStr">
        <is>
          <t>Pedra Moledo Natural Cinza</t>
        </is>
      </c>
      <c r="C490" s="83" t="inlineStr">
        <is>
          <t>M2</t>
        </is>
      </c>
      <c r="D490" s="2165">
        <f>E490*$D$1</f>
        <v/>
      </c>
      <c r="E490" s="2165" t="n">
        <v>265.9</v>
      </c>
      <c r="F490" s="2165" t="inlineStr">
        <is>
          <t>Pedras acabamento</t>
        </is>
      </c>
      <c r="G490" s="2165" t="inlineStr">
        <is>
          <t>Pedras acabamento</t>
        </is>
      </c>
      <c r="H490" s="2165" t="n"/>
      <c r="I490" s="85" t="inlineStr">
        <is>
          <t>Revestimentos</t>
        </is>
      </c>
    </row>
    <row r="491" ht="14.25" customHeight="1">
      <c r="A491" s="10">
        <f>COUNTIFS($B$2:$B$996,B491)</f>
        <v/>
      </c>
      <c r="B491" s="82" t="inlineStr">
        <is>
          <t>Pastilha vítrea decorada, padrão customizado, placa 30x30 cm - Jatobá / NGK Pastilhas</t>
        </is>
      </c>
      <c r="C491" s="83" t="inlineStr">
        <is>
          <t>M2</t>
        </is>
      </c>
      <c r="D491" s="2165">
        <f>E491*$D$1</f>
        <v/>
      </c>
      <c r="E491" s="2165" t="n">
        <v>480</v>
      </c>
      <c r="F491" s="2165" t="inlineStr">
        <is>
          <t>Pedras acabamento</t>
        </is>
      </c>
      <c r="G491" s="2165" t="inlineStr">
        <is>
          <t>Pedras acabamento</t>
        </is>
      </c>
      <c r="H491" s="2165" t="n"/>
      <c r="I491" s="85" t="inlineStr">
        <is>
          <t>Revestimentos</t>
        </is>
      </c>
    </row>
    <row r="492" ht="14.25" customHeight="1">
      <c r="A492" s="10">
        <f>COUNTIFS($B$2:$B$996,B492)</f>
        <v/>
      </c>
      <c r="B492" s="82" t="inlineStr">
        <is>
          <t>Granito itaunas branco</t>
        </is>
      </c>
      <c r="C492" s="83" t="inlineStr">
        <is>
          <t>M2</t>
        </is>
      </c>
      <c r="D492" s="2165">
        <f>E492*$D$1</f>
        <v/>
      </c>
      <c r="E492" s="2165" t="n">
        <v>750</v>
      </c>
      <c r="F492" s="2165" t="inlineStr">
        <is>
          <t>Pedras acabamento</t>
        </is>
      </c>
      <c r="G492" s="2165" t="inlineStr">
        <is>
          <t>Pedras acabamento</t>
        </is>
      </c>
      <c r="H492" s="2165" t="n"/>
      <c r="I492" s="85" t="inlineStr">
        <is>
          <t>Revestimentos</t>
        </is>
      </c>
    </row>
    <row r="493" ht="14.25" customHeight="1">
      <c r="A493" s="10">
        <f>COUNTIFS($B$2:$B$996,B493)</f>
        <v/>
      </c>
      <c r="B493" s="82" t="inlineStr">
        <is>
          <t xml:space="preserve">Granito preto são gabriel </t>
        </is>
      </c>
      <c r="C493" s="83" t="inlineStr">
        <is>
          <t>M2</t>
        </is>
      </c>
      <c r="D493" s="2165">
        <f>E493*$D$1</f>
        <v/>
      </c>
      <c r="E493" s="2165" t="n">
        <v>650</v>
      </c>
      <c r="F493" s="2165" t="inlineStr">
        <is>
          <t>Pedras acabamento</t>
        </is>
      </c>
      <c r="G493" s="2165" t="inlineStr">
        <is>
          <t>Pedras acabamento</t>
        </is>
      </c>
      <c r="H493" s="2165" t="n"/>
      <c r="I493" s="85" t="inlineStr">
        <is>
          <t>Revestimentos</t>
        </is>
      </c>
    </row>
    <row r="494" ht="15.75" customHeight="1">
      <c r="A494" s="10">
        <f>COUNTIFS($B$2:$B$996,B494)</f>
        <v/>
      </c>
      <c r="B494" s="10" t="inlineStr">
        <is>
          <t>Marmore Preto</t>
        </is>
      </c>
      <c r="C494" s="11" t="inlineStr">
        <is>
          <t>M2</t>
        </is>
      </c>
      <c r="D494" s="2162">
        <f>E494*$D$1</f>
        <v/>
      </c>
      <c r="E494" s="2162" t="n">
        <v>195</v>
      </c>
      <c r="F494" s="2162" t="inlineStr">
        <is>
          <t>Pedras acabamento</t>
        </is>
      </c>
      <c r="G494" s="2162" t="inlineStr">
        <is>
          <t>Pedras acabamento</t>
        </is>
      </c>
      <c r="H494" s="2162" t="n"/>
      <c r="I494" s="4" t="inlineStr">
        <is>
          <t>Revestimentos</t>
        </is>
      </c>
    </row>
    <row r="495" ht="15.75" customHeight="1">
      <c r="A495" s="10">
        <f>COUNTIFS($B$2:$B$996,B495)</f>
        <v/>
      </c>
      <c r="B495" s="10" t="inlineStr">
        <is>
          <t xml:space="preserve">Granito Comercial </t>
        </is>
      </c>
      <c r="C495" s="11" t="inlineStr">
        <is>
          <t>M2</t>
        </is>
      </c>
      <c r="D495" s="2162">
        <f>E495*$D$1</f>
        <v/>
      </c>
      <c r="E495" s="2162" t="n">
        <v>650</v>
      </c>
      <c r="F495" s="2162" t="inlineStr">
        <is>
          <t>Pedras acabamento</t>
        </is>
      </c>
      <c r="G495" s="2162" t="inlineStr">
        <is>
          <t>Pedras acabamento</t>
        </is>
      </c>
      <c r="H495" s="2162" t="n"/>
      <c r="I495" s="4" t="inlineStr">
        <is>
          <t>Revestimentos</t>
        </is>
      </c>
    </row>
    <row r="496" ht="15.75" customHeight="1">
      <c r="A496" s="10">
        <f>COUNTIFS($B$2:$B$996,B496)</f>
        <v/>
      </c>
      <c r="B496" s="10" t="inlineStr">
        <is>
          <t>Granito branco Ceará</t>
        </is>
      </c>
      <c r="C496" s="11" t="inlineStr">
        <is>
          <t>M2</t>
        </is>
      </c>
      <c r="D496" s="2162">
        <f>E496*$D$1</f>
        <v/>
      </c>
      <c r="E496" s="2162" t="n">
        <v>650</v>
      </c>
      <c r="F496" s="2162" t="inlineStr">
        <is>
          <t>Pedras acabamento</t>
        </is>
      </c>
      <c r="G496" s="2162" t="inlineStr">
        <is>
          <t>Pedras acabamento</t>
        </is>
      </c>
      <c r="H496" s="2162" t="n"/>
      <c r="I496" s="4" t="inlineStr">
        <is>
          <t>Revestimentos</t>
        </is>
      </c>
    </row>
    <row r="497" ht="15.75" customHeight="1">
      <c r="A497" s="10">
        <f>COUNTIFS($B$2:$B$996,B497)</f>
        <v/>
      </c>
      <c r="B497" s="10" t="inlineStr">
        <is>
          <t>Granito siena branco</t>
        </is>
      </c>
      <c r="C497" s="11" t="inlineStr">
        <is>
          <t>M2</t>
        </is>
      </c>
      <c r="D497" s="2162">
        <f>E497*$D$1</f>
        <v/>
      </c>
      <c r="E497" s="2162" t="n">
        <v>650</v>
      </c>
      <c r="F497" s="2162" t="inlineStr">
        <is>
          <t>Pedras acabamento</t>
        </is>
      </c>
      <c r="G497" s="2162" t="inlineStr">
        <is>
          <t>Pedras acabamento</t>
        </is>
      </c>
      <c r="H497" s="2162" t="n"/>
      <c r="I497" s="4" t="inlineStr">
        <is>
          <t>Revestimentos</t>
        </is>
      </c>
    </row>
    <row r="498" ht="15.75" customHeight="1">
      <c r="A498" s="10">
        <f>COUNTIFS($B$2:$B$996,B498)</f>
        <v/>
      </c>
      <c r="B498" s="10" t="inlineStr">
        <is>
          <t>Mosaico São Tomé Para Paredes e Fachadas</t>
        </is>
      </c>
      <c r="C498" s="11" t="inlineStr">
        <is>
          <t>M2</t>
        </is>
      </c>
      <c r="D498" s="2162">
        <f>E498*$D$1</f>
        <v/>
      </c>
      <c r="E498" s="2162" t="n">
        <v>650</v>
      </c>
      <c r="F498" s="2162" t="inlineStr">
        <is>
          <t>Pedras acabamento</t>
        </is>
      </c>
      <c r="G498" s="2162" t="inlineStr">
        <is>
          <t>Pedras acabamento</t>
        </is>
      </c>
      <c r="H498" s="2162" t="n"/>
      <c r="I498" s="4" t="inlineStr">
        <is>
          <t>Revestimentos</t>
        </is>
      </c>
    </row>
    <row r="499" ht="15.75" customHeight="1">
      <c r="A499" s="10">
        <f>COUNTIFS($B$2:$B$996,B499)</f>
        <v/>
      </c>
      <c r="B499" s="10" t="inlineStr">
        <is>
          <t>Pedra Natural  para Revestimento</t>
        </is>
      </c>
      <c r="C499" s="11" t="inlineStr">
        <is>
          <t>M2</t>
        </is>
      </c>
      <c r="D499" s="2162">
        <f>E499*$D$1</f>
        <v/>
      </c>
      <c r="E499" s="2162" t="n">
        <v>800</v>
      </c>
      <c r="F499" s="2162" t="inlineStr">
        <is>
          <t>Pedras acabamento</t>
        </is>
      </c>
      <c r="G499" s="2162" t="inlineStr">
        <is>
          <t>Pedras acabamento</t>
        </is>
      </c>
      <c r="H499" s="2162" t="n"/>
      <c r="I499" s="4" t="inlineStr">
        <is>
          <t>Revestimentos</t>
        </is>
      </c>
    </row>
    <row r="500" ht="15.75" customHeight="1">
      <c r="A500" s="10">
        <f>COUNTIFS($B$2:$B$996,B500)</f>
        <v/>
      </c>
      <c r="B500" s="10" t="inlineStr">
        <is>
          <t>Pedra Natural moledo</t>
        </is>
      </c>
      <c r="C500" s="11" t="inlineStr">
        <is>
          <t>M2</t>
        </is>
      </c>
      <c r="D500" s="2162">
        <f>E500*$D$1</f>
        <v/>
      </c>
      <c r="E500" s="2162" t="n">
        <v>800</v>
      </c>
      <c r="F500" s="2162" t="inlineStr">
        <is>
          <t>Pedras acabamento</t>
        </is>
      </c>
      <c r="G500" s="2162" t="inlineStr">
        <is>
          <t>Pedras acabamento</t>
        </is>
      </c>
      <c r="H500" s="2162" t="n"/>
      <c r="I500" s="4" t="inlineStr">
        <is>
          <t>Revestimentos</t>
        </is>
      </c>
    </row>
    <row r="501" ht="15.75" customHeight="1">
      <c r="A501" s="10">
        <f>COUNTIFS($B$2:$B$996,B501)</f>
        <v/>
      </c>
      <c r="B501" s="10" t="inlineStr">
        <is>
          <t>Pedras Quartzito Van Gogh</t>
        </is>
      </c>
      <c r="C501" s="11" t="inlineStr">
        <is>
          <t>M2</t>
        </is>
      </c>
      <c r="D501" s="2162">
        <f>E501*$D$1</f>
        <v/>
      </c>
      <c r="E501" s="2162" t="n">
        <v>3200</v>
      </c>
      <c r="F501" s="2162" t="inlineStr">
        <is>
          <t>Pedras acabamento</t>
        </is>
      </c>
      <c r="G501" s="2162" t="inlineStr">
        <is>
          <t>Pedras acabamento</t>
        </is>
      </c>
      <c r="H501" s="2162" t="n"/>
      <c r="I501" s="4" t="inlineStr">
        <is>
          <t>Revestimentos</t>
        </is>
      </c>
    </row>
    <row r="502" ht="15.75" customHeight="1">
      <c r="A502" s="10">
        <f>COUNTIFS($B$2:$B$996,B502)</f>
        <v/>
      </c>
      <c r="B502" s="10" t="inlineStr">
        <is>
          <t>Revestimento em Paredes, Papel de parede, Solar, acessorios para instalação - Material</t>
        </is>
      </c>
      <c r="C502" s="11" t="inlineStr">
        <is>
          <t>M2</t>
        </is>
      </c>
      <c r="D502" s="2162">
        <f>E502*$D$1</f>
        <v/>
      </c>
      <c r="E502" s="2162">
        <f>1759/(6.52)</f>
        <v/>
      </c>
      <c r="F502" s="2162" t="inlineStr">
        <is>
          <t>Pedras acabamento</t>
        </is>
      </c>
      <c r="G502" s="2162" t="inlineStr">
        <is>
          <t>Pedras acabamento</t>
        </is>
      </c>
      <c r="H502" s="2162" t="n"/>
      <c r="I502" s="4" t="inlineStr">
        <is>
          <t>Revestimentos</t>
        </is>
      </c>
    </row>
    <row r="503" ht="15.75" customHeight="1">
      <c r="A503" s="10">
        <f>COUNTIFS($B$2:$B$996,B503)</f>
        <v/>
      </c>
      <c r="B503" s="10" t="inlineStr">
        <is>
          <t>Revestimento em Paredes, Papel de parede, Degradê Laranja 114, acessorios para instalação - Material</t>
        </is>
      </c>
      <c r="C503" s="11" t="inlineStr">
        <is>
          <t>M2</t>
        </is>
      </c>
      <c r="D503" s="2162">
        <f>E503*$D$1</f>
        <v/>
      </c>
      <c r="E503" s="2162">
        <f>1197/(1.59*3.5)</f>
        <v/>
      </c>
      <c r="F503" s="2162" t="inlineStr">
        <is>
          <t>Pedras acabamento</t>
        </is>
      </c>
      <c r="G503" s="2162" t="inlineStr">
        <is>
          <t>Pedras acabamento</t>
        </is>
      </c>
      <c r="H503" s="2162" t="n"/>
      <c r="I503" s="4" t="inlineStr">
        <is>
          <t>Revestimentos</t>
        </is>
      </c>
    </row>
    <row r="504" ht="15.75" customHeight="1">
      <c r="A504" s="10">
        <f>COUNTIFS($B$2:$B$996,B504)</f>
        <v/>
      </c>
      <c r="B504" s="10" t="inlineStr">
        <is>
          <t>Revestimento em Paredes, Papel de parede,  Jeans Cinza 246, acessorios para instalação - Material</t>
        </is>
      </c>
      <c r="C504" s="11" t="inlineStr">
        <is>
          <t>M2</t>
        </is>
      </c>
      <c r="D504" s="2162">
        <f>E504*$D$1</f>
        <v/>
      </c>
      <c r="E504" s="2162">
        <f>1106/(1.59*3.5)</f>
        <v/>
      </c>
      <c r="F504" s="2162" t="inlineStr">
        <is>
          <t>Pedras acabamento</t>
        </is>
      </c>
      <c r="G504" s="2162" t="inlineStr">
        <is>
          <t>Pedras acabamento</t>
        </is>
      </c>
      <c r="H504" s="2162" t="n"/>
      <c r="I504" s="4" t="inlineStr">
        <is>
          <t>Revestimentos</t>
        </is>
      </c>
    </row>
    <row r="505" ht="15.75" customHeight="1">
      <c r="A505" s="10">
        <f>COUNTIFS($B$2:$B$996,B505)</f>
        <v/>
      </c>
      <c r="B505" s="10" t="inlineStr">
        <is>
          <t>Revestimento em Paredes, Papel de parede, Mata Atlântica Azul, acessorios para instalação - Material</t>
        </is>
      </c>
      <c r="C505" s="11" t="inlineStr">
        <is>
          <t>M2</t>
        </is>
      </c>
      <c r="D505" s="2162">
        <f>E505*$D$1</f>
        <v/>
      </c>
      <c r="E505" s="2162">
        <f>1407/(1.59*3.5)</f>
        <v/>
      </c>
      <c r="F505" s="2162" t="inlineStr">
        <is>
          <t>Pedras acabamento</t>
        </is>
      </c>
      <c r="G505" s="2162" t="inlineStr">
        <is>
          <t>Pedras acabamento</t>
        </is>
      </c>
      <c r="H505" s="2162" t="n"/>
      <c r="I505" s="4" t="inlineStr">
        <is>
          <t>Revestimentos</t>
        </is>
      </c>
    </row>
    <row r="506" ht="15.75" customHeight="1">
      <c r="A506" s="10">
        <f>COUNTIFS($B$2:$B$996,B506)</f>
        <v/>
      </c>
      <c r="B506" s="10" t="inlineStr">
        <is>
          <t>Revestimento em Paredes, Papel de parede, Paisagem Suave Escuro, acessorios para instalação - Material</t>
        </is>
      </c>
      <c r="C506" s="11" t="inlineStr">
        <is>
          <t>M2</t>
        </is>
      </c>
      <c r="D506" s="2162">
        <f>E506*$D$1</f>
        <v/>
      </c>
      <c r="E506" s="2162">
        <f>2813/(3.18*3.5)</f>
        <v/>
      </c>
      <c r="F506" s="2162" t="inlineStr">
        <is>
          <t>Pedras acabamento</t>
        </is>
      </c>
      <c r="G506" s="2162" t="inlineStr">
        <is>
          <t>Pedras acabamento</t>
        </is>
      </c>
      <c r="H506" s="2162" t="n"/>
      <c r="I506" s="4" t="inlineStr">
        <is>
          <t>Revestimentos</t>
        </is>
      </c>
    </row>
    <row r="507" ht="15.75" customHeight="1">
      <c r="A507" s="10">
        <f>COUNTIFS($B$2:$B$996,B507)</f>
        <v/>
      </c>
      <c r="B507" s="10" t="inlineStr">
        <is>
          <t>Bucha Nylon C8</t>
        </is>
      </c>
      <c r="C507" s="11" t="inlineStr">
        <is>
          <t>UN</t>
        </is>
      </c>
      <c r="D507" s="2162">
        <f>E507*$D$1</f>
        <v/>
      </c>
      <c r="E507" s="2162" t="n">
        <v>0.34</v>
      </c>
      <c r="F507" s="2162" t="inlineStr">
        <is>
          <t>Prego/Parafuso</t>
        </is>
      </c>
      <c r="G507" s="2162" t="inlineStr">
        <is>
          <t>Prego/Parafuso</t>
        </is>
      </c>
      <c r="H507" s="2162" t="n"/>
      <c r="I507" s="4" t="inlineStr">
        <is>
          <t>Acessórios</t>
        </is>
      </c>
    </row>
    <row r="508" ht="15.75" customHeight="1">
      <c r="A508" s="10">
        <f>COUNTIFS($B$2:$B$996,B508)</f>
        <v/>
      </c>
      <c r="B508" s="10" t="inlineStr">
        <is>
          <t>Bucha S-10</t>
        </is>
      </c>
      <c r="C508" s="11" t="inlineStr">
        <is>
          <t>UN</t>
        </is>
      </c>
      <c r="D508" s="2162">
        <f>E508*$D$1</f>
        <v/>
      </c>
      <c r="E508" s="2162" t="n">
        <v>0.6</v>
      </c>
      <c r="F508" s="2162" t="inlineStr">
        <is>
          <t>Prego/Parafuso</t>
        </is>
      </c>
      <c r="G508" s="2162" t="inlineStr">
        <is>
          <t>Prego/Parafuso</t>
        </is>
      </c>
      <c r="H508" s="2162" t="n"/>
      <c r="I508" s="4" t="inlineStr">
        <is>
          <t>Acessórios</t>
        </is>
      </c>
    </row>
    <row r="509" ht="15.75" customHeight="1">
      <c r="A509" s="10">
        <f>COUNTIFS($B$2:$B$996,B509)</f>
        <v/>
      </c>
      <c r="B509" s="10" t="inlineStr">
        <is>
          <t>Bucha S-8</t>
        </is>
      </c>
      <c r="C509" s="11" t="inlineStr">
        <is>
          <t>UN</t>
        </is>
      </c>
      <c r="D509" s="2162">
        <f>E509*$D$1</f>
        <v/>
      </c>
      <c r="E509" s="2162" t="n">
        <v>0.34</v>
      </c>
      <c r="F509" s="2162" t="inlineStr">
        <is>
          <t>Prego/Parafuso</t>
        </is>
      </c>
      <c r="G509" s="2162" t="inlineStr">
        <is>
          <t>Prego/Parafuso</t>
        </is>
      </c>
      <c r="H509" s="2162" t="n"/>
      <c r="I509" s="4" t="inlineStr">
        <is>
          <t>Acessórios</t>
        </is>
      </c>
    </row>
    <row r="510" ht="15.75" customHeight="1">
      <c r="A510" s="10" t="n"/>
      <c r="B510" s="10" t="inlineStr">
        <is>
          <t>Estaca prancha EP400 para contenção, L=8,00m</t>
        </is>
      </c>
      <c r="C510" s="11" t="inlineStr">
        <is>
          <t>M2</t>
        </is>
      </c>
      <c r="D510" s="2162">
        <f>E510*$D$1</f>
        <v/>
      </c>
      <c r="E510" s="2162" t="n">
        <v>470.2840909090909</v>
      </c>
      <c r="F510" s="2162" t="inlineStr">
        <is>
          <t>Serviço Terceiros</t>
        </is>
      </c>
      <c r="G510" s="2162" t="inlineStr">
        <is>
          <t>Serviço Terceiros</t>
        </is>
      </c>
      <c r="H510" s="2162" t="inlineStr">
        <is>
          <t>Locação, Cravação e remção de estaca prança</t>
        </is>
      </c>
      <c r="I510" s="4" t="inlineStr">
        <is>
          <t>Mão de obra de Terceiros</t>
        </is>
      </c>
    </row>
    <row r="511" ht="15.75" customHeight="1">
      <c r="A511" s="10" t="n"/>
      <c r="B511" s="10" t="inlineStr">
        <is>
          <t>Mobilização e Desmobilização de equipamento e máquinas considerando serviço de carga e descarga</t>
        </is>
      </c>
      <c r="C511" s="11" t="inlineStr">
        <is>
          <t>VB</t>
        </is>
      </c>
      <c r="D511" s="2162">
        <f>E511*$D$1</f>
        <v/>
      </c>
      <c r="E511" s="2162" t="n">
        <v>12000</v>
      </c>
      <c r="F511" s="2162" t="inlineStr">
        <is>
          <t>Serviço Terceiros</t>
        </is>
      </c>
      <c r="G511" s="2162" t="inlineStr">
        <is>
          <t>Serviço Terceiros</t>
        </is>
      </c>
      <c r="H511" s="2162" t="n"/>
      <c r="I511" s="4" t="inlineStr">
        <is>
          <t>Mão de obra de Terceiros</t>
        </is>
      </c>
    </row>
    <row r="512" ht="15.75" customHeight="1">
      <c r="A512" s="10">
        <f>COUNTIFS($B$2:$B$996,B512)</f>
        <v/>
      </c>
      <c r="B512" s="10" t="inlineStr">
        <is>
          <t>CONJUNTO ARRUELAS DE VEDACAO 5/16" PARA TELHA FIBROCIMENTO (UMA ARRUELA METALICA E UMA ARRUELA PVC - CONICAS)</t>
        </is>
      </c>
      <c r="C512" s="11" t="inlineStr">
        <is>
          <t>CJ</t>
        </is>
      </c>
      <c r="D512" s="2162">
        <f>E512*$D$1</f>
        <v/>
      </c>
      <c r="E512" s="2162" t="n">
        <v>0.26</v>
      </c>
      <c r="F512" s="2162" t="inlineStr">
        <is>
          <t>Prego/Parafuso</t>
        </is>
      </c>
      <c r="G512" s="2162" t="inlineStr">
        <is>
          <t>Prego/Parafuso</t>
        </is>
      </c>
      <c r="H512" s="2162" t="n"/>
      <c r="I512" s="4" t="inlineStr">
        <is>
          <t>Acessórios</t>
        </is>
      </c>
    </row>
    <row r="513" ht="15.75" customHeight="1">
      <c r="A513" s="10">
        <f>COUNTIFS($B$2:$B$996,B513)</f>
        <v/>
      </c>
      <c r="B513" s="10" t="inlineStr">
        <is>
          <t>Fixadores e acessórios - parafusos e fixadores</t>
        </is>
      </c>
      <c r="C513" s="11" t="inlineStr">
        <is>
          <t>m2</t>
        </is>
      </c>
      <c r="D513" s="2162">
        <f>E513*$D$1</f>
        <v/>
      </c>
      <c r="E513" s="2162" t="n">
        <v>90</v>
      </c>
      <c r="F513" s="2162" t="inlineStr">
        <is>
          <t>Prego/Parafuso</t>
        </is>
      </c>
      <c r="G513" s="2162" t="inlineStr">
        <is>
          <t>Prego/Parafuso</t>
        </is>
      </c>
      <c r="H513" s="2162" t="n"/>
      <c r="I513" s="4" t="inlineStr">
        <is>
          <t>Acessórios</t>
        </is>
      </c>
    </row>
    <row r="514" ht="15.75" customHeight="1">
      <c r="A514" s="10">
        <f>COUNTIFS($B$2:$B$996,B514)</f>
        <v/>
      </c>
      <c r="B514" s="10" t="inlineStr">
        <is>
          <t>Parafuso Galvanizado</t>
        </is>
      </c>
      <c r="C514" s="11" t="inlineStr">
        <is>
          <t>UN</t>
        </is>
      </c>
      <c r="D514" s="2162">
        <f>E514*$D$1</f>
        <v/>
      </c>
      <c r="E514" s="2162" t="n">
        <v>24.95</v>
      </c>
      <c r="F514" s="2162" t="inlineStr">
        <is>
          <t>Prego/Parafuso</t>
        </is>
      </c>
      <c r="G514" s="2162" t="inlineStr">
        <is>
          <t>Prego/Parafuso</t>
        </is>
      </c>
      <c r="H514" s="2162" t="n"/>
      <c r="I514" s="4" t="inlineStr">
        <is>
          <t>Acessórios</t>
        </is>
      </c>
    </row>
    <row r="515" ht="15.75" customHeight="1">
      <c r="A515" s="10">
        <f>COUNTIFS($B$2:$B$996,B515)</f>
        <v/>
      </c>
      <c r="B515" s="10" t="inlineStr">
        <is>
          <t>Parafuso p/ Fixação de Tanque e Lavatório</t>
        </is>
      </c>
      <c r="C515" s="11" t="inlineStr">
        <is>
          <t>UN</t>
        </is>
      </c>
      <c r="D515" s="2162">
        <f>E515*$D$1</f>
        <v/>
      </c>
      <c r="E515" s="2162" t="n">
        <v>5.95</v>
      </c>
      <c r="F515" s="2162" t="inlineStr">
        <is>
          <t>Prego/Parafuso</t>
        </is>
      </c>
      <c r="G515" s="2162" t="inlineStr">
        <is>
          <t>Prego/Parafuso</t>
        </is>
      </c>
      <c r="H515" s="2162" t="n"/>
      <c r="I515" s="4" t="inlineStr">
        <is>
          <t>Acessórios</t>
        </is>
      </c>
    </row>
    <row r="516" ht="15.75" customHeight="1">
      <c r="A516" s="10">
        <f>COUNTIFS($B$2:$B$996,B516)</f>
        <v/>
      </c>
      <c r="B516" s="10" t="inlineStr">
        <is>
          <t>Parafuso p/ Fixação de Vaso Sanitário</t>
        </is>
      </c>
      <c r="C516" s="11" t="inlineStr">
        <is>
          <t>UN</t>
        </is>
      </c>
      <c r="D516" s="2162">
        <f>E516*$D$1</f>
        <v/>
      </c>
      <c r="E516" s="2162" t="n">
        <v>5.95</v>
      </c>
      <c r="F516" s="2162" t="inlineStr">
        <is>
          <t>Prego/Parafuso</t>
        </is>
      </c>
      <c r="G516" s="2162" t="inlineStr">
        <is>
          <t>Prego/Parafuso</t>
        </is>
      </c>
      <c r="H516" s="2162" t="n"/>
      <c r="I516" s="4" t="inlineStr">
        <is>
          <t>Acessórios</t>
        </is>
      </c>
    </row>
    <row r="517" ht="15.75" customHeight="1">
      <c r="A517" s="10">
        <f>COUNTIFS($B$2:$B$996,B517)</f>
        <v/>
      </c>
      <c r="B517" s="10" t="inlineStr">
        <is>
          <t>PARAFUSO ZINCADO ROSCA SOBERBA, CABECA SEXTAVADA, 5/16" X 250 MM, PARA FIXACAO DE TELHA EM MADEIRA</t>
        </is>
      </c>
      <c r="C517" s="11" t="inlineStr">
        <is>
          <t>UN</t>
        </is>
      </c>
      <c r="D517" s="2162">
        <f>E517*$D$1</f>
        <v/>
      </c>
      <c r="E517" s="2162" t="n">
        <v>4</v>
      </c>
      <c r="F517" s="2162" t="inlineStr">
        <is>
          <t>Prego/Parafuso</t>
        </is>
      </c>
      <c r="G517" s="2162" t="inlineStr">
        <is>
          <t>Prego/Parafuso</t>
        </is>
      </c>
      <c r="H517" s="2162" t="n"/>
      <c r="I517" s="4" t="inlineStr">
        <is>
          <t>Acessórios</t>
        </is>
      </c>
    </row>
    <row r="518" ht="14.25" customHeight="1">
      <c r="A518" s="10">
        <f>COUNTIFS($B$2:$B$996,B518)</f>
        <v/>
      </c>
      <c r="B518" s="87" t="inlineStr">
        <is>
          <t>PREGO DE ACO POLIDO COM CABECA 17 X 24 (2 1/4 X11)</t>
        </is>
      </c>
      <c r="C518" s="83" t="inlineStr">
        <is>
          <t>KG</t>
        </is>
      </c>
      <c r="D518" s="2165">
        <f>E518*$D$1</f>
        <v/>
      </c>
      <c r="E518" s="2165" t="n">
        <v>15.85</v>
      </c>
      <c r="F518" s="2165" t="inlineStr">
        <is>
          <t>Prego/Parafuso</t>
        </is>
      </c>
      <c r="G518" s="2165" t="inlineStr">
        <is>
          <t>Prego/Parafuso</t>
        </is>
      </c>
      <c r="H518" s="2165" t="n"/>
      <c r="I518" s="85" t="inlineStr">
        <is>
          <t>Acessórios</t>
        </is>
      </c>
    </row>
    <row r="519" ht="15.75" customHeight="1">
      <c r="A519" s="10">
        <f>COUNTIFS($B$2:$B$996,B519)</f>
        <v/>
      </c>
      <c r="B519" s="10" t="inlineStr">
        <is>
          <t>PREGO DE ACO POLIDO COM CABECA 15 X 15 (1 1/4 X 13)</t>
        </is>
      </c>
      <c r="C519" s="11" t="inlineStr">
        <is>
          <t>KG</t>
        </is>
      </c>
      <c r="D519" s="2162">
        <f>E519*$D$1</f>
        <v/>
      </c>
      <c r="E519" s="2162" t="n">
        <v>17.63</v>
      </c>
      <c r="F519" s="2162" t="inlineStr">
        <is>
          <t>Prego/Parafuso</t>
        </is>
      </c>
      <c r="G519" s="2162" t="inlineStr">
        <is>
          <t>Prego/Parafuso</t>
        </is>
      </c>
      <c r="H519" s="2162" t="n"/>
      <c r="I519" s="4" t="inlineStr">
        <is>
          <t>Acessórios</t>
        </is>
      </c>
    </row>
    <row r="520" ht="15.75" customHeight="1">
      <c r="A520" s="10">
        <f>COUNTIFS($B$2:$B$996,B520)</f>
        <v/>
      </c>
      <c r="B520" s="10" t="inlineStr">
        <is>
          <t>PREGO DE ACO POLIDO COM CABECA 15 X 18 (1 1/2 X 13)</t>
        </is>
      </c>
      <c r="C520" s="11" t="inlineStr">
        <is>
          <t>KG</t>
        </is>
      </c>
      <c r="D520" s="2162">
        <f>E520*$D$1</f>
        <v/>
      </c>
      <c r="E520" s="2162" t="n">
        <v>18.8</v>
      </c>
      <c r="F520" s="2162" t="inlineStr">
        <is>
          <t>Prego/Parafuso</t>
        </is>
      </c>
      <c r="G520" s="2162" t="inlineStr">
        <is>
          <t>Prego/Parafuso</t>
        </is>
      </c>
      <c r="H520" s="2162" t="n"/>
      <c r="I520" s="4" t="inlineStr">
        <is>
          <t>Acessórios</t>
        </is>
      </c>
    </row>
    <row r="521" ht="15.75" customHeight="1">
      <c r="A521" s="10">
        <f>COUNTIFS($B$2:$B$996,B521)</f>
        <v/>
      </c>
      <c r="B521" s="10" t="inlineStr">
        <is>
          <t>PREGO DE ACO POLIDO COM CABECA 16 X 24 (2 1/4 X 12)</t>
        </is>
      </c>
      <c r="C521" s="11" t="inlineStr">
        <is>
          <t>KG</t>
        </is>
      </c>
      <c r="D521" s="2162">
        <f>E521*$D$1</f>
        <v/>
      </c>
      <c r="E521" s="2162" t="n">
        <v>13.08</v>
      </c>
      <c r="F521" s="2162" t="inlineStr">
        <is>
          <t>Prego/Parafuso</t>
        </is>
      </c>
      <c r="G521" s="2162" t="inlineStr">
        <is>
          <t>Prego/Parafuso</t>
        </is>
      </c>
      <c r="H521" s="2162" t="n"/>
      <c r="I521" s="4" t="inlineStr">
        <is>
          <t>Acessórios</t>
        </is>
      </c>
    </row>
    <row r="522" ht="15.75" customHeight="1">
      <c r="A522" s="10">
        <f>COUNTIFS($B$2:$B$996,B522)</f>
        <v/>
      </c>
      <c r="B522" s="10" t="inlineStr">
        <is>
          <t>PREGO DE ACO POLIDO COM CABECA 17 X 21 (2 X 11)</t>
        </is>
      </c>
      <c r="C522" s="11" t="inlineStr">
        <is>
          <t>KG</t>
        </is>
      </c>
      <c r="D522" s="2162">
        <f>E522*$D$1</f>
        <v/>
      </c>
      <c r="E522" s="2162" t="n">
        <v>18.13</v>
      </c>
      <c r="F522" s="2162" t="inlineStr">
        <is>
          <t>Prego/Parafuso</t>
        </is>
      </c>
      <c r="G522" s="2162" t="inlineStr">
        <is>
          <t>Prego/Parafuso</t>
        </is>
      </c>
      <c r="H522" s="2162" t="n"/>
      <c r="I522" s="4" t="inlineStr">
        <is>
          <t>Acessórios</t>
        </is>
      </c>
    </row>
    <row r="523" ht="15.75" customHeight="1">
      <c r="A523" s="10">
        <f>COUNTIFS($B$2:$B$996,B523)</f>
        <v/>
      </c>
      <c r="B523" s="10" t="inlineStr">
        <is>
          <t>PREGO DE ACO POLIDO COM CABECA 17 x 27 (2 1/2 x 11)</t>
        </is>
      </c>
      <c r="C523" s="11" t="inlineStr">
        <is>
          <t>KG</t>
        </is>
      </c>
      <c r="D523" s="2162">
        <f>E523*$D$1</f>
        <v/>
      </c>
      <c r="E523" s="2162" t="n">
        <v>12.7</v>
      </c>
      <c r="F523" s="2162" t="inlineStr">
        <is>
          <t>Prego/Parafuso</t>
        </is>
      </c>
      <c r="G523" s="2162" t="inlineStr">
        <is>
          <t>Prego/Parafuso</t>
        </is>
      </c>
      <c r="H523" s="2162" t="inlineStr">
        <is>
          <t>Custo Incorrido</t>
        </is>
      </c>
      <c r="I523" s="4" t="inlineStr">
        <is>
          <t>Acessórios</t>
        </is>
      </c>
    </row>
    <row r="524" ht="15.75" customHeight="1">
      <c r="A524" s="10">
        <f>COUNTIFS($B$2:$B$996,B524)</f>
        <v/>
      </c>
      <c r="B524" s="10" t="inlineStr">
        <is>
          <t>PREGO DE ACO POLIDO COM CABECA 18 X 27 (2 1/2 X 10)</t>
        </is>
      </c>
      <c r="C524" s="11" t="inlineStr">
        <is>
          <t>KG</t>
        </is>
      </c>
      <c r="D524" s="2162">
        <f>E524*$D$1</f>
        <v/>
      </c>
      <c r="E524" s="2162" t="n">
        <v>15.65</v>
      </c>
      <c r="F524" s="2162" t="inlineStr">
        <is>
          <t>Prego/Parafuso</t>
        </is>
      </c>
      <c r="G524" s="2162" t="inlineStr">
        <is>
          <t>Prego/Parafuso</t>
        </is>
      </c>
      <c r="H524" s="2162" t="n"/>
      <c r="I524" s="4" t="inlineStr">
        <is>
          <t>Acessórios</t>
        </is>
      </c>
    </row>
    <row r="525" ht="15.75" customHeight="1">
      <c r="A525" s="10">
        <f>COUNTIFS($B$2:$B$996,B525)</f>
        <v/>
      </c>
      <c r="B525" s="10" t="inlineStr">
        <is>
          <t>PREGO DE ACO POLIDO COM CABECA 19 X 36 (3 1/4 X 9)</t>
        </is>
      </c>
      <c r="C525" s="11" t="inlineStr">
        <is>
          <t>KG</t>
        </is>
      </c>
      <c r="D525" s="2162">
        <f>E525*$D$1</f>
        <v/>
      </c>
      <c r="E525" s="2162" t="n">
        <v>15.9</v>
      </c>
      <c r="F525" s="2162" t="inlineStr">
        <is>
          <t>Prego/Parafuso</t>
        </is>
      </c>
      <c r="G525" s="2162" t="inlineStr">
        <is>
          <t>Prego/Parafuso</t>
        </is>
      </c>
      <c r="H525" s="2162" t="n"/>
      <c r="I525" s="4" t="inlineStr">
        <is>
          <t>Acessórios</t>
        </is>
      </c>
    </row>
    <row r="526" ht="15.75" customHeight="1">
      <c r="A526" s="10">
        <f>COUNTIFS($B$2:$B$996,B526)</f>
        <v/>
      </c>
      <c r="B526" s="10" t="inlineStr">
        <is>
          <t>PREGO DE ACO POLIDO COM CABECA 22 X 48 (4 1/4 X 5)</t>
        </is>
      </c>
      <c r="C526" s="11" t="inlineStr">
        <is>
          <t>KG</t>
        </is>
      </c>
      <c r="D526" s="2162">
        <f>E526*$D$1</f>
        <v/>
      </c>
      <c r="E526" s="2162" t="n">
        <v>16.04</v>
      </c>
      <c r="F526" s="2162" t="inlineStr">
        <is>
          <t>Prego/Parafuso</t>
        </is>
      </c>
      <c r="G526" s="2162" t="inlineStr">
        <is>
          <t>Prego/Parafuso</t>
        </is>
      </c>
      <c r="H526" s="2162" t="n"/>
      <c r="I526" s="4" t="inlineStr">
        <is>
          <t>Acessórios</t>
        </is>
      </c>
    </row>
    <row r="527" ht="15.75" customHeight="1">
      <c r="A527" s="10">
        <f>COUNTIFS($B$2:$B$996,B527)</f>
        <v/>
      </c>
      <c r="B527" s="10" t="inlineStr">
        <is>
          <t>PREGO GALVANIZADO LISO S/CABECA 17X21 NBR 6627</t>
        </is>
      </c>
      <c r="C527" s="11" t="inlineStr">
        <is>
          <t>KG</t>
        </is>
      </c>
      <c r="D527" s="2162">
        <f>E527*$D$1</f>
        <v/>
      </c>
      <c r="E527" s="2162" t="n">
        <v>10.03</v>
      </c>
      <c r="F527" s="2162" t="inlineStr">
        <is>
          <t>Prego/Parafuso</t>
        </is>
      </c>
      <c r="G527" s="2162" t="inlineStr">
        <is>
          <t>Prego/Parafuso</t>
        </is>
      </c>
      <c r="H527" s="2162" t="n"/>
      <c r="I527" s="4" t="inlineStr">
        <is>
          <t>Acessórios</t>
        </is>
      </c>
    </row>
    <row r="528" ht="15.75" customHeight="1">
      <c r="A528" s="10">
        <f>COUNTIFS($B$2:$B$996,B528)</f>
        <v/>
      </c>
      <c r="B528" s="10" t="inlineStr">
        <is>
          <t>REBITE DE REPUXO EM ALUMINIO VAZADO, DIAMETRO 3,2 X 8 MM DE COMPRIMENTO (1KG = 1025 UNIDADES)</t>
        </is>
      </c>
      <c r="C528" s="11" t="inlineStr">
        <is>
          <t>KG</t>
        </is>
      </c>
      <c r="D528" s="2162">
        <f>E528*$D$1</f>
        <v/>
      </c>
      <c r="E528" s="2162" t="n">
        <v>71.51000000000001</v>
      </c>
      <c r="F528" s="2162" t="inlineStr">
        <is>
          <t>Prego/Parafuso</t>
        </is>
      </c>
      <c r="G528" s="2162" t="inlineStr">
        <is>
          <t>Prego/Parafuso</t>
        </is>
      </c>
      <c r="H528" s="2162" t="n"/>
      <c r="I528" s="4" t="inlineStr">
        <is>
          <t>Acessórios</t>
        </is>
      </c>
    </row>
    <row r="529" ht="15.75" customHeight="1">
      <c r="A529" s="10">
        <f>COUNTIFS($B$2:$B$996,B529)</f>
        <v/>
      </c>
      <c r="B529" s="10" t="inlineStr">
        <is>
          <t>LAJE PRE-MOLDADA CONVENCIONAL (LAJOTAS + VIGOTAS) PARA PISO, UNIDIRECIONAL, SOBRECARGA DE 200 KG/M2, VAO ATE 3,50 M (SEM COLOCACAO)</t>
        </is>
      </c>
      <c r="C529" s="11" t="inlineStr">
        <is>
          <t>M2</t>
        </is>
      </c>
      <c r="D529" s="2162">
        <f>E529*$D$1</f>
        <v/>
      </c>
      <c r="E529" s="2162" t="n">
        <v>59.4</v>
      </c>
      <c r="F529" s="2162" t="inlineStr">
        <is>
          <t>Pre-Moldado</t>
        </is>
      </c>
      <c r="G529" s="2162" t="inlineStr">
        <is>
          <t>Pre-Moldado</t>
        </is>
      </c>
      <c r="H529" s="2162" t="n"/>
      <c r="I529" s="4" t="inlineStr">
        <is>
          <t>Pré-Moldados</t>
        </is>
      </c>
    </row>
    <row r="530" ht="15.75" customHeight="1">
      <c r="A530" s="10">
        <f>COUNTIFS($B$2:$B$996,B530)</f>
        <v/>
      </c>
      <c r="B530" s="10" t="inlineStr">
        <is>
          <t>Espaçador para armadura</t>
        </is>
      </c>
      <c r="C530" s="11" t="inlineStr">
        <is>
          <t>UN</t>
        </is>
      </c>
      <c r="D530" s="2162">
        <f>E530*$D$1</f>
        <v/>
      </c>
      <c r="E530" s="2162" t="n">
        <v>0.27</v>
      </c>
      <c r="F530" s="2162" t="inlineStr">
        <is>
          <t>Revestimentos</t>
        </is>
      </c>
      <c r="G530" s="2162" t="inlineStr">
        <is>
          <t>Diversos</t>
        </is>
      </c>
      <c r="H530" s="2162" t="n"/>
      <c r="I530" s="4" t="inlineStr">
        <is>
          <t>Revestimentos</t>
        </is>
      </c>
    </row>
    <row r="531" ht="15.75" customHeight="1">
      <c r="A531" s="10">
        <f>COUNTIFS($B$2:$B$996,B531)</f>
        <v/>
      </c>
      <c r="B531" s="10" t="inlineStr">
        <is>
          <t>Espeçador junta piso 2mm</t>
        </is>
      </c>
      <c r="C531" s="11" t="inlineStr">
        <is>
          <t>UN</t>
        </is>
      </c>
      <c r="D531" s="2162">
        <f>E531*$D$1</f>
        <v/>
      </c>
      <c r="E531" s="2162" t="n">
        <v>0.08</v>
      </c>
      <c r="F531" s="2162" t="inlineStr">
        <is>
          <t>Revestimentos</t>
        </is>
      </c>
      <c r="G531" s="2162" t="inlineStr">
        <is>
          <t>Diversos</t>
        </is>
      </c>
      <c r="H531" s="2162" t="n"/>
      <c r="I531" s="4" t="inlineStr">
        <is>
          <t>Revestimentos</t>
        </is>
      </c>
    </row>
    <row r="532" ht="15.75" customHeight="1">
      <c r="A532" s="10">
        <f>COUNTIFS($B$2:$B$996,B532)</f>
        <v/>
      </c>
      <c r="B532" s="10" t="inlineStr">
        <is>
          <t>Espeçador junta piso 3mm</t>
        </is>
      </c>
      <c r="C532" s="11" t="inlineStr">
        <is>
          <t>UN</t>
        </is>
      </c>
      <c r="D532" s="2162">
        <f>E532*$D$1</f>
        <v/>
      </c>
      <c r="E532" s="2162" t="n">
        <v>0.05</v>
      </c>
      <c r="F532" s="2162" t="inlineStr">
        <is>
          <t>Revestimentos</t>
        </is>
      </c>
      <c r="G532" s="2162" t="inlineStr">
        <is>
          <t>Diversos</t>
        </is>
      </c>
      <c r="H532" s="2162" t="n"/>
      <c r="I532" s="4" t="inlineStr">
        <is>
          <t>Revestimentos</t>
        </is>
      </c>
    </row>
    <row r="533" ht="15.75" customHeight="1">
      <c r="A533" s="10">
        <f>COUNTIFS($B$2:$B$996,B533)</f>
        <v/>
      </c>
      <c r="B533" s="10" t="inlineStr">
        <is>
          <t>Estrutura steel deck + concreto</t>
        </is>
      </c>
      <c r="C533" s="11" t="inlineStr">
        <is>
          <t>M2</t>
        </is>
      </c>
      <c r="D533" s="2162">
        <f>E533*$D$1</f>
        <v/>
      </c>
      <c r="E533" s="2162" t="n">
        <v>450</v>
      </c>
      <c r="F533" s="2162" t="inlineStr">
        <is>
          <t>Revestimentos</t>
        </is>
      </c>
      <c r="G533" s="2162" t="inlineStr">
        <is>
          <t>Diversos</t>
        </is>
      </c>
      <c r="H533" s="2162" t="n"/>
      <c r="I533" s="4" t="inlineStr">
        <is>
          <t>Revestimentos</t>
        </is>
      </c>
    </row>
    <row r="534" ht="15.75" customHeight="1">
      <c r="A534" s="10">
        <f>COUNTIFS($B$2:$B$996,B534)</f>
        <v/>
      </c>
      <c r="B534" s="10" t="inlineStr">
        <is>
          <t>Regularização e proteção mecânica</t>
        </is>
      </c>
      <c r="C534" s="11" t="inlineStr">
        <is>
          <t>M2</t>
        </is>
      </c>
      <c r="D534" s="2162">
        <f>E534*$D$1</f>
        <v/>
      </c>
      <c r="E534" s="2162" t="n">
        <v>80</v>
      </c>
      <c r="F534" s="2162" t="inlineStr">
        <is>
          <t>Revestimentos</t>
        </is>
      </c>
      <c r="G534" s="2162" t="inlineStr">
        <is>
          <t>Diversos</t>
        </is>
      </c>
      <c r="H534" s="2162" t="n"/>
      <c r="I534" s="4" t="inlineStr">
        <is>
          <t>Revestimentos</t>
        </is>
      </c>
    </row>
    <row r="535" ht="15.75" customHeight="1">
      <c r="A535" s="10">
        <f>COUNTIFS($B$2:$B$996,B535)</f>
        <v/>
      </c>
      <c r="B535" s="10" t="inlineStr">
        <is>
          <t>Impermeabilização antirraiz</t>
        </is>
      </c>
      <c r="C535" s="11" t="inlineStr">
        <is>
          <t>M2</t>
        </is>
      </c>
      <c r="D535" s="2162">
        <f>E535*$D$1</f>
        <v/>
      </c>
      <c r="E535" s="2162" t="n">
        <v>160</v>
      </c>
      <c r="F535" s="2162" t="inlineStr">
        <is>
          <t>Revestimentos</t>
        </is>
      </c>
      <c r="G535" s="2162" t="inlineStr">
        <is>
          <t>Diversos</t>
        </is>
      </c>
      <c r="H535" s="2162" t="n"/>
      <c r="I535" s="4" t="inlineStr">
        <is>
          <t>Revestimentos</t>
        </is>
      </c>
    </row>
    <row r="536" ht="15.75" customHeight="1">
      <c r="A536" s="10">
        <f>COUNTIFS($B$2:$B$996,B536)</f>
        <v/>
      </c>
      <c r="B536" s="10" t="inlineStr">
        <is>
          <t>Camada drenante</t>
        </is>
      </c>
      <c r="C536" s="11" t="inlineStr">
        <is>
          <t>M2</t>
        </is>
      </c>
      <c r="D536" s="2162">
        <f>E536*$D$1</f>
        <v/>
      </c>
      <c r="E536" s="2162" t="n">
        <v>140</v>
      </c>
      <c r="F536" s="2162" t="inlineStr">
        <is>
          <t>Revestimentos</t>
        </is>
      </c>
      <c r="G536" s="2162" t="inlineStr">
        <is>
          <t>Diversos</t>
        </is>
      </c>
      <c r="H536" s="2162" t="n"/>
      <c r="I536" s="4" t="inlineStr">
        <is>
          <t>Revestimentos</t>
        </is>
      </c>
    </row>
    <row r="537" ht="15.75" customHeight="1">
      <c r="A537" s="10">
        <f>COUNTIFS($B$2:$B$996,B537)</f>
        <v/>
      </c>
      <c r="B537" s="10" t="inlineStr">
        <is>
          <t>Manta filtrante</t>
        </is>
      </c>
      <c r="C537" s="11" t="inlineStr">
        <is>
          <t>M2</t>
        </is>
      </c>
      <c r="D537" s="2162">
        <f>E537*$D$1</f>
        <v/>
      </c>
      <c r="E537" s="2162" t="n">
        <v>25</v>
      </c>
      <c r="F537" s="2162" t="inlineStr">
        <is>
          <t>Revestimentos</t>
        </is>
      </c>
      <c r="G537" s="2162" t="inlineStr">
        <is>
          <t>Diversos</t>
        </is>
      </c>
      <c r="H537" s="2162" t="n"/>
      <c r="I537" s="4" t="inlineStr">
        <is>
          <t>Revestimentos</t>
        </is>
      </c>
    </row>
    <row r="538" ht="15.75" customHeight="1">
      <c r="A538" s="10">
        <f>COUNTIFS($B$2:$B$996,B538)</f>
        <v/>
      </c>
      <c r="B538" s="10" t="inlineStr">
        <is>
          <t>Substrato vegetal intensivo</t>
        </is>
      </c>
      <c r="C538" s="11" t="inlineStr">
        <is>
          <t>M2</t>
        </is>
      </c>
      <c r="D538" s="2162">
        <f>E538*$D$1</f>
        <v/>
      </c>
      <c r="E538" s="2162" t="n">
        <v>260</v>
      </c>
      <c r="F538" s="2162" t="inlineStr">
        <is>
          <t>Revestimentos</t>
        </is>
      </c>
      <c r="G538" s="2162" t="inlineStr">
        <is>
          <t>Diversos</t>
        </is>
      </c>
      <c r="H538" s="2162" t="n"/>
      <c r="I538" s="4" t="inlineStr">
        <is>
          <t>Revestimentos</t>
        </is>
      </c>
    </row>
    <row r="539" ht="15.75" customHeight="1">
      <c r="A539" s="10">
        <f>COUNTIFS($B$2:$B$996,B539)</f>
        <v/>
      </c>
      <c r="B539" s="10" t="inlineStr">
        <is>
          <t>Vegetação intensiva</t>
        </is>
      </c>
      <c r="C539" s="11" t="inlineStr">
        <is>
          <t>M2</t>
        </is>
      </c>
      <c r="D539" s="2162">
        <f>E539*$D$1</f>
        <v/>
      </c>
      <c r="E539" s="2162" t="n">
        <v>320</v>
      </c>
      <c r="F539" s="2162" t="inlineStr">
        <is>
          <t>Revestimentos</t>
        </is>
      </c>
      <c r="G539" s="2162" t="inlineStr">
        <is>
          <t>Diversos</t>
        </is>
      </c>
      <c r="H539" s="2162" t="n"/>
      <c r="I539" s="4" t="inlineStr">
        <is>
          <t>Revestimentos</t>
        </is>
      </c>
    </row>
    <row r="540" ht="15.75" customHeight="1">
      <c r="A540" s="10">
        <f>COUNTIFS($B$2:$B$996,B540)</f>
        <v/>
      </c>
      <c r="B540" s="10" t="inlineStr">
        <is>
          <t>Sistema irrigação</t>
        </is>
      </c>
      <c r="C540" s="11" t="inlineStr">
        <is>
          <t>M2</t>
        </is>
      </c>
      <c r="D540" s="2162">
        <f>E540*$D$1</f>
        <v/>
      </c>
      <c r="E540" s="2162" t="n">
        <v>90</v>
      </c>
      <c r="F540" s="2162" t="inlineStr">
        <is>
          <t>Revestimentos</t>
        </is>
      </c>
      <c r="G540" s="2162" t="inlineStr">
        <is>
          <t>Diversos</t>
        </is>
      </c>
      <c r="H540" s="2162" t="n"/>
      <c r="I540" s="4" t="inlineStr">
        <is>
          <t>Revestimentos</t>
        </is>
      </c>
    </row>
    <row r="541" ht="15.75" customHeight="1">
      <c r="A541" s="10">
        <f>COUNTIFS($B$2:$B$996,B541)</f>
        <v/>
      </c>
      <c r="B541" s="10" t="inlineStr">
        <is>
          <t>Filete metálico - divisória entre pisos - aluminio escovado</t>
        </is>
      </c>
      <c r="C541" s="11" t="inlineStr">
        <is>
          <t>M2</t>
        </is>
      </c>
      <c r="D541" s="2162">
        <f>E541*$D$1</f>
        <v/>
      </c>
      <c r="E541" s="2162" t="n">
        <v>1904.761904761905</v>
      </c>
      <c r="F541" s="2162" t="inlineStr">
        <is>
          <t>Revestimentos</t>
        </is>
      </c>
      <c r="G541" s="2162" t="inlineStr">
        <is>
          <t>Diversos</t>
        </is>
      </c>
      <c r="H541" s="2162" t="n"/>
      <c r="I541" s="4" t="inlineStr">
        <is>
          <t>Revestimentos</t>
        </is>
      </c>
    </row>
    <row r="542" ht="15.75" customHeight="1">
      <c r="A542" s="10">
        <f>COUNTIFS($B$2:$B$996,B542)</f>
        <v/>
      </c>
      <c r="B542" s="10" t="inlineStr">
        <is>
          <t>Filete metálico - divisória entre pisos</t>
        </is>
      </c>
      <c r="C542" s="11" t="inlineStr">
        <is>
          <t>M</t>
        </is>
      </c>
      <c r="D542" s="2162">
        <f>E542*$D$1</f>
        <v/>
      </c>
      <c r="E542" s="2162" t="n">
        <v>133.3333333333333</v>
      </c>
      <c r="F542" s="2162" t="inlineStr">
        <is>
          <t>Revestimentos</t>
        </is>
      </c>
      <c r="G542" s="2162" t="inlineStr">
        <is>
          <t>Diversos</t>
        </is>
      </c>
      <c r="H542" s="2162" t="n"/>
      <c r="I542" s="4" t="inlineStr">
        <is>
          <t>Revestimentos</t>
        </is>
      </c>
    </row>
    <row r="543">
      <c r="A543" s="10">
        <f>COUNTIFS($B$2:$B$996,B543)</f>
        <v/>
      </c>
      <c r="B543" s="82" t="inlineStr">
        <is>
          <t>Espaçador Treliçado p/ armaduras 6 cm</t>
        </is>
      </c>
      <c r="C543" s="83" t="inlineStr">
        <is>
          <t>UN</t>
        </is>
      </c>
      <c r="D543" s="2165">
        <f>E543*$D$1</f>
        <v/>
      </c>
      <c r="E543" s="2165" t="n">
        <v>33.9</v>
      </c>
      <c r="F543" s="2165" t="inlineStr">
        <is>
          <t>Revestimentos</t>
        </is>
      </c>
      <c r="G543" s="2165" t="inlineStr">
        <is>
          <t>Diversos</t>
        </is>
      </c>
      <c r="H543" s="2165" t="n"/>
      <c r="I543" s="4" t="inlineStr">
        <is>
          <t>Revestimentos</t>
        </is>
      </c>
    </row>
    <row r="544" ht="15.75" customHeight="1">
      <c r="A544" s="10">
        <f>COUNTIFS($B$2:$B$996,B544)</f>
        <v/>
      </c>
      <c r="B544" s="10" t="inlineStr">
        <is>
          <t>TECNOLOGIA CLEANTEC EV</t>
        </is>
      </c>
      <c r="C544" s="11" t="inlineStr">
        <is>
          <t>m2</t>
        </is>
      </c>
      <c r="D544" s="2162">
        <f>E544*$D$1</f>
        <v/>
      </c>
      <c r="E544" s="2162" t="n">
        <v>85.55</v>
      </c>
      <c r="F544" s="2162" t="inlineStr">
        <is>
          <t>Revestimentos</t>
        </is>
      </c>
      <c r="G544" s="2162" t="inlineStr">
        <is>
          <t>Diversos</t>
        </is>
      </c>
      <c r="H544" s="2162" t="n"/>
      <c r="I544" s="4" t="inlineStr">
        <is>
          <t>Revestimentos</t>
        </is>
      </c>
    </row>
    <row r="545" ht="15.75" customHeight="1">
      <c r="A545" s="10">
        <f>COUNTIFS($B$2:$B$996,B545)</f>
        <v/>
      </c>
      <c r="B545" s="10" t="inlineStr">
        <is>
          <t>Rejunte Acrilico cinza platina</t>
        </is>
      </c>
      <c r="C545" s="11" t="inlineStr">
        <is>
          <t>KG</t>
        </is>
      </c>
      <c r="D545" s="2162">
        <f>E545*$D$1</f>
        <v/>
      </c>
      <c r="E545" s="2162" t="n">
        <v>38</v>
      </c>
      <c r="F545" s="2162" t="inlineStr">
        <is>
          <t>Revestimentos</t>
        </is>
      </c>
      <c r="G545" s="2162" t="inlineStr">
        <is>
          <t>Rejunte</t>
        </is>
      </c>
      <c r="H545" s="2162" t="n"/>
      <c r="I545" s="4" t="inlineStr">
        <is>
          <t>Revestimentos</t>
        </is>
      </c>
    </row>
    <row r="546" ht="15.75" customHeight="1">
      <c r="A546" s="10">
        <f>COUNTIFS($B$2:$B$996,B546)</f>
        <v/>
      </c>
      <c r="B546" s="10" t="inlineStr">
        <is>
          <t>Rejunte Acrilico</t>
        </is>
      </c>
      <c r="C546" s="11" t="inlineStr">
        <is>
          <t>KG</t>
        </is>
      </c>
      <c r="D546" s="2162">
        <f>E546*$D$1</f>
        <v/>
      </c>
      <c r="E546" s="2162" t="n">
        <v>43.8</v>
      </c>
      <c r="F546" s="2162" t="inlineStr">
        <is>
          <t>Revestimentos</t>
        </is>
      </c>
      <c r="G546" s="2162" t="inlineStr">
        <is>
          <t>Rejunte</t>
        </is>
      </c>
      <c r="H546" s="2162" t="n"/>
      <c r="I546" s="4" t="inlineStr">
        <is>
          <t>Revestimentos</t>
        </is>
      </c>
    </row>
    <row r="547" ht="15.75" customHeight="1">
      <c r="A547" s="10">
        <f>COUNTIFS($B$2:$B$996,B547)</f>
        <v/>
      </c>
      <c r="B547" s="10" t="inlineStr">
        <is>
          <t>Rejunte Cimentício</t>
        </is>
      </c>
      <c r="C547" s="11" t="inlineStr">
        <is>
          <t>KG</t>
        </is>
      </c>
      <c r="D547" s="2162">
        <f>E547*$D$1</f>
        <v/>
      </c>
      <c r="E547" s="2162" t="n">
        <v>11.15</v>
      </c>
      <c r="F547" s="2162" t="inlineStr">
        <is>
          <t>Revestimentos</t>
        </is>
      </c>
      <c r="G547" s="2162" t="inlineStr">
        <is>
          <t>Rejunte</t>
        </is>
      </c>
      <c r="H547" s="2162" t="n"/>
      <c r="I547" s="4" t="inlineStr">
        <is>
          <t>Revestimentos</t>
        </is>
      </c>
    </row>
    <row r="548" ht="15.75" customHeight="1">
      <c r="A548" s="10">
        <f>COUNTIFS($B$2:$B$996,B548)</f>
        <v/>
      </c>
      <c r="B548" s="10" t="inlineStr">
        <is>
          <t>Black Lava Brick (Hitam)</t>
        </is>
      </c>
      <c r="C548" s="11" t="inlineStr">
        <is>
          <t>M2</t>
        </is>
      </c>
      <c r="D548" s="2162">
        <f>E548*$D$1</f>
        <v/>
      </c>
      <c r="E548" s="2162" t="n">
        <v>503</v>
      </c>
      <c r="F548" s="2162" t="inlineStr">
        <is>
          <t>Revestimentos</t>
        </is>
      </c>
      <c r="G548" s="2162" t="inlineStr">
        <is>
          <t>Revestimentos</t>
        </is>
      </c>
      <c r="H548" s="2162" t="n"/>
      <c r="I548" s="4" t="inlineStr">
        <is>
          <t>Revestimentos</t>
        </is>
      </c>
    </row>
    <row r="549" ht="15.75" customHeight="1">
      <c r="A549" s="10">
        <f>COUNTIFS($B$2:$B$996,B549)</f>
        <v/>
      </c>
      <c r="B549" s="10" t="inlineStr">
        <is>
          <t>Estrutura Metálica para Portico</t>
        </is>
      </c>
      <c r="C549" s="11" t="inlineStr">
        <is>
          <t>M2</t>
        </is>
      </c>
      <c r="D549" s="2162">
        <f>E549*$D$1</f>
        <v/>
      </c>
      <c r="E549" s="2162" t="n">
        <v>880</v>
      </c>
      <c r="F549" s="2162" t="inlineStr">
        <is>
          <t>Revestimentos</t>
        </is>
      </c>
      <c r="G549" s="2162" t="inlineStr">
        <is>
          <t>Revestimentos</t>
        </is>
      </c>
      <c r="H549" s="2162" t="n"/>
      <c r="I549" s="4" t="inlineStr">
        <is>
          <t>Revestimentos</t>
        </is>
      </c>
    </row>
    <row r="550" ht="15.75" customHeight="1">
      <c r="A550" s="10">
        <f>COUNTIFS($B$2:$B$996,B550)</f>
        <v/>
      </c>
      <c r="B550" s="10" t="inlineStr">
        <is>
          <t>Acabamento em ACM em tetos - Material e mão de obra</t>
        </is>
      </c>
      <c r="C550" s="11" t="inlineStr">
        <is>
          <t>M2</t>
        </is>
      </c>
      <c r="D550" s="2162">
        <f>E550*$D$1</f>
        <v/>
      </c>
      <c r="E550" s="2162">
        <f>411*1.2*2</f>
        <v/>
      </c>
      <c r="F550" s="2162" t="inlineStr">
        <is>
          <t>Revestimentos</t>
        </is>
      </c>
      <c r="G550" s="2162" t="inlineStr">
        <is>
          <t>Revestimentos</t>
        </is>
      </c>
      <c r="H550" s="2162" t="n"/>
      <c r="I550" s="4" t="inlineStr">
        <is>
          <t>Revestimentos</t>
        </is>
      </c>
    </row>
    <row r="551" ht="15.75" customHeight="1">
      <c r="A551" s="10">
        <f>COUNTIFS($B$2:$B$996,B551)</f>
        <v/>
      </c>
      <c r="B551" s="10" t="inlineStr">
        <is>
          <t>Acabamento em ACM para Fachadas - Material e mão de obra</t>
        </is>
      </c>
      <c r="C551" s="11" t="inlineStr">
        <is>
          <t>M2</t>
        </is>
      </c>
      <c r="D551" s="2162">
        <f>E551*$D$1</f>
        <v/>
      </c>
      <c r="E551" s="2162" t="n">
        <v>1200</v>
      </c>
      <c r="F551" s="2162" t="inlineStr">
        <is>
          <t>Revestimentos</t>
        </is>
      </c>
      <c r="G551" s="2162" t="inlineStr">
        <is>
          <t>Revestimentos</t>
        </is>
      </c>
      <c r="H551" s="2162" t="n"/>
      <c r="I551" s="4" t="inlineStr">
        <is>
          <t>Revestimentos</t>
        </is>
      </c>
    </row>
    <row r="552" ht="15.75" customHeight="1">
      <c r="A552" s="10">
        <f>COUNTIFS($B$2:$B$996,B552)</f>
        <v/>
      </c>
      <c r="B552" s="10" t="inlineStr">
        <is>
          <t>Painel metálico, aplicação em Fachada - Material e  Mão de Obra</t>
        </is>
      </c>
      <c r="C552" s="11" t="inlineStr">
        <is>
          <t>M2</t>
        </is>
      </c>
      <c r="D552" s="2162">
        <f>E552*$D$1</f>
        <v/>
      </c>
      <c r="E552" s="2162" t="n">
        <v>1200</v>
      </c>
      <c r="F552" s="2162" t="inlineStr">
        <is>
          <t>Revestimentos</t>
        </is>
      </c>
      <c r="G552" s="2162" t="inlineStr">
        <is>
          <t>Revestimentos</t>
        </is>
      </c>
      <c r="H552" s="2162" t="n"/>
      <c r="I552" s="4" t="inlineStr">
        <is>
          <t>Revestimentos</t>
        </is>
      </c>
    </row>
    <row r="553" ht="15.75" customHeight="1">
      <c r="A553" s="10">
        <f>COUNTIFS($B$2:$B$996,B553)</f>
        <v/>
      </c>
      <c r="B553" s="10" t="inlineStr">
        <is>
          <t>Painel metálico perfurado, aplicação em Fachada</t>
        </is>
      </c>
      <c r="C553" s="11" t="inlineStr">
        <is>
          <t>M2</t>
        </is>
      </c>
      <c r="D553" s="2162">
        <f>E553*$D$1</f>
        <v/>
      </c>
      <c r="E553" s="2162" t="n">
        <v>1200</v>
      </c>
      <c r="F553" s="2162" t="inlineStr">
        <is>
          <t>Revestimentos</t>
        </is>
      </c>
      <c r="G553" s="2162" t="inlineStr">
        <is>
          <t>Revestimentos</t>
        </is>
      </c>
      <c r="H553" s="2162" t="n"/>
      <c r="I553" s="4" t="inlineStr">
        <is>
          <t>Revestimentos</t>
        </is>
      </c>
    </row>
    <row r="554" ht="15.75" customHeight="1">
      <c r="A554" s="10">
        <f>COUNTIFS($B$2:$B$996,B554)</f>
        <v/>
      </c>
      <c r="B554" s="10" t="inlineStr">
        <is>
          <t>PASTILHA DE PORCELANA ATLAS 15x15 GRANEL ISLA M16112</t>
        </is>
      </c>
      <c r="C554" s="11" t="inlineStr">
        <is>
          <t>M2</t>
        </is>
      </c>
      <c r="D554" s="2162">
        <f>E554*$D$1</f>
        <v/>
      </c>
      <c r="E554" s="2162" t="n">
        <v>251.36</v>
      </c>
      <c r="F554" s="2162" t="inlineStr">
        <is>
          <t>Revestimentos</t>
        </is>
      </c>
      <c r="G554" s="2162" t="inlineStr">
        <is>
          <t>Revestimentos</t>
        </is>
      </c>
      <c r="H554" s="2162" t="n"/>
      <c r="I554" s="4" t="inlineStr">
        <is>
          <t>Revestimentos</t>
        </is>
      </c>
    </row>
    <row r="555" ht="15.75" customHeight="1">
      <c r="A555" s="10">
        <f>COUNTIFS($B$2:$B$996,B555)</f>
        <v/>
      </c>
      <c r="B555" s="10" t="inlineStr">
        <is>
          <t>Cer. Karina Artisan 60305 Act. 60x60 Ret</t>
        </is>
      </c>
      <c r="C555" s="11" t="inlineStr">
        <is>
          <t>M2</t>
        </is>
      </c>
      <c r="D555" s="2162">
        <f>E555*$D$1</f>
        <v/>
      </c>
      <c r="E555" s="2162" t="n">
        <v>47.23</v>
      </c>
      <c r="F555" s="2162" t="inlineStr">
        <is>
          <t>Revestimentos</t>
        </is>
      </c>
      <c r="G555" s="2162" t="inlineStr">
        <is>
          <t>Revestimentos</t>
        </is>
      </c>
      <c r="H555" s="2162" t="n"/>
      <c r="I555" s="4" t="inlineStr">
        <is>
          <t>Revestimentos</t>
        </is>
      </c>
    </row>
    <row r="556" ht="15.75" customHeight="1">
      <c r="A556" s="10">
        <f>COUNTIFS($B$2:$B$996,B556)</f>
        <v/>
      </c>
      <c r="B556" s="10" t="inlineStr">
        <is>
          <t>Piso Emborrachado Monolitico Rubber</t>
        </is>
      </c>
      <c r="C556" s="11" t="inlineStr">
        <is>
          <t>M2</t>
        </is>
      </c>
      <c r="D556" s="2162">
        <f>E556*$D$1</f>
        <v/>
      </c>
      <c r="E556" s="2162" t="n">
        <v>250</v>
      </c>
      <c r="F556" s="2162" t="inlineStr">
        <is>
          <t>Revestimentos</t>
        </is>
      </c>
      <c r="G556" s="2162" t="inlineStr">
        <is>
          <t>Revestimentos</t>
        </is>
      </c>
      <c r="H556" s="2162" t="n"/>
      <c r="I556" s="4" t="inlineStr">
        <is>
          <t>Revestimentos</t>
        </is>
      </c>
    </row>
    <row r="557" ht="15.75" customHeight="1">
      <c r="A557" s="10">
        <f>COUNTIFS($B$2:$B$996,B557)</f>
        <v/>
      </c>
      <c r="B557" s="10" t="inlineStr">
        <is>
          <t>Piso de borracha Daud botão preto 3 x 500 x 500 mm</t>
        </is>
      </c>
      <c r="C557" s="11" t="inlineStr">
        <is>
          <t>M2</t>
        </is>
      </c>
      <c r="D557" s="2162">
        <f>E557*$D$1</f>
        <v/>
      </c>
      <c r="E557" s="2162" t="n">
        <v>56.67599999999999</v>
      </c>
      <c r="F557" s="2162" t="inlineStr">
        <is>
          <t>Revestimentos</t>
        </is>
      </c>
      <c r="G557" s="2162" t="inlineStr">
        <is>
          <t>Revestimentos</t>
        </is>
      </c>
      <c r="H557" s="2162" t="n"/>
      <c r="I557" s="4" t="inlineStr">
        <is>
          <t>Revestimentos</t>
        </is>
      </c>
    </row>
    <row r="558" ht="14.25" customHeight="1">
      <c r="A558" s="10">
        <f>COUNTIFS($B$2:$B$996,B558)</f>
        <v/>
      </c>
      <c r="B558" s="82" t="inlineStr">
        <is>
          <t>Revestimento de piso laminado acústico, nas áreas privativas - Material e Mão de Obra</t>
        </is>
      </c>
      <c r="C558" s="83" t="inlineStr">
        <is>
          <t>M2</t>
        </is>
      </c>
      <c r="D558" s="2165">
        <f>E558*$D$1</f>
        <v/>
      </c>
      <c r="E558" s="2165" t="n">
        <v>177</v>
      </c>
      <c r="F558" s="2165" t="inlineStr">
        <is>
          <t>Revestimentos</t>
        </is>
      </c>
      <c r="G558" s="2165" t="inlineStr">
        <is>
          <t>Revestimentos</t>
        </is>
      </c>
      <c r="H558" s="2165" t="n"/>
      <c r="I558" s="85" t="inlineStr">
        <is>
          <t>Revestimentos</t>
        </is>
      </c>
    </row>
    <row r="559" ht="14.25" customHeight="1">
      <c r="A559" s="10">
        <f>COUNTIFS($B$2:$B$996,B559)</f>
        <v/>
      </c>
      <c r="B559" s="82" t="inlineStr">
        <is>
          <t>Cerâmica Vulcano Cinza 61x61</t>
        </is>
      </c>
      <c r="C559" s="83" t="inlineStr">
        <is>
          <t>M2</t>
        </is>
      </c>
      <c r="D559" s="2165">
        <f>E559*$D$1</f>
        <v/>
      </c>
      <c r="E559" s="2165" t="n">
        <v>63.59</v>
      </c>
      <c r="F559" s="2165" t="inlineStr">
        <is>
          <t>Revestimentos</t>
        </is>
      </c>
      <c r="G559" s="2165" t="inlineStr">
        <is>
          <t>Revestimentos</t>
        </is>
      </c>
      <c r="H559" s="2165" t="n"/>
      <c r="I559" s="85" t="inlineStr">
        <is>
          <t>Revestimentos</t>
        </is>
      </c>
    </row>
    <row r="560" ht="15.75" customHeight="1">
      <c r="A560" s="10">
        <f>COUNTIFS($B$2:$B$996,B560)</f>
        <v/>
      </c>
      <c r="B560" s="10" t="inlineStr">
        <is>
          <t>Piso elevado</t>
        </is>
      </c>
      <c r="C560" s="11" t="inlineStr">
        <is>
          <t>M2</t>
        </is>
      </c>
      <c r="D560" s="2162">
        <f>E560*$D$1</f>
        <v/>
      </c>
      <c r="E560" s="2162" t="n">
        <v>146.7</v>
      </c>
      <c r="F560" s="2162" t="inlineStr">
        <is>
          <t>Revestimentos</t>
        </is>
      </c>
      <c r="G560" s="2162" t="inlineStr">
        <is>
          <t>Revestimentos</t>
        </is>
      </c>
      <c r="H560" s="2162" t="n"/>
      <c r="I560" s="4" t="inlineStr">
        <is>
          <t>Revestimentos</t>
        </is>
      </c>
    </row>
    <row r="561" ht="14.25" customHeight="1">
      <c r="A561" s="10">
        <f>COUNTIFS($B$2:$B$996,B561)</f>
        <v/>
      </c>
      <c r="B561" s="82" t="inlineStr">
        <is>
          <t>tijolinho aderido, cor areia</t>
        </is>
      </c>
      <c r="C561" s="83" t="inlineStr">
        <is>
          <t>M2</t>
        </is>
      </c>
      <c r="D561" s="2165">
        <f>E561*$D$1</f>
        <v/>
      </c>
      <c r="E561" s="2165" t="n">
        <v>240</v>
      </c>
      <c r="F561" s="2165" t="inlineStr">
        <is>
          <t>Revestimentos</t>
        </is>
      </c>
      <c r="G561" s="2165" t="inlineStr">
        <is>
          <t>Revestimentos</t>
        </is>
      </c>
      <c r="H561" s="2165" t="n"/>
      <c r="I561" s="85" t="inlineStr">
        <is>
          <t>Revestimentos</t>
        </is>
      </c>
    </row>
    <row r="562" ht="14.25" customHeight="1">
      <c r="A562" s="10">
        <f>COUNTIFS($B$2:$B$996,B562)</f>
        <v/>
      </c>
      <c r="B562" s="82" t="inlineStr">
        <is>
          <t>tijolinho aderido, cor vermelho escuro</t>
        </is>
      </c>
      <c r="C562" s="83" t="inlineStr">
        <is>
          <t>M2</t>
        </is>
      </c>
      <c r="D562" s="2165">
        <f>E562*$D$1</f>
        <v/>
      </c>
      <c r="E562" s="2165" t="n">
        <v>216</v>
      </c>
      <c r="F562" s="2165" t="inlineStr">
        <is>
          <t>Revestimentos</t>
        </is>
      </c>
      <c r="G562" s="2165" t="inlineStr">
        <is>
          <t>Revestimentos</t>
        </is>
      </c>
      <c r="H562" s="2165" t="n"/>
      <c r="I562" s="85" t="inlineStr">
        <is>
          <t>Revestimentos</t>
        </is>
      </c>
    </row>
    <row r="563" ht="14.25" customHeight="1">
      <c r="A563" s="10">
        <f>COUNTIFS($B$2:$B$996,B563)</f>
        <v/>
      </c>
      <c r="B563" s="82" t="inlineStr">
        <is>
          <t>tijolinho aderido, cor branco pigmentado</t>
        </is>
      </c>
      <c r="C563" s="83" t="inlineStr">
        <is>
          <t>M2</t>
        </is>
      </c>
      <c r="D563" s="2165">
        <f>E563*$D$1</f>
        <v/>
      </c>
      <c r="E563" s="2165" t="n">
        <v>288</v>
      </c>
      <c r="F563" s="2165" t="inlineStr">
        <is>
          <t>Revestimentos</t>
        </is>
      </c>
      <c r="G563" s="2165" t="inlineStr">
        <is>
          <t>Revestimentos</t>
        </is>
      </c>
      <c r="H563" s="2165" t="n"/>
      <c r="I563" s="85" t="inlineStr">
        <is>
          <t>Revestimentos</t>
        </is>
      </c>
    </row>
    <row r="564" ht="14.25" customHeight="1">
      <c r="A564" s="10">
        <f>COUNTIFS($B$2:$B$996,B564)</f>
        <v/>
      </c>
      <c r="B564" s="82" t="inlineStr">
        <is>
          <t>tijolinho ventilado, cor rosado - piso</t>
        </is>
      </c>
      <c r="C564" s="83" t="inlineStr">
        <is>
          <t>M2</t>
        </is>
      </c>
      <c r="D564" s="2165">
        <f>E564*$D$1</f>
        <v/>
      </c>
      <c r="E564" s="2165">
        <f>16.56*36</f>
        <v/>
      </c>
      <c r="F564" s="2165" t="inlineStr">
        <is>
          <t>Revestimentos</t>
        </is>
      </c>
      <c r="G564" s="2165" t="inlineStr">
        <is>
          <t>Revestimentos</t>
        </is>
      </c>
      <c r="H564" s="2165" t="n"/>
      <c r="I564" s="85" t="inlineStr">
        <is>
          <t>Revestimentos</t>
        </is>
      </c>
    </row>
    <row r="565" ht="14.25" customHeight="1">
      <c r="A565" s="10">
        <f>COUNTIFS($B$2:$B$996,B565)</f>
        <v/>
      </c>
      <c r="B565" s="82" t="inlineStr">
        <is>
          <t>tijolinho ventilado, cor tabaco - piso</t>
        </is>
      </c>
      <c r="C565" s="83" t="inlineStr">
        <is>
          <t>M2</t>
        </is>
      </c>
      <c r="D565" s="2165">
        <f>E565*$D$1</f>
        <v/>
      </c>
      <c r="E565" s="2165">
        <f>17.68*36</f>
        <v/>
      </c>
      <c r="F565" s="2165" t="inlineStr">
        <is>
          <t>Revestimentos</t>
        </is>
      </c>
      <c r="G565" s="2165" t="inlineStr">
        <is>
          <t>Revestimentos</t>
        </is>
      </c>
      <c r="H565" s="2165" t="n"/>
      <c r="I565" s="85" t="inlineStr">
        <is>
          <t>Revestimentos</t>
        </is>
      </c>
    </row>
    <row r="566" ht="14.25" customHeight="1">
      <c r="A566" s="10">
        <f>COUNTIFS($B$2:$B$996,B566)</f>
        <v/>
      </c>
      <c r="B566" s="82" t="inlineStr">
        <is>
          <t>tijolinho ventilado, cor rosado - parede</t>
        </is>
      </c>
      <c r="C566" s="83" t="inlineStr">
        <is>
          <t>M2</t>
        </is>
      </c>
      <c r="D566" s="2165">
        <f>E566*$D$1</f>
        <v/>
      </c>
      <c r="E566" s="2165">
        <f>16.56*60</f>
        <v/>
      </c>
      <c r="F566" s="2165" t="inlineStr">
        <is>
          <t>Revestimentos</t>
        </is>
      </c>
      <c r="G566" s="2165" t="inlineStr">
        <is>
          <t>Revestimentos</t>
        </is>
      </c>
      <c r="H566" s="2165" t="n"/>
      <c r="I566" s="85" t="inlineStr">
        <is>
          <t>Revestimentos</t>
        </is>
      </c>
    </row>
    <row r="567" ht="14.25" customHeight="1">
      <c r="A567" s="10">
        <f>COUNTIFS($B$2:$B$996,B567)</f>
        <v/>
      </c>
      <c r="B567" s="82" t="inlineStr">
        <is>
          <t>tijolinho ventilado, cor tabaco - parede</t>
        </is>
      </c>
      <c r="C567" s="83" t="inlineStr">
        <is>
          <t>M2</t>
        </is>
      </c>
      <c r="D567" s="2165">
        <f>E567*$D$1</f>
        <v/>
      </c>
      <c r="E567" s="2165">
        <f>17.68*60</f>
        <v/>
      </c>
      <c r="F567" s="2165" t="inlineStr">
        <is>
          <t>Revestimentos</t>
        </is>
      </c>
      <c r="G567" s="2165" t="inlineStr">
        <is>
          <t>Revestimentos</t>
        </is>
      </c>
      <c r="H567" s="2165" t="n"/>
      <c r="I567" s="85" t="inlineStr">
        <is>
          <t>Revestimentos</t>
        </is>
      </c>
    </row>
    <row r="568" ht="14.25" customHeight="1">
      <c r="A568" s="10">
        <f>COUNTIFS($B$2:$B$996,B568)</f>
        <v/>
      </c>
      <c r="B568" s="82" t="inlineStr">
        <is>
          <t>pastilha azul (OM15645 – 7,5x7,5) - atlas</t>
        </is>
      </c>
      <c r="C568" s="83" t="inlineStr">
        <is>
          <t>M2</t>
        </is>
      </c>
      <c r="D568" s="2165">
        <f>E568*$D$1</f>
        <v/>
      </c>
      <c r="E568" s="2165" t="n">
        <v>170</v>
      </c>
      <c r="F568" s="2165" t="inlineStr">
        <is>
          <t>Revestimentos</t>
        </is>
      </c>
      <c r="G568" s="2165" t="inlineStr">
        <is>
          <t>Revestimentos</t>
        </is>
      </c>
      <c r="H568" s="2165" t="n"/>
      <c r="I568" s="85" t="inlineStr">
        <is>
          <t>Revestimentos</t>
        </is>
      </c>
    </row>
    <row r="569" ht="14.25" customHeight="1">
      <c r="A569" s="10">
        <f>COUNTIFS($B$2:$B$996,B569)</f>
        <v/>
      </c>
      <c r="B569" s="82" t="inlineStr">
        <is>
          <t>pastilha azul (OM15645 – 20x20) - atlas</t>
        </is>
      </c>
      <c r="C569" s="83" t="inlineStr">
        <is>
          <t>M2</t>
        </is>
      </c>
      <c r="D569" s="2165">
        <f>E569*$D$1</f>
        <v/>
      </c>
      <c r="E569" s="2165" t="n">
        <v>130.04</v>
      </c>
      <c r="F569" s="2165" t="inlineStr">
        <is>
          <t>Revestimentos</t>
        </is>
      </c>
      <c r="G569" s="2165" t="inlineStr">
        <is>
          <t>Revestimentos</t>
        </is>
      </c>
      <c r="H569" s="2165" t="n"/>
      <c r="I569" s="85" t="inlineStr">
        <is>
          <t>Revestimentos</t>
        </is>
      </c>
    </row>
    <row r="570" ht="14.25" customHeight="1">
      <c r="A570" s="10">
        <f>COUNTIFS($B$2:$B$996,B570)</f>
        <v/>
      </c>
      <c r="B570" s="82" t="inlineStr">
        <is>
          <t>Porcelanato a 60x60 noir polido</t>
        </is>
      </c>
      <c r="C570" s="83" t="inlineStr">
        <is>
          <t>M2</t>
        </is>
      </c>
      <c r="D570" s="2165">
        <f>E570*$D$1</f>
        <v/>
      </c>
      <c r="E570" s="2165">
        <f>125.9/1.8</f>
        <v/>
      </c>
      <c r="F570" s="2165" t="inlineStr">
        <is>
          <t>Revestimentos</t>
        </is>
      </c>
      <c r="G570" s="2165" t="inlineStr">
        <is>
          <t>Revestimentos</t>
        </is>
      </c>
      <c r="H570" s="2165" t="n"/>
      <c r="I570" s="85" t="inlineStr">
        <is>
          <t>Revestimentos</t>
        </is>
      </c>
    </row>
    <row r="571" ht="14.25" customHeight="1">
      <c r="A571" s="10">
        <f>COUNTIFS($B$2:$B$996,B571)</f>
        <v/>
      </c>
      <c r="B571" s="82" t="inlineStr">
        <is>
          <t>Piso Esmaltado 60x60 Duran Grafite 60319 Retificado</t>
        </is>
      </c>
      <c r="C571" s="83" t="inlineStr">
        <is>
          <t>M2</t>
        </is>
      </c>
      <c r="D571" s="2165">
        <f>E571*$D$1</f>
        <v/>
      </c>
      <c r="E571" s="2165" t="n">
        <v>75</v>
      </c>
      <c r="F571" s="2165" t="inlineStr">
        <is>
          <t>Revestimentos</t>
        </is>
      </c>
      <c r="G571" s="2165" t="inlineStr">
        <is>
          <t>Revestimentos</t>
        </is>
      </c>
      <c r="H571" s="2165" t="n"/>
      <c r="I571" s="85" t="inlineStr">
        <is>
          <t>Revestimentos</t>
        </is>
      </c>
    </row>
    <row r="572" ht="14.25" customHeight="1">
      <c r="A572" s="10">
        <f>COUNTIFS($B$2:$B$996,B572)</f>
        <v/>
      </c>
      <c r="B572" s="82" t="inlineStr">
        <is>
          <t>Porcelanato Cemento Nebbia Retificado Acetinado 60x60 Biancogres</t>
        </is>
      </c>
      <c r="C572" s="83" t="inlineStr">
        <is>
          <t>M2</t>
        </is>
      </c>
      <c r="D572" s="2165">
        <f>E572*$D$1</f>
        <v/>
      </c>
      <c r="E572" s="2165" t="n">
        <v>62.9</v>
      </c>
      <c r="F572" s="2165" t="inlineStr">
        <is>
          <t>Revestimentos</t>
        </is>
      </c>
      <c r="G572" s="2165" t="inlineStr">
        <is>
          <t>Revestimentos</t>
        </is>
      </c>
      <c r="H572" s="2165" t="n"/>
      <c r="I572" s="85" t="inlineStr">
        <is>
          <t>Revestimentos</t>
        </is>
      </c>
    </row>
    <row r="573" ht="14.25" customHeight="1">
      <c r="A573" s="10">
        <f>COUNTIFS($B$2:$B$996,B573)</f>
        <v/>
      </c>
      <c r="B573" s="82" t="inlineStr">
        <is>
          <t>Revestimento para Piscina Esmaltado Giz Borda Arredondada Bold Cinza 15x15cm Gabriella</t>
        </is>
      </c>
      <c r="C573" s="83" t="inlineStr">
        <is>
          <t>M2</t>
        </is>
      </c>
      <c r="D573" s="2165">
        <f>E573*$D$1</f>
        <v/>
      </c>
      <c r="E573" s="2165" t="n">
        <v>143.73</v>
      </c>
      <c r="F573" s="2165" t="inlineStr">
        <is>
          <t>Revestimentos</t>
        </is>
      </c>
      <c r="G573" s="2165" t="inlineStr">
        <is>
          <t>Revestimentos</t>
        </is>
      </c>
      <c r="H573" s="2165" t="n"/>
      <c r="I573" s="85" t="inlineStr">
        <is>
          <t>Revestimentos</t>
        </is>
      </c>
    </row>
    <row r="574" ht="14.25" customHeight="1">
      <c r="A574" s="10">
        <f>COUNTIFS($B$2:$B$996,B574)</f>
        <v/>
      </c>
      <c r="B574" s="82" t="inlineStr">
        <is>
          <t>PORCELANATO 90X90 PORTOBELLO CHIARO DI VERSILIA NATURAL</t>
        </is>
      </c>
      <c r="C574" s="83" t="inlineStr">
        <is>
          <t>M2</t>
        </is>
      </c>
      <c r="D574" s="2165">
        <f>E574*$D$1</f>
        <v/>
      </c>
      <c r="E574" s="2165" t="n">
        <v>119.99</v>
      </c>
      <c r="F574" s="2165" t="inlineStr">
        <is>
          <t>Revestimentos</t>
        </is>
      </c>
      <c r="G574" s="2165" t="inlineStr">
        <is>
          <t>Revestimentos</t>
        </is>
      </c>
      <c r="H574" s="2165" t="n"/>
      <c r="I574" s="85" t="inlineStr">
        <is>
          <t>Revestimentos</t>
        </is>
      </c>
    </row>
    <row r="575" ht="14.25" customHeight="1">
      <c r="A575" s="10">
        <f>COUNTIFS($B$2:$B$996,B575)</f>
        <v/>
      </c>
      <c r="B575" s="82" t="inlineStr">
        <is>
          <t>Porcelanato 61,1x61,1cm Cement Grigio Pure 61024 Acetinado Extra</t>
        </is>
      </c>
      <c r="C575" s="83" t="inlineStr">
        <is>
          <t>M2</t>
        </is>
      </c>
      <c r="D575" s="2165">
        <f>E575*$D$1</f>
        <v/>
      </c>
      <c r="E575" s="2165" t="n">
        <v>78.93000000000001</v>
      </c>
      <c r="F575" s="2165" t="inlineStr">
        <is>
          <t>Revestimentos</t>
        </is>
      </c>
      <c r="G575" s="2165" t="inlineStr">
        <is>
          <t>Revestimentos</t>
        </is>
      </c>
      <c r="H575" s="2165" t="n"/>
      <c r="I575" s="85" t="inlineStr">
        <is>
          <t>Revestimentos</t>
        </is>
      </c>
    </row>
    <row r="576" ht="14.25" customHeight="1">
      <c r="A576" s="10">
        <f>COUNTIFS($B$2:$B$996,B576)</f>
        <v/>
      </c>
      <c r="B576" s="82" t="inlineStr">
        <is>
          <t>Porcenalato Interno Acetinado 90x90cm Mirage CTM Incesa</t>
        </is>
      </c>
      <c r="C576" s="83" t="inlineStr">
        <is>
          <t>M2</t>
        </is>
      </c>
      <c r="D576" s="2165">
        <f>E576*$D$1</f>
        <v/>
      </c>
      <c r="E576" s="2165" t="n">
        <v>143.76</v>
      </c>
      <c r="F576" s="2165" t="inlineStr">
        <is>
          <t>Revestimentos</t>
        </is>
      </c>
      <c r="G576" s="2165" t="inlineStr">
        <is>
          <t>Revestimentos</t>
        </is>
      </c>
      <c r="H576" s="2165" t="n"/>
      <c r="I576" s="85" t="inlineStr">
        <is>
          <t>Revestimentos</t>
        </is>
      </c>
    </row>
    <row r="577" ht="14.25" customHeight="1">
      <c r="A577" s="10">
        <f>COUNTIFS($B$2:$B$996,B577)</f>
        <v/>
      </c>
      <c r="B577" s="82" t="inlineStr">
        <is>
          <t>Porcenalato Interno 90x90cm preto e branco</t>
        </is>
      </c>
      <c r="C577" s="83" t="inlineStr">
        <is>
          <t>M2</t>
        </is>
      </c>
      <c r="D577" s="2165">
        <f>E577*$D$1</f>
        <v/>
      </c>
      <c r="E577" s="2165" t="n">
        <v>135</v>
      </c>
      <c r="F577" s="2165" t="inlineStr">
        <is>
          <t>Revestimentos</t>
        </is>
      </c>
      <c r="G577" s="2165" t="inlineStr">
        <is>
          <t>Revestimentos</t>
        </is>
      </c>
      <c r="H577" s="2165" t="n"/>
      <c r="I577" s="85" t="inlineStr">
        <is>
          <t>Revestimentos</t>
        </is>
      </c>
    </row>
    <row r="578" ht="14.25" customHeight="1">
      <c r="A578" s="10">
        <f>COUNTIFS($B$2:$B$996,B578)</f>
        <v/>
      </c>
      <c r="B578" s="82" t="inlineStr">
        <is>
          <t>Revestimento de Mdf em parede</t>
        </is>
      </c>
      <c r="C578" s="83" t="inlineStr">
        <is>
          <t>M2</t>
        </is>
      </c>
      <c r="D578" s="2165">
        <f>E578*$D$1</f>
        <v/>
      </c>
      <c r="E578" s="2165" t="n">
        <v>220</v>
      </c>
      <c r="F578" s="2165" t="inlineStr">
        <is>
          <t>Revestimentos</t>
        </is>
      </c>
      <c r="G578" s="2165" t="inlineStr">
        <is>
          <t>Revestimentos</t>
        </is>
      </c>
      <c r="H578" s="2165" t="n"/>
      <c r="I578" s="85" t="inlineStr">
        <is>
          <t>Revestimentos</t>
        </is>
      </c>
    </row>
    <row r="579" ht="14.25" customHeight="1">
      <c r="A579" s="10">
        <f>COUNTIFS($B$2:$B$996,B579)</f>
        <v/>
      </c>
      <c r="B579" s="82" t="inlineStr">
        <is>
          <t>Porcelanato Pedra Granilhado 90x90cm Travertino Tivoli Bege</t>
        </is>
      </c>
      <c r="C579" s="83" t="inlineStr">
        <is>
          <t>M2</t>
        </is>
      </c>
      <c r="D579" s="2165">
        <f>E579*$D$1</f>
        <v/>
      </c>
      <c r="E579" s="2165" t="n">
        <v>84.51000000000001</v>
      </c>
      <c r="F579" s="2165" t="inlineStr">
        <is>
          <t>Revestimentos</t>
        </is>
      </c>
      <c r="G579" s="2165" t="inlineStr">
        <is>
          <t>Revestimentos</t>
        </is>
      </c>
      <c r="H579" s="2165" t="n"/>
      <c r="I579" s="85" t="inlineStr">
        <is>
          <t>Revestimentos</t>
        </is>
      </c>
    </row>
    <row r="580" ht="14.25" customHeight="1">
      <c r="A580" s="10">
        <f>COUNTIFS($B$2:$B$996,B580)</f>
        <v/>
      </c>
      <c r="B580" s="82" t="inlineStr">
        <is>
          <t>Porcelanato Eliane Revestimentos – Linha Lumina Areia 20x20</t>
        </is>
      </c>
      <c r="C580" s="83" t="inlineStr">
        <is>
          <t>M2</t>
        </is>
      </c>
      <c r="D580" s="2165">
        <f>E580*$D$1</f>
        <v/>
      </c>
      <c r="E580" s="2165" t="n">
        <v>115</v>
      </c>
      <c r="F580" s="2165" t="inlineStr">
        <is>
          <t>Revestimentos</t>
        </is>
      </c>
      <c r="G580" s="2165" t="inlineStr">
        <is>
          <t>Revestimentos</t>
        </is>
      </c>
      <c r="H580" s="2165" t="n"/>
      <c r="I580" s="85" t="inlineStr">
        <is>
          <t>Revestimentos</t>
        </is>
      </c>
    </row>
    <row r="581" ht="14.25" customHeight="1">
      <c r="A581" s="10">
        <f>COUNTIFS($B$2:$B$996,B581)</f>
        <v/>
      </c>
      <c r="B581" s="82" t="inlineStr">
        <is>
          <t>Porcelanato Matiz Agave MT 30x90 - Eliane Revestimentos</t>
        </is>
      </c>
      <c r="C581" s="83" t="inlineStr">
        <is>
          <t>M2</t>
        </is>
      </c>
      <c r="D581" s="2165">
        <f>E581*$D$1</f>
        <v/>
      </c>
      <c r="E581" s="2165" t="n">
        <v>235</v>
      </c>
      <c r="F581" s="2165" t="inlineStr">
        <is>
          <t>Revestimentos</t>
        </is>
      </c>
      <c r="G581" s="2165" t="inlineStr">
        <is>
          <t>Revestimentos</t>
        </is>
      </c>
      <c r="H581" s="2165" t="n"/>
      <c r="I581" s="85" t="inlineStr">
        <is>
          <t>Revestimentos</t>
        </is>
      </c>
    </row>
    <row r="582" ht="14.25" customHeight="1">
      <c r="A582" s="10">
        <f>COUNTIFS($B$2:$B$996,B582)</f>
        <v/>
      </c>
      <c r="B582" s="82" t="inlineStr">
        <is>
          <t xml:space="preserve">Porcelanato Eliane Silex 90x90 Branco Nat </t>
        </is>
      </c>
      <c r="C582" s="83" t="inlineStr">
        <is>
          <t>M2</t>
        </is>
      </c>
      <c r="D582" s="2165">
        <f>E582*$D$1</f>
        <v/>
      </c>
      <c r="E582" s="2165" t="n">
        <v>568</v>
      </c>
      <c r="F582" s="2165" t="inlineStr">
        <is>
          <t>Revestimentos</t>
        </is>
      </c>
      <c r="G582" s="2165" t="inlineStr">
        <is>
          <t>Revestimentos</t>
        </is>
      </c>
      <c r="H582" s="2165" t="n"/>
      <c r="I582" s="85" t="inlineStr">
        <is>
          <t>Revestimentos</t>
        </is>
      </c>
    </row>
    <row r="583" ht="14.25" customHeight="1">
      <c r="A583" s="10">
        <f>COUNTIFS($B$2:$B$996,B583)</f>
        <v/>
      </c>
      <c r="B583" s="82" t="inlineStr">
        <is>
          <t xml:space="preserve">Cerâmica Tradição 23x23cm Lepri </t>
        </is>
      </c>
      <c r="C583" s="83" t="inlineStr">
        <is>
          <t>M2</t>
        </is>
      </c>
      <c r="D583" s="2165">
        <f>E583*$D$1</f>
        <v/>
      </c>
      <c r="E583" s="2165" t="n">
        <v>141</v>
      </c>
      <c r="F583" s="2165" t="inlineStr">
        <is>
          <t>Revestimentos</t>
        </is>
      </c>
      <c r="G583" s="2165" t="inlineStr">
        <is>
          <t>Revestimentos</t>
        </is>
      </c>
      <c r="H583" s="2165" t="n"/>
      <c r="I583" s="85" t="inlineStr">
        <is>
          <t>Revestimentos</t>
        </is>
      </c>
    </row>
    <row r="584" ht="14.25" customHeight="1">
      <c r="A584" s="10">
        <f>COUNTIFS($B$2:$B$996,B584)</f>
        <v/>
      </c>
      <c r="B584" s="82" t="inlineStr">
        <is>
          <t xml:space="preserve"> Porcelanato Portobello – Coleção “Graphite Retro Geo”</t>
        </is>
      </c>
      <c r="C584" s="83" t="inlineStr">
        <is>
          <t>M2</t>
        </is>
      </c>
      <c r="D584" s="2165">
        <f>E584*$D$1</f>
        <v/>
      </c>
      <c r="E584" s="2165" t="n">
        <v>135</v>
      </c>
      <c r="F584" s="2165" t="inlineStr">
        <is>
          <t>Revestimentos</t>
        </is>
      </c>
      <c r="G584" s="2165" t="inlineStr">
        <is>
          <t>Revestimentos</t>
        </is>
      </c>
      <c r="H584" s="2165" t="n"/>
      <c r="I584" s="85" t="inlineStr">
        <is>
          <t>Revestimentos</t>
        </is>
      </c>
    </row>
    <row r="585" ht="14.25" customHeight="1">
      <c r="A585" s="10">
        <f>COUNTIFS($B$2:$B$996,B585)</f>
        <v/>
      </c>
      <c r="B585" s="82" t="inlineStr">
        <is>
          <t>Revestimento para Parede Hexa Blue 22,8x22,8cm Ceral</t>
        </is>
      </c>
      <c r="C585" s="83" t="inlineStr">
        <is>
          <t>M2</t>
        </is>
      </c>
      <c r="D585" s="2165">
        <f>E585*$D$1</f>
        <v/>
      </c>
      <c r="E585" s="2165" t="n">
        <v>211</v>
      </c>
      <c r="F585" s="2165" t="inlineStr">
        <is>
          <t>Revestimentos</t>
        </is>
      </c>
      <c r="G585" s="2165" t="inlineStr">
        <is>
          <t>Revestimentos</t>
        </is>
      </c>
      <c r="H585" s="2165" t="n"/>
      <c r="I585" s="85" t="inlineStr">
        <is>
          <t>Revestimentos</t>
        </is>
      </c>
    </row>
    <row r="586" ht="14.25" customHeight="1">
      <c r="A586" s="10">
        <f>COUNTIFS($B$2:$B$996,B586)</f>
        <v/>
      </c>
      <c r="B586" s="82" t="inlineStr">
        <is>
          <t>porcelanato villagers 82x141,5 retificado externo</t>
        </is>
      </c>
      <c r="C586" s="83" t="inlineStr">
        <is>
          <t>M2</t>
        </is>
      </c>
      <c r="D586" s="2165">
        <f>E586*$D$1</f>
        <v/>
      </c>
      <c r="E586" s="2165" t="n">
        <v>175</v>
      </c>
      <c r="F586" s="2165" t="inlineStr">
        <is>
          <t>Revestimentos</t>
        </is>
      </c>
      <c r="G586" s="2165" t="inlineStr">
        <is>
          <t>Revestimentos</t>
        </is>
      </c>
      <c r="H586" s="2165" t="n"/>
      <c r="I586" s="85" t="inlineStr">
        <is>
          <t>Revestimentos</t>
        </is>
      </c>
    </row>
    <row r="587" ht="14.25" customHeight="1">
      <c r="A587" s="10">
        <f>COUNTIFS($B$2:$B$996,B587)</f>
        <v/>
      </c>
      <c r="B587" s="82" t="inlineStr">
        <is>
          <t>Piso Cerâmico Externo Granilhado Pietra 75x75cm</t>
        </is>
      </c>
      <c r="C587" s="83" t="inlineStr">
        <is>
          <t>M2</t>
        </is>
      </c>
      <c r="D587" s="2165">
        <f>E587*$D$1</f>
        <v/>
      </c>
      <c r="E587" s="2165" t="n">
        <v>89</v>
      </c>
      <c r="F587" s="2165" t="inlineStr">
        <is>
          <t>Revestimentos</t>
        </is>
      </c>
      <c r="G587" s="2165" t="inlineStr">
        <is>
          <t>Revestimentos</t>
        </is>
      </c>
      <c r="H587" s="2165" t="n"/>
      <c r="I587" s="85" t="inlineStr">
        <is>
          <t>Revestimentos</t>
        </is>
      </c>
    </row>
    <row r="588" ht="14.25" customHeight="1">
      <c r="A588" s="10">
        <f>COUNTIFS($B$2:$B$996,B588)</f>
        <v/>
      </c>
      <c r="B588" s="82" t="inlineStr">
        <is>
          <t>Piso Cerâmico Externo Ceres Plus Pisoforte | G-Haus</t>
        </is>
      </c>
      <c r="C588" s="83" t="inlineStr">
        <is>
          <t>M2</t>
        </is>
      </c>
      <c r="D588" s="2165">
        <f>E588*$D$1</f>
        <v/>
      </c>
      <c r="E588" s="2165" t="n">
        <v>104</v>
      </c>
      <c r="F588" s="2165" t="inlineStr">
        <is>
          <t>Revestimentos</t>
        </is>
      </c>
      <c r="G588" s="2165" t="inlineStr">
        <is>
          <t>Revestimentos</t>
        </is>
      </c>
      <c r="H588" s="2165" t="n"/>
      <c r="I588" s="85" t="inlineStr">
        <is>
          <t>Revestimentos</t>
        </is>
      </c>
    </row>
    <row r="589" ht="14.25" customHeight="1">
      <c r="A589" s="10">
        <f>COUNTIFS($B$2:$B$996,B589)</f>
        <v/>
      </c>
      <c r="B589" s="82" t="inlineStr">
        <is>
          <t>Revestimento de Piso emborrachado imitando madeira</t>
        </is>
      </c>
      <c r="C589" s="83" t="inlineStr">
        <is>
          <t>M2</t>
        </is>
      </c>
      <c r="D589" s="2165">
        <f>E589*$D$1</f>
        <v/>
      </c>
      <c r="E589" s="2165">
        <f>963/2</f>
        <v/>
      </c>
      <c r="F589" s="2165" t="inlineStr">
        <is>
          <t>Revestimentos</t>
        </is>
      </c>
      <c r="G589" s="2165" t="inlineStr">
        <is>
          <t>Revestimentos</t>
        </is>
      </c>
      <c r="H589" s="2165" t="n"/>
      <c r="I589" s="85" t="inlineStr">
        <is>
          <t>Revestimentos</t>
        </is>
      </c>
    </row>
    <row r="590" ht="14.25" customHeight="1">
      <c r="A590" s="10">
        <f>COUNTIFS($B$2:$B$996,B590)</f>
        <v/>
      </c>
      <c r="B590" s="82" t="inlineStr">
        <is>
          <t>Revestimento para Azulejo Milos - Vila Sintra Azulejos</t>
        </is>
      </c>
      <c r="C590" s="83" t="inlineStr">
        <is>
          <t>M2</t>
        </is>
      </c>
      <c r="D590" s="2165">
        <f>E590*$D$1</f>
        <v/>
      </c>
      <c r="E590" s="2165" t="n">
        <v>474</v>
      </c>
      <c r="F590" s="2165" t="inlineStr">
        <is>
          <t>Revestimentos</t>
        </is>
      </c>
      <c r="G590" s="2165" t="inlineStr">
        <is>
          <t>Revestimentos</t>
        </is>
      </c>
      <c r="H590" s="2165" t="n"/>
      <c r="I590" s="85" t="inlineStr">
        <is>
          <t>Revestimentos</t>
        </is>
      </c>
    </row>
    <row r="591" ht="14.25" customHeight="1">
      <c r="A591" s="10">
        <f>COUNTIFS($B$2:$B$996,B591)</f>
        <v/>
      </c>
      <c r="B591" s="82" t="inlineStr">
        <is>
          <t>SISTEMA MUX ARABI 100 X 100mm - com recorte</t>
        </is>
      </c>
      <c r="C591" s="83" t="inlineStr">
        <is>
          <t>M2</t>
        </is>
      </c>
      <c r="D591" s="2165">
        <f>E591*$D$1</f>
        <v/>
      </c>
      <c r="E591" s="2165" t="n">
        <v>1060</v>
      </c>
      <c r="F591" s="2165" t="inlineStr">
        <is>
          <t>Revestimentos</t>
        </is>
      </c>
      <c r="G591" s="2165" t="inlineStr">
        <is>
          <t>Revestimentos</t>
        </is>
      </c>
      <c r="H591" s="2165" t="n"/>
      <c r="I591" s="85" t="inlineStr">
        <is>
          <t>Revestimentos</t>
        </is>
      </c>
    </row>
    <row r="592" ht="14.25" customHeight="1">
      <c r="A592" s="10">
        <f>COUNTIFS($B$2:$B$996,B592)</f>
        <v/>
      </c>
      <c r="B592" s="82" t="inlineStr">
        <is>
          <t>Arkowood K - 30x50</t>
        </is>
      </c>
      <c r="C592" s="83" t="inlineStr">
        <is>
          <t>M2</t>
        </is>
      </c>
      <c r="D592" s="2165">
        <f>E592*$D$1</f>
        <v/>
      </c>
      <c r="E592" s="2165" t="n">
        <v>648</v>
      </c>
      <c r="F592" s="2165" t="inlineStr">
        <is>
          <t>Revestimentos</t>
        </is>
      </c>
      <c r="G592" s="2165" t="inlineStr">
        <is>
          <t>Revestimentos</t>
        </is>
      </c>
      <c r="H592" s="2165" t="n"/>
      <c r="I592" s="85" t="inlineStr">
        <is>
          <t>Revestimentos</t>
        </is>
      </c>
    </row>
    <row r="593" ht="14.25" customHeight="1">
      <c r="A593" s="10">
        <f>COUNTIFS($B$2:$B$996,B593)</f>
        <v/>
      </c>
      <c r="B593" s="82" t="inlineStr">
        <is>
          <t>Mão de obra de obra execução de arkwood</t>
        </is>
      </c>
      <c r="C593" s="83" t="inlineStr">
        <is>
          <t>M2</t>
        </is>
      </c>
      <c r="D593" s="2165">
        <f>E593*$D$1</f>
        <v/>
      </c>
      <c r="E593" s="2165" t="n">
        <v>300</v>
      </c>
      <c r="F593" s="2165" t="inlineStr">
        <is>
          <t>Serviço Terceiros</t>
        </is>
      </c>
      <c r="G593" s="2165" t="inlineStr">
        <is>
          <t>Serviço Terceiros</t>
        </is>
      </c>
      <c r="H593" s="2165" t="n"/>
      <c r="I593" s="85" t="inlineStr">
        <is>
          <t>Mão de obra de Terceiros</t>
        </is>
      </c>
    </row>
    <row r="594" ht="14.25" customHeight="1">
      <c r="A594" s="10">
        <f>COUNTIFS($B$2:$B$996,B594)</f>
        <v/>
      </c>
      <c r="B594" s="82" t="inlineStr">
        <is>
          <t>Porcelanato Esmaltado 90x90cm Cinza Cemento Grigio Biancogres</t>
        </is>
      </c>
      <c r="C594" s="83" t="inlineStr">
        <is>
          <t>M2</t>
        </is>
      </c>
      <c r="D594" s="2165">
        <f>E594*$D$1</f>
        <v/>
      </c>
      <c r="E594" s="2165" t="n">
        <v>67.51000000000001</v>
      </c>
      <c r="F594" s="2165" t="inlineStr">
        <is>
          <t>Revestimentos</t>
        </is>
      </c>
      <c r="G594" s="2165" t="inlineStr">
        <is>
          <t>Revestimentos</t>
        </is>
      </c>
      <c r="H594" s="2165" t="n"/>
      <c r="I594" s="85" t="inlineStr">
        <is>
          <t>Revestimentos</t>
        </is>
      </c>
    </row>
    <row r="595" ht="14.25" customHeight="1">
      <c r="A595" s="10">
        <f>COUNTIFS($B$2:$B$996,B595)</f>
        <v/>
      </c>
      <c r="B595" s="82" t="inlineStr">
        <is>
          <t>Pisos Para Academia Emborrachado Aubicon Placa 25 mm, 70x70</t>
        </is>
      </c>
      <c r="C595" s="83" t="inlineStr">
        <is>
          <t>M2</t>
        </is>
      </c>
      <c r="D595" s="2165">
        <f>E595*$D$1</f>
        <v/>
      </c>
      <c r="E595" s="2165" t="n">
        <v>160</v>
      </c>
      <c r="F595" s="2165" t="inlineStr">
        <is>
          <t>Revestimentos</t>
        </is>
      </c>
      <c r="G595" s="2165" t="inlineStr">
        <is>
          <t>Revestimentos</t>
        </is>
      </c>
      <c r="H595" s="2165" t="n"/>
      <c r="I595" s="85" t="inlineStr">
        <is>
          <t>Revestimentos</t>
        </is>
      </c>
    </row>
    <row r="596" ht="14.25" customHeight="1">
      <c r="A596" s="10">
        <f>COUNTIFS($B$2:$B$996,B596)</f>
        <v/>
      </c>
      <c r="B596" s="82" t="inlineStr">
        <is>
          <t>Cerâmica Tradição 23x23cm esmaltado listrado</t>
        </is>
      </c>
      <c r="C596" s="83" t="inlineStr">
        <is>
          <t>M2</t>
        </is>
      </c>
      <c r="D596" s="2165">
        <f>E596*$D$1</f>
        <v/>
      </c>
      <c r="E596" s="2165" t="n">
        <v>145</v>
      </c>
      <c r="F596" s="2165" t="inlineStr">
        <is>
          <t>Revestimentos</t>
        </is>
      </c>
      <c r="G596" s="2165" t="inlineStr">
        <is>
          <t>Revestimentos</t>
        </is>
      </c>
      <c r="H596" s="2165" t="n"/>
      <c r="I596" s="85" t="inlineStr">
        <is>
          <t>Revestimentos</t>
        </is>
      </c>
    </row>
    <row r="597" ht="14.25" customHeight="1">
      <c r="A597" s="10">
        <f>COUNTIFS($B$2:$B$996,B597)</f>
        <v/>
      </c>
      <c r="B597" s="82" t="inlineStr">
        <is>
          <t>Revestimento em Parede de Azulejo JK Solid | Estúdio Mosaico</t>
        </is>
      </c>
      <c r="C597" s="83" t="inlineStr">
        <is>
          <t>M2</t>
        </is>
      </c>
      <c r="D597" s="2165">
        <f>E597*$D$1</f>
        <v/>
      </c>
      <c r="E597" s="2165" t="n">
        <v>630</v>
      </c>
      <c r="F597" s="2165" t="inlineStr">
        <is>
          <t>Revestimentos</t>
        </is>
      </c>
      <c r="G597" s="2165" t="inlineStr">
        <is>
          <t>Revestimentos</t>
        </is>
      </c>
      <c r="H597" s="2165" t="n"/>
      <c r="I597" s="85" t="inlineStr">
        <is>
          <t>Revestimentos</t>
        </is>
      </c>
    </row>
    <row r="598" ht="14.25" customHeight="1">
      <c r="A598" s="10">
        <f>COUNTIFS($B$2:$B$996,B598)</f>
        <v/>
      </c>
      <c r="B598" s="82" t="inlineStr">
        <is>
          <t>Pisos Para Academia Emborrachado Impact Soft  100x100 cm/ Peso Livre - Material e Mão de obra</t>
        </is>
      </c>
      <c r="C598" s="83" t="inlineStr">
        <is>
          <t>M2</t>
        </is>
      </c>
      <c r="D598" s="2165">
        <f>E598*$D$1</f>
        <v/>
      </c>
      <c r="E598" s="2165">
        <f>290+320</f>
        <v/>
      </c>
      <c r="F598" s="2165" t="inlineStr">
        <is>
          <t>Revestimentos</t>
        </is>
      </c>
      <c r="G598" s="2165" t="inlineStr">
        <is>
          <t>Revestimentos</t>
        </is>
      </c>
      <c r="H598" s="2165" t="n"/>
      <c r="I598" s="85" t="inlineStr">
        <is>
          <t>Revestimentos</t>
        </is>
      </c>
    </row>
    <row r="599" ht="14.25" customHeight="1">
      <c r="A599" s="10">
        <f>COUNTIFS($B$2:$B$996,B599)</f>
        <v/>
      </c>
      <c r="B599" s="82" t="inlineStr">
        <is>
          <t>Pisos Para Academia Emborrachado EPDM  20x20 cm/ Cor: azul e branco / Marca: Rubber - Material e Mão de obra</t>
        </is>
      </c>
      <c r="C599" s="83" t="inlineStr">
        <is>
          <t>M2</t>
        </is>
      </c>
      <c r="D599" s="2165">
        <f>E599*$D$1</f>
        <v/>
      </c>
      <c r="E599" s="2165">
        <f>240+300</f>
        <v/>
      </c>
      <c r="F599" s="2165" t="inlineStr">
        <is>
          <t>Revestimentos</t>
        </is>
      </c>
      <c r="G599" s="2165" t="inlineStr">
        <is>
          <t>Revestimentos</t>
        </is>
      </c>
      <c r="H599" s="2165" t="n"/>
      <c r="I599" s="85" t="inlineStr">
        <is>
          <t>Revestimentos</t>
        </is>
      </c>
    </row>
    <row r="600" ht="14.25" customHeight="1">
      <c r="A600" s="10">
        <f>COUNTIFS($B$2:$B$996,B600)</f>
        <v/>
      </c>
      <c r="B600" s="82" t="inlineStr">
        <is>
          <t>Pisos Para Academia Emborrachado Aubicon Placa 40 mm, 70x70</t>
        </is>
      </c>
      <c r="C600" s="83" t="inlineStr">
        <is>
          <t>M2</t>
        </is>
      </c>
      <c r="D600" s="2165">
        <f>E600*$D$1</f>
        <v/>
      </c>
      <c r="E600" s="2165" t="n">
        <v>200</v>
      </c>
      <c r="F600" s="2165" t="inlineStr">
        <is>
          <t>Revestimentos</t>
        </is>
      </c>
      <c r="G600" s="2165" t="inlineStr">
        <is>
          <t>Revestimentos</t>
        </is>
      </c>
      <c r="H600" s="2165" t="n"/>
      <c r="I600" s="85" t="inlineStr">
        <is>
          <t>Revestimentos</t>
        </is>
      </c>
    </row>
    <row r="601" ht="14.25" customHeight="1">
      <c r="A601" s="10">
        <f>COUNTIFS($B$2:$B$996,B601)</f>
        <v/>
      </c>
      <c r="B601" s="82" t="inlineStr">
        <is>
          <t>Pisos Para Academia Emborrachado Aubicon Placa 50 mm, 90x90</t>
        </is>
      </c>
      <c r="C601" s="83" t="inlineStr">
        <is>
          <t>M2</t>
        </is>
      </c>
      <c r="D601" s="2165">
        <f>E601*$D$1</f>
        <v/>
      </c>
      <c r="E601" s="2165" t="n">
        <v>250</v>
      </c>
      <c r="F601" s="2165" t="inlineStr">
        <is>
          <t>Revestimentos</t>
        </is>
      </c>
      <c r="G601" s="2165" t="inlineStr">
        <is>
          <t>Revestimentos</t>
        </is>
      </c>
      <c r="H601" s="2165" t="n"/>
      <c r="I601" s="85" t="inlineStr">
        <is>
          <t>Revestimentos</t>
        </is>
      </c>
    </row>
    <row r="602" ht="14.25" customHeight="1">
      <c r="A602" s="10">
        <f>COUNTIFS($B$2:$B$996,B602)</f>
        <v/>
      </c>
      <c r="B602" s="82" t="inlineStr">
        <is>
          <t>Pisos Para Academia Emborrachado Aubicon Placa 80 mm, 90x90</t>
        </is>
      </c>
      <c r="C602" s="83" t="inlineStr">
        <is>
          <t>M2</t>
        </is>
      </c>
      <c r="D602" s="2165">
        <f>E602*$D$1</f>
        <v/>
      </c>
      <c r="E602" s="2165" t="n">
        <v>320</v>
      </c>
      <c r="F602" s="2165" t="inlineStr">
        <is>
          <t>Revestimentos</t>
        </is>
      </c>
      <c r="G602" s="2165" t="inlineStr">
        <is>
          <t>Revestimentos</t>
        </is>
      </c>
      <c r="H602" s="2165" t="n"/>
      <c r="I602" s="85" t="inlineStr">
        <is>
          <t>Revestimentos</t>
        </is>
      </c>
    </row>
    <row r="603" ht="14.25" customHeight="1">
      <c r="A603" s="10">
        <f>COUNTIFS($B$2:$B$996,B603)</f>
        <v/>
      </c>
      <c r="B603" s="82" t="inlineStr">
        <is>
          <t>Cerâmica Brilhante Metrô 31x54cm Savane</t>
        </is>
      </c>
      <c r="C603" s="83" t="inlineStr">
        <is>
          <t>M2</t>
        </is>
      </c>
      <c r="D603" s="2165">
        <f>E603*$D$1</f>
        <v/>
      </c>
      <c r="E603" s="2165" t="n">
        <v>72.63</v>
      </c>
      <c r="F603" s="2165" t="inlineStr">
        <is>
          <t>Revestimentos</t>
        </is>
      </c>
      <c r="G603" s="2165" t="inlineStr">
        <is>
          <t>Revestimentos</t>
        </is>
      </c>
      <c r="H603" s="2165" t="n"/>
      <c r="I603" s="85" t="inlineStr">
        <is>
          <t>Revestimentos</t>
        </is>
      </c>
    </row>
    <row r="604" ht="14.25" customHeight="1">
      <c r="A604" s="10">
        <f>COUNTIFS($B$2:$B$996,B604)</f>
        <v/>
      </c>
      <c r="B604" s="82" t="inlineStr">
        <is>
          <t>Cerâmica Tradição 23x23cm verde claro</t>
        </is>
      </c>
      <c r="C604" s="83" t="inlineStr">
        <is>
          <t>M2</t>
        </is>
      </c>
      <c r="D604" s="2165">
        <f>E604*$D$1</f>
        <v/>
      </c>
      <c r="E604" s="2165" t="n">
        <v>110</v>
      </c>
      <c r="F604" s="2165" t="inlineStr">
        <is>
          <t>Revestimentos</t>
        </is>
      </c>
      <c r="G604" s="2165" t="inlineStr">
        <is>
          <t>Revestimentos</t>
        </is>
      </c>
      <c r="H604" s="2165" t="n"/>
      <c r="I604" s="85" t="inlineStr">
        <is>
          <t>Revestimentos</t>
        </is>
      </c>
    </row>
    <row r="605" ht="15.75" customHeight="1">
      <c r="A605" s="10">
        <f>COUNTIFS($B$2:$B$996,B605)</f>
        <v/>
      </c>
      <c r="B605" s="10" t="inlineStr">
        <is>
          <t>Porcelanato fachada</t>
        </is>
      </c>
      <c r="C605" s="11" t="inlineStr">
        <is>
          <t>M2</t>
        </is>
      </c>
      <c r="D605" s="2162">
        <f>E605*$D$1</f>
        <v/>
      </c>
      <c r="E605" s="2162" t="n">
        <v>165</v>
      </c>
      <c r="F605" s="2162" t="inlineStr">
        <is>
          <t>Revestimentos</t>
        </is>
      </c>
      <c r="G605" s="2162" t="inlineStr">
        <is>
          <t>Revestimentos</t>
        </is>
      </c>
      <c r="H605" s="2162" t="n"/>
      <c r="I605" s="4" t="inlineStr">
        <is>
          <t>Revestimentos</t>
        </is>
      </c>
    </row>
    <row r="606" ht="15.75" customHeight="1">
      <c r="A606" s="10">
        <f>COUNTIFS($B$2:$B$996,B606)</f>
        <v/>
      </c>
      <c r="B606" s="10" t="inlineStr">
        <is>
          <t>Porcelanato Natural Portinari Neutral OFW "A" 100x100cm</t>
        </is>
      </c>
      <c r="C606" s="11" t="inlineStr">
        <is>
          <t>M2</t>
        </is>
      </c>
      <c r="D606" s="2162">
        <f>E606*$D$1</f>
        <v/>
      </c>
      <c r="E606" s="2162" t="n">
        <v>372.9</v>
      </c>
      <c r="F606" s="2162" t="inlineStr">
        <is>
          <t>Revestimentos</t>
        </is>
      </c>
      <c r="G606" s="2162" t="inlineStr">
        <is>
          <t>Revestimentos</t>
        </is>
      </c>
      <c r="H606" s="2162" t="n"/>
      <c r="I606" s="4" t="inlineStr">
        <is>
          <t>Revestimentos</t>
        </is>
      </c>
    </row>
    <row r="607" ht="15.75" customHeight="1">
      <c r="A607" s="10">
        <f>COUNTIFS($B$2:$B$996,B607)</f>
        <v/>
      </c>
      <c r="B607" s="10" t="inlineStr">
        <is>
          <t>PLACA VINILICA SEMIFLEXIVEL PARA PISOS</t>
        </is>
      </c>
      <c r="C607" s="11" t="inlineStr">
        <is>
          <t>M2</t>
        </is>
      </c>
      <c r="D607" s="2162">
        <f>E607*$D$1</f>
        <v/>
      </c>
      <c r="E607" s="2162" t="n">
        <v>123.38</v>
      </c>
      <c r="F607" s="2162" t="inlineStr">
        <is>
          <t>Revestimentos</t>
        </is>
      </c>
      <c r="G607" s="2162" t="inlineStr">
        <is>
          <t>Revestimentos</t>
        </is>
      </c>
      <c r="H607" s="2162" t="n"/>
      <c r="I607" s="4" t="inlineStr">
        <is>
          <t>Revestimentos</t>
        </is>
      </c>
    </row>
    <row r="608" ht="15.75" customHeight="1">
      <c r="A608" s="10">
        <f>COUNTIFS($B$2:$B$996,B608)</f>
        <v/>
      </c>
      <c r="B608" s="10" t="inlineStr">
        <is>
          <t>PISO VINILICO RUFFINO SOFISTICATO 2MM - MATERIAL E MÃO DE OBRA</t>
        </is>
      </c>
      <c r="C608" s="11" t="inlineStr">
        <is>
          <t>M2</t>
        </is>
      </c>
      <c r="D608" s="2162">
        <f>E608*$D$1</f>
        <v/>
      </c>
      <c r="E608" s="2162" t="n">
        <v>150</v>
      </c>
      <c r="F608" s="2162" t="inlineStr">
        <is>
          <t>Revestimentos</t>
        </is>
      </c>
      <c r="G608" s="2162" t="inlineStr">
        <is>
          <t>Revestimentos</t>
        </is>
      </c>
      <c r="H608" s="2162" t="n"/>
      <c r="I608" s="4" t="inlineStr">
        <is>
          <t>Revestimentos</t>
        </is>
      </c>
    </row>
    <row r="609" ht="15.75" customHeight="1">
      <c r="A609" s="10">
        <f>COUNTIFS($B$2:$B$996,B609)</f>
        <v/>
      </c>
      <c r="B609" s="10" t="inlineStr">
        <is>
          <t>Piso vinílico cinza 92x92cm / Linha Ambienta Coleção Stone / Cores: cinza claro (Beige Porcelain) e cinza (Light Porcelain) / Marca: Tarkett - MATERIAL E MÃO DE OBRA</t>
        </is>
      </c>
      <c r="C609" s="11" t="inlineStr">
        <is>
          <t>M2</t>
        </is>
      </c>
      <c r="D609" s="2162">
        <f>E609*$D$1</f>
        <v/>
      </c>
      <c r="E609" s="2162">
        <f>260+330</f>
        <v/>
      </c>
      <c r="F609" s="2162" t="inlineStr">
        <is>
          <t>Revestimentos</t>
        </is>
      </c>
      <c r="G609" s="2162" t="inlineStr">
        <is>
          <t>Revestimentos</t>
        </is>
      </c>
      <c r="H609" s="2162" t="n"/>
      <c r="I609" s="4" t="inlineStr">
        <is>
          <t>Revestimentos</t>
        </is>
      </c>
    </row>
    <row r="610" ht="15.75" customHeight="1">
      <c r="A610" s="10">
        <f>COUNTIFS($B$2:$B$996,B610)</f>
        <v/>
      </c>
      <c r="B610" s="10" t="inlineStr">
        <is>
          <t>Piso vinílico cinza 92x92cm / Linha Ambienta Coleção Stone / Cores: cinza (Light Porcelain) / Marca: Tarkett - MATERIAL E MÃO DE OBRA</t>
        </is>
      </c>
      <c r="C610" s="11" t="inlineStr">
        <is>
          <t>M2</t>
        </is>
      </c>
      <c r="D610" s="2162">
        <f>E610*$D$1</f>
        <v/>
      </c>
      <c r="E610" s="2162">
        <f>260+330</f>
        <v/>
      </c>
      <c r="F610" s="2162" t="inlineStr">
        <is>
          <t>Revestimentos</t>
        </is>
      </c>
      <c r="G610" s="2162" t="inlineStr">
        <is>
          <t>Revestimentos</t>
        </is>
      </c>
      <c r="H610" s="2162" t="n"/>
      <c r="I610" s="4" t="inlineStr">
        <is>
          <t>Revestimentos</t>
        </is>
      </c>
    </row>
    <row r="611" ht="15.75" customHeight="1">
      <c r="A611" s="10">
        <f>COUNTIFS($B$2:$B$996,B611)</f>
        <v/>
      </c>
      <c r="B611" s="10" t="inlineStr">
        <is>
          <t>Piso vinílico cinza 92x92cm / Linha Ambienta Coleção Stone / Cores: cinza claro (Beige Porcelain) / Marca: Tarkett - MATERIAL E MÃO DE OBRA</t>
        </is>
      </c>
      <c r="C611" s="11" t="inlineStr">
        <is>
          <t>M2</t>
        </is>
      </c>
      <c r="D611" s="2162">
        <f>E611*$D$1</f>
        <v/>
      </c>
      <c r="E611" s="2162">
        <f>260+330</f>
        <v/>
      </c>
      <c r="F611" s="2162" t="inlineStr">
        <is>
          <t>Revestimentos</t>
        </is>
      </c>
      <c r="G611" s="2162" t="inlineStr">
        <is>
          <t>Revestimentos</t>
        </is>
      </c>
      <c r="H611" s="2162" t="n"/>
      <c r="I611" s="4" t="inlineStr">
        <is>
          <t>Revestimentos</t>
        </is>
      </c>
    </row>
    <row r="612" ht="15.75" customHeight="1">
      <c r="A612" s="10">
        <f>COUNTIFS($B$2:$B$996,B612)</f>
        <v/>
      </c>
      <c r="B612" s="10" t="inlineStr">
        <is>
          <t>PISO VINILICO LINHA AMBIENTA SERIES CEDRO  TARKETT - MATERIAL E MÃO DE OBRA</t>
        </is>
      </c>
      <c r="C612" s="11" t="inlineStr">
        <is>
          <t>M2</t>
        </is>
      </c>
      <c r="D612" s="2162">
        <f>E612*$D$1</f>
        <v/>
      </c>
      <c r="E612" s="2162">
        <f>180+60</f>
        <v/>
      </c>
      <c r="F612" s="2162" t="inlineStr">
        <is>
          <t>Revestimentos</t>
        </is>
      </c>
      <c r="G612" s="2162" t="inlineStr">
        <is>
          <t>Revestimentos</t>
        </is>
      </c>
      <c r="H612" s="2162" t="n"/>
      <c r="I612" s="4" t="inlineStr">
        <is>
          <t>Revestimentos</t>
        </is>
      </c>
    </row>
    <row r="613" ht="15.75" customHeight="1">
      <c r="A613" s="10">
        <f>COUNTIFS($B$2:$B$996,B613)</f>
        <v/>
      </c>
      <c r="B613" s="10" t="inlineStr">
        <is>
          <t>PISO VINILICO FLAMBOYANT REGUÁ 208x1230mm TARKETT - MATERIAL E MÃO DE OBRA</t>
        </is>
      </c>
      <c r="C613" s="11" t="inlineStr">
        <is>
          <t>M2</t>
        </is>
      </c>
      <c r="D613" s="2162">
        <f>E613*$D$1</f>
        <v/>
      </c>
      <c r="E613" s="2162">
        <f>209.76+60</f>
        <v/>
      </c>
      <c r="F613" s="2162" t="inlineStr">
        <is>
          <t>Revestimentos</t>
        </is>
      </c>
      <c r="G613" s="2162" t="inlineStr">
        <is>
          <t>Revestimentos</t>
        </is>
      </c>
      <c r="H613" s="2162" t="n"/>
      <c r="I613" s="4" t="inlineStr">
        <is>
          <t>Revestimentos</t>
        </is>
      </c>
    </row>
    <row r="614" ht="15.75" customHeight="1">
      <c r="A614" s="10">
        <f>COUNTIFS($B$2:$B$996,B614)</f>
        <v/>
      </c>
      <c r="B614" s="10" t="inlineStr">
        <is>
          <t>PISO VINILICO LUZ DO DIA LINHA VITAL 1219,2x228,6mm FINOTATTO - MATERIAL E MÃO DE OBRA</t>
        </is>
      </c>
      <c r="C614" s="11" t="inlineStr">
        <is>
          <t>M2</t>
        </is>
      </c>
      <c r="D614" s="2162">
        <f>E614*$D$1</f>
        <v/>
      </c>
      <c r="E614" s="2162">
        <f>101.8+60</f>
        <v/>
      </c>
      <c r="F614" s="2162" t="inlineStr">
        <is>
          <t>Revestimentos</t>
        </is>
      </c>
      <c r="G614" s="2162" t="inlineStr">
        <is>
          <t>Revestimentos</t>
        </is>
      </c>
      <c r="H614" s="2162" t="n"/>
      <c r="I614" s="4" t="inlineStr">
        <is>
          <t>Revestimentos</t>
        </is>
      </c>
    </row>
    <row r="615" ht="15.75" customHeight="1">
      <c r="A615" s="10">
        <f>COUNTIFS($B$2:$B$996,B615)</f>
        <v/>
      </c>
      <c r="B615" s="10" t="inlineStr">
        <is>
          <t xml:space="preserve">Porcelanato A 30x30 </t>
        </is>
      </c>
      <c r="C615" s="11" t="inlineStr">
        <is>
          <t>M2</t>
        </is>
      </c>
      <c r="D615" s="2162">
        <f>E615*$D$1</f>
        <v/>
      </c>
      <c r="E615" s="2162" t="n">
        <v>75.8</v>
      </c>
      <c r="F615" s="2162" t="inlineStr">
        <is>
          <t>Revestimentos</t>
        </is>
      </c>
      <c r="G615" s="2162" t="inlineStr">
        <is>
          <t>Revestimentos</t>
        </is>
      </c>
      <c r="H615" s="2162" t="n"/>
      <c r="I615" s="4" t="inlineStr">
        <is>
          <t>Revestimentos</t>
        </is>
      </c>
    </row>
    <row r="616" ht="15.75" customHeight="1">
      <c r="A616" s="10">
        <f>COUNTIFS($B$2:$B$996,B616)</f>
        <v/>
      </c>
      <c r="B616" s="10" t="inlineStr">
        <is>
          <t xml:space="preserve">Porcelanato A 30x60 Polido </t>
        </is>
      </c>
      <c r="C616" s="11" t="inlineStr">
        <is>
          <t>M2</t>
        </is>
      </c>
      <c r="D616" s="2162">
        <f>E616*$D$1</f>
        <v/>
      </c>
      <c r="E616" s="2162" t="n">
        <v>75.8</v>
      </c>
      <c r="F616" s="2162" t="inlineStr">
        <is>
          <t>Revestimentos</t>
        </is>
      </c>
      <c r="G616" s="2162" t="inlineStr">
        <is>
          <t>Revestimentos</t>
        </is>
      </c>
      <c r="H616" s="2162" t="n"/>
      <c r="I616" s="4" t="inlineStr">
        <is>
          <t>Revestimentos</t>
        </is>
      </c>
    </row>
    <row r="617" ht="15.75" customHeight="1">
      <c r="A617" s="10">
        <f>COUNTIFS($B$2:$B$996,B617)</f>
        <v/>
      </c>
      <c r="B617" s="10" t="inlineStr">
        <is>
          <t xml:space="preserve">Porcelanato A 90x90 Polido </t>
        </is>
      </c>
      <c r="C617" s="11" t="inlineStr">
        <is>
          <t>M2</t>
        </is>
      </c>
      <c r="D617" s="2162">
        <f>E617*$D$1</f>
        <v/>
      </c>
      <c r="E617" s="2162" t="n">
        <v>82</v>
      </c>
      <c r="F617" s="2162" t="inlineStr">
        <is>
          <t>Revestimentos</t>
        </is>
      </c>
      <c r="G617" s="2162" t="inlineStr">
        <is>
          <t>Revestimentos</t>
        </is>
      </c>
      <c r="H617" s="2162" t="n"/>
      <c r="I617" s="4" t="inlineStr">
        <is>
          <t>Revestimentos</t>
        </is>
      </c>
    </row>
    <row r="618" ht="15.75" customHeight="1">
      <c r="A618" s="10">
        <f>COUNTIFS($B$2:$B$996,B618)</f>
        <v/>
      </c>
      <c r="B618" s="10" t="inlineStr">
        <is>
          <t>Porcelanato Minimum cimento eliane A 90x90 ext</t>
        </is>
      </c>
      <c r="C618" s="11" t="inlineStr">
        <is>
          <t>M2</t>
        </is>
      </c>
      <c r="D618" s="2162">
        <f>E618*$D$1</f>
        <v/>
      </c>
      <c r="E618" s="2162" t="n">
        <v>178.8</v>
      </c>
      <c r="F618" s="2162" t="inlineStr">
        <is>
          <t>Revestimentos</t>
        </is>
      </c>
      <c r="G618" s="2162" t="inlineStr">
        <is>
          <t>Revestimentos</t>
        </is>
      </c>
      <c r="H618" s="2162" t="n"/>
      <c r="I618" s="4" t="inlineStr">
        <is>
          <t>Revestimentos</t>
        </is>
      </c>
    </row>
    <row r="619" ht="15.75" customHeight="1">
      <c r="A619" s="10">
        <f>COUNTIFS($B$2:$B$996,B619)</f>
        <v/>
      </c>
      <c r="B619" s="10" t="inlineStr">
        <is>
          <t xml:space="preserve">Porcelanato A 90x90cm acetinado </t>
        </is>
      </c>
      <c r="C619" s="11" t="inlineStr">
        <is>
          <t>M2</t>
        </is>
      </c>
      <c r="D619" s="2162">
        <f>E619*$D$1</f>
        <v/>
      </c>
      <c r="E619" s="2162" t="n">
        <v>75.8</v>
      </c>
      <c r="F619" s="2162" t="inlineStr">
        <is>
          <t>Revestimentos</t>
        </is>
      </c>
      <c r="G619" s="2162" t="inlineStr">
        <is>
          <t>Revestimentos</t>
        </is>
      </c>
      <c r="H619" s="2162" t="n"/>
      <c r="I619" s="4" t="inlineStr">
        <is>
          <t>Revestimentos</t>
        </is>
      </c>
    </row>
    <row r="620" ht="15.75" customHeight="1">
      <c r="A620" s="10">
        <f>COUNTIFS($B$2:$B$996,B620)</f>
        <v/>
      </c>
      <c r="B620" s="10" t="inlineStr">
        <is>
          <t>Piso de mosaico granitinho branco</t>
        </is>
      </c>
      <c r="C620" s="11" t="inlineStr">
        <is>
          <t>M2</t>
        </is>
      </c>
      <c r="D620" s="2162">
        <f>E620*$D$1</f>
        <v/>
      </c>
      <c r="E620" s="2162" t="n">
        <v>116.1</v>
      </c>
      <c r="F620" s="2162" t="inlineStr">
        <is>
          <t>Revestimentos</t>
        </is>
      </c>
      <c r="G620" s="2162" t="inlineStr">
        <is>
          <t>Revestimentos</t>
        </is>
      </c>
      <c r="H620" s="2162" t="n"/>
      <c r="I620" s="4" t="inlineStr">
        <is>
          <t>Revestimentos</t>
        </is>
      </c>
    </row>
    <row r="621" ht="15.75" customHeight="1">
      <c r="A621" s="10">
        <f>COUNTIFS($B$2:$B$996,B621)</f>
        <v/>
      </c>
      <c r="B621" s="10" t="inlineStr">
        <is>
          <t>Piso de mosaico granitinho cinza</t>
        </is>
      </c>
      <c r="C621" s="11" t="inlineStr">
        <is>
          <t>M2</t>
        </is>
      </c>
      <c r="D621" s="2162">
        <f>E621*$D$1</f>
        <v/>
      </c>
      <c r="E621" s="2162" t="n">
        <v>36.96</v>
      </c>
      <c r="F621" s="2162" t="inlineStr">
        <is>
          <t>Revestimentos</t>
        </is>
      </c>
      <c r="G621" s="2162" t="inlineStr">
        <is>
          <t>Revestimentos</t>
        </is>
      </c>
      <c r="H621" s="2162" t="n"/>
      <c r="I621" s="4" t="inlineStr">
        <is>
          <t>Revestimentos</t>
        </is>
      </c>
    </row>
    <row r="622" ht="15.75" customHeight="1">
      <c r="A622" s="10">
        <f>COUNTIFS($B$2:$B$996,B622)</f>
        <v/>
      </c>
      <c r="B622" s="16" t="inlineStr">
        <is>
          <t>PEDRA LISA HITMAN 10X10 PALIMANAM</t>
        </is>
      </c>
      <c r="C622" s="11" t="inlineStr">
        <is>
          <t>M2</t>
        </is>
      </c>
      <c r="D622" s="2162">
        <f>E622*$D$1</f>
        <v/>
      </c>
      <c r="E622" s="2162" t="n">
        <v>276</v>
      </c>
      <c r="F622" s="2162" t="inlineStr">
        <is>
          <t>Revestimentos</t>
        </is>
      </c>
      <c r="G622" s="2162" t="inlineStr">
        <is>
          <t>Revestimentos</t>
        </is>
      </c>
      <c r="H622" s="2162" t="n"/>
      <c r="I622" s="4" t="inlineStr">
        <is>
          <t>Revestimentos</t>
        </is>
      </c>
    </row>
    <row r="623" ht="15.75" customHeight="1">
      <c r="A623" s="10">
        <f>COUNTIFS($B$2:$B$996,B623)</f>
        <v/>
      </c>
      <c r="B623" s="10" t="inlineStr">
        <is>
          <t>Revestimento Mate Portobello Georgian Red Tel "A" 7x26 (30x39)</t>
        </is>
      </c>
      <c r="C623" s="11" t="inlineStr">
        <is>
          <t>M2</t>
        </is>
      </c>
      <c r="D623" s="2162">
        <f>E623*$D$1</f>
        <v/>
      </c>
      <c r="E623" s="2162" t="n">
        <v>136.89</v>
      </c>
      <c r="F623" s="2162" t="inlineStr">
        <is>
          <t>Revestimentos</t>
        </is>
      </c>
      <c r="G623" s="2162" t="inlineStr">
        <is>
          <t>Revestimentos</t>
        </is>
      </c>
      <c r="H623" s="2162" t="n"/>
      <c r="I623" s="4" t="inlineStr">
        <is>
          <t>Revestimentos</t>
        </is>
      </c>
    </row>
    <row r="624" ht="15.75" customHeight="1">
      <c r="A624" s="10">
        <f>COUNTIFS($B$2:$B$996,B624)</f>
        <v/>
      </c>
      <c r="B624" s="10" t="inlineStr">
        <is>
          <t>Revestimento Pastilha Barlavento Caribbean 14,5x14,5 cm, bold externo portobello</t>
        </is>
      </c>
      <c r="C624" s="11" t="inlineStr">
        <is>
          <t>M2</t>
        </is>
      </c>
      <c r="D624" s="2162">
        <f>E624*$D$1</f>
        <v/>
      </c>
      <c r="E624" s="2162" t="n">
        <v>154.89</v>
      </c>
      <c r="F624" s="2162" t="inlineStr">
        <is>
          <t>Revestimentos</t>
        </is>
      </c>
      <c r="G624" s="2162" t="inlineStr">
        <is>
          <t>Revestimentos</t>
        </is>
      </c>
      <c r="H624" s="2162" t="n"/>
      <c r="I624" s="4" t="inlineStr">
        <is>
          <t>Revestimentos</t>
        </is>
      </c>
    </row>
    <row r="625" ht="15.75" customHeight="1">
      <c r="A625" s="10">
        <f>COUNTIFS($B$2:$B$996,B625)</f>
        <v/>
      </c>
      <c r="B625" s="10" t="inlineStr">
        <is>
          <t xml:space="preserve">Porcelanato A 84x84cm acetinado </t>
        </is>
      </c>
      <c r="C625" s="11" t="inlineStr">
        <is>
          <t>M2</t>
        </is>
      </c>
      <c r="D625" s="2162">
        <f>E625*$D$1</f>
        <v/>
      </c>
      <c r="E625" s="2162" t="n">
        <v>80</v>
      </c>
      <c r="F625" s="2162" t="inlineStr">
        <is>
          <t>Revestimentos</t>
        </is>
      </c>
      <c r="G625" s="2162" t="inlineStr">
        <is>
          <t>Revestimentos</t>
        </is>
      </c>
      <c r="H625" s="2162" t="n"/>
      <c r="I625" s="4" t="inlineStr">
        <is>
          <t>Revestimentos</t>
        </is>
      </c>
    </row>
    <row r="626" ht="15.75" customHeight="1">
      <c r="A626" s="10">
        <f>COUNTIFS($B$2:$B$996,B626)</f>
        <v/>
      </c>
      <c r="B626" s="10" t="inlineStr">
        <is>
          <t>PAINEL PORCELANATO MATERIA CALCARIO AC 60X120 CM, com
aplicação de Tela de Fibra de Vidro.</t>
        </is>
      </c>
      <c r="C626" s="11" t="inlineStr">
        <is>
          <t>M2</t>
        </is>
      </c>
      <c r="D626" s="2162">
        <f>E626*$D$1</f>
        <v/>
      </c>
      <c r="E626" s="2162" t="n">
        <v>246.84</v>
      </c>
      <c r="F626" s="2162" t="inlineStr">
        <is>
          <t>Revestimentos</t>
        </is>
      </c>
      <c r="G626" s="2162" t="inlineStr">
        <is>
          <t>Revestimentos</t>
        </is>
      </c>
      <c r="H626" s="2162" t="n"/>
      <c r="I626" s="4" t="inlineStr">
        <is>
          <t>Revestimentos</t>
        </is>
      </c>
    </row>
    <row r="627" ht="15.75" customHeight="1">
      <c r="A627" s="10">
        <f>COUNTIFS($B$2:$B$996,B627)</f>
        <v/>
      </c>
      <c r="B627" s="10" t="inlineStr">
        <is>
          <t>Porcelanato Amadeirado Acetinado 19x117cm</t>
        </is>
      </c>
      <c r="C627" s="11" t="inlineStr">
        <is>
          <t>M2</t>
        </is>
      </c>
      <c r="D627" s="2162">
        <f>E627*$D$1</f>
        <v/>
      </c>
      <c r="E627" s="2162" t="n">
        <v>109.89</v>
      </c>
      <c r="F627" s="2162" t="inlineStr">
        <is>
          <t>Revestimentos</t>
        </is>
      </c>
      <c r="G627" s="2162" t="inlineStr">
        <is>
          <t>Revestimentos</t>
        </is>
      </c>
      <c r="H627" s="2162" t="n"/>
      <c r="I627" s="4" t="inlineStr">
        <is>
          <t>Revestimentos</t>
        </is>
      </c>
    </row>
    <row r="628" ht="15.75" customHeight="1">
      <c r="A628" s="10">
        <f>COUNTIFS($B$2:$B$996,B628)</f>
        <v/>
      </c>
      <c r="B628" s="16" t="inlineStr">
        <is>
          <t>Porcelanato Arena Cinza Bold Externo 60x60 Eliane</t>
        </is>
      </c>
      <c r="C628" s="11" t="inlineStr">
        <is>
          <t>M2</t>
        </is>
      </c>
      <c r="D628" s="2162">
        <f>E628*$D$1</f>
        <v/>
      </c>
      <c r="E628" s="2162" t="n">
        <v>113.22</v>
      </c>
      <c r="F628" s="2162" t="inlineStr">
        <is>
          <t>Revestimentos</t>
        </is>
      </c>
      <c r="G628" s="2162" t="inlineStr">
        <is>
          <t>Revestimentos</t>
        </is>
      </c>
      <c r="H628" s="2162" t="n"/>
      <c r="I628" s="4" t="inlineStr">
        <is>
          <t>Revestimentos</t>
        </is>
      </c>
    </row>
    <row r="629" ht="15.75" customHeight="1">
      <c r="A629" s="10">
        <f>COUNTIFS($B$2:$B$996,B629)</f>
        <v/>
      </c>
      <c r="B629" s="10" t="inlineStr">
        <is>
          <t xml:space="preserve">Porcelanato A 60x60cm acetinado </t>
        </is>
      </c>
      <c r="C629" s="11" t="inlineStr">
        <is>
          <t>M2</t>
        </is>
      </c>
      <c r="D629" s="2162">
        <f>E629*$D$1</f>
        <v/>
      </c>
      <c r="E629" s="2162" t="n">
        <v>67.88</v>
      </c>
      <c r="F629" s="2162" t="inlineStr">
        <is>
          <t>Revestimentos</t>
        </is>
      </c>
      <c r="G629" s="2162" t="inlineStr">
        <is>
          <t>Revestimentos</t>
        </is>
      </c>
      <c r="H629" s="2162" t="n"/>
      <c r="I629" s="4" t="inlineStr">
        <is>
          <t>Revestimentos</t>
        </is>
      </c>
    </row>
    <row r="630" ht="15.75" customHeight="1">
      <c r="A630" s="10">
        <f>COUNTIFS($B$2:$B$996,B630)</f>
        <v/>
      </c>
      <c r="B630" s="10" t="inlineStr">
        <is>
          <t>Porcelanato Canela Dourada Retificado Natural 20x120</t>
        </is>
      </c>
      <c r="C630" s="11" t="inlineStr">
        <is>
          <t>M2</t>
        </is>
      </c>
      <c r="D630" s="2162">
        <f>E630*$D$1</f>
        <v/>
      </c>
      <c r="E630" s="2162" t="n">
        <v>165</v>
      </c>
      <c r="F630" s="2162" t="inlineStr">
        <is>
          <t>Revestimentos</t>
        </is>
      </c>
      <c r="G630" s="2162" t="inlineStr">
        <is>
          <t>Revestimentos</t>
        </is>
      </c>
      <c r="H630" s="2162" t="n"/>
      <c r="I630" s="4" t="inlineStr">
        <is>
          <t>Revestimentos</t>
        </is>
      </c>
    </row>
    <row r="631" ht="15.75" customHeight="1">
      <c r="A631" s="10">
        <f>COUNTIFS($B$2:$B$996,B631)</f>
        <v/>
      </c>
      <c r="B631" s="10" t="inlineStr">
        <is>
          <t>Revestimento Cerâmico de Piso Interno 58x58</t>
        </is>
      </c>
      <c r="C631" s="11" t="inlineStr">
        <is>
          <t>M2</t>
        </is>
      </c>
      <c r="D631" s="2162">
        <f>E631*$D$1</f>
        <v/>
      </c>
      <c r="E631" s="2162" t="n">
        <v>39.64</v>
      </c>
      <c r="F631" s="2162" t="inlineStr">
        <is>
          <t>Revestimentos</t>
        </is>
      </c>
      <c r="G631" s="2162" t="inlineStr">
        <is>
          <t>Revestimentos</t>
        </is>
      </c>
      <c r="H631" s="2162" t="n"/>
      <c r="I631" s="4" t="inlineStr">
        <is>
          <t>Revestimentos</t>
        </is>
      </c>
    </row>
    <row r="632" ht="15.75" customHeight="1">
      <c r="A632" s="10">
        <f>COUNTIFS($B$2:$B$996,B632)</f>
        <v/>
      </c>
      <c r="B632" s="10" t="inlineStr">
        <is>
          <t>REVESTIMENTO CERÂMICO DE TIJOLINHO</t>
        </is>
      </c>
      <c r="C632" s="11" t="inlineStr">
        <is>
          <t>M2</t>
        </is>
      </c>
      <c r="D632" s="2162">
        <f>E632*$D$1</f>
        <v/>
      </c>
      <c r="E632" s="2162" t="n">
        <v>112.71</v>
      </c>
      <c r="F632" s="2162" t="inlineStr">
        <is>
          <t>Revestimentos</t>
        </is>
      </c>
      <c r="G632" s="2162" t="inlineStr">
        <is>
          <t>Revestimentos</t>
        </is>
      </c>
      <c r="H632" s="2162" t="n"/>
      <c r="I632" s="4" t="inlineStr">
        <is>
          <t>Revestimentos</t>
        </is>
      </c>
    </row>
    <row r="633" ht="15.75" customHeight="1">
      <c r="A633" s="10">
        <f>COUNTIFS($B$2:$B$996,B633)</f>
        <v/>
      </c>
      <c r="B633" s="10" t="inlineStr">
        <is>
          <t>GRADE PISO ACO ASTM A36 LISO ACB. DES. PADRAO GALV A FOGO - 2,2x1,34</t>
        </is>
      </c>
      <c r="C633" s="11" t="inlineStr">
        <is>
          <t>M2</t>
        </is>
      </c>
      <c r="D633" s="2162">
        <f>E633*$D$1</f>
        <v/>
      </c>
      <c r="E633" s="2162" t="n">
        <v>1036.950474898236</v>
      </c>
      <c r="F633" s="2162" t="inlineStr">
        <is>
          <t>Revestimentos</t>
        </is>
      </c>
      <c r="G633" s="2162" t="inlineStr">
        <is>
          <t>Revestimentos</t>
        </is>
      </c>
      <c r="H633" s="2162" t="n"/>
      <c r="I633" s="4" t="inlineStr">
        <is>
          <t>Revestimentos</t>
        </is>
      </c>
    </row>
    <row r="634" ht="15.75" customHeight="1">
      <c r="A634" s="10">
        <f>COUNTIFS($B$2:$B$996,B634)</f>
        <v/>
      </c>
      <c r="B634" s="10" t="inlineStr">
        <is>
          <t>Porcelanato "A" 60x60 Place Polido 8058873 Eliane</t>
        </is>
      </c>
      <c r="C634" s="11" t="inlineStr">
        <is>
          <t>M2</t>
        </is>
      </c>
      <c r="D634" s="2162">
        <f>E634*$D$1</f>
        <v/>
      </c>
      <c r="E634" s="2162" t="n">
        <v>89.90000000000001</v>
      </c>
      <c r="F634" s="2162" t="inlineStr">
        <is>
          <t>Revestimentos</t>
        </is>
      </c>
      <c r="G634" s="2162" t="inlineStr">
        <is>
          <t>Revestimentos</t>
        </is>
      </c>
      <c r="H634" s="2162" t="n"/>
      <c r="I634" s="4" t="inlineStr">
        <is>
          <t>Revestimentos</t>
        </is>
      </c>
    </row>
    <row r="635" ht="15.75" customHeight="1">
      <c r="A635" s="10">
        <f>COUNTIFS($B$2:$B$996,B635)</f>
        <v/>
      </c>
      <c r="B635" s="10" t="inlineStr">
        <is>
          <t>Porcelanato Polido Eliane Place "A" 120x120</t>
        </is>
      </c>
      <c r="C635" s="11" t="inlineStr">
        <is>
          <t>M2</t>
        </is>
      </c>
      <c r="D635" s="2162">
        <f>E635*$D$1</f>
        <v/>
      </c>
      <c r="E635" s="2162" t="n">
        <v>136.89</v>
      </c>
      <c r="F635" s="2162" t="inlineStr">
        <is>
          <t>Revestimentos</t>
        </is>
      </c>
      <c r="G635" s="2162" t="inlineStr">
        <is>
          <t>Revestimentos</t>
        </is>
      </c>
      <c r="H635" s="2162" t="n"/>
      <c r="I635" s="4" t="inlineStr">
        <is>
          <t>Revestimentos</t>
        </is>
      </c>
    </row>
    <row r="636" ht="15.75" customHeight="1">
      <c r="A636" s="10">
        <f>COUNTIFS($B$2:$B$996,B636)</f>
        <v/>
      </c>
      <c r="B636" s="10" t="inlineStr">
        <is>
          <t>Porcelanato Polido 100x100</t>
        </is>
      </c>
      <c r="C636" s="11" t="inlineStr">
        <is>
          <t>M2</t>
        </is>
      </c>
      <c r="D636" s="2162">
        <f>E636*$D$1</f>
        <v/>
      </c>
      <c r="E636" s="2162">
        <f>E640/(0.6*1.2)*(1*1)</f>
        <v/>
      </c>
      <c r="F636" s="2162" t="inlineStr">
        <is>
          <t>Revestimentos</t>
        </is>
      </c>
      <c r="G636" s="2162" t="inlineStr">
        <is>
          <t>Revestimentos</t>
        </is>
      </c>
      <c r="H636" s="2162" t="n"/>
      <c r="I636" s="4" t="inlineStr">
        <is>
          <t>Revestimentos</t>
        </is>
      </c>
    </row>
    <row r="637" ht="15.75" customHeight="1">
      <c r="A637" s="10">
        <f>COUNTIFS($B$2:$B$996,B637)</f>
        <v/>
      </c>
      <c r="B637" s="10" t="inlineStr">
        <is>
          <t>Porcelanato Acetinado 120x120cm</t>
        </is>
      </c>
      <c r="C637" s="11" t="inlineStr">
        <is>
          <t>M2</t>
        </is>
      </c>
      <c r="D637" s="2162">
        <f>E637*$D$1</f>
        <v/>
      </c>
      <c r="E637" s="2162" t="n">
        <v>140</v>
      </c>
      <c r="F637" s="2162" t="inlineStr">
        <is>
          <t>Revestimentos</t>
        </is>
      </c>
      <c r="G637" s="2162" t="inlineStr">
        <is>
          <t>Revestimentos</t>
        </is>
      </c>
      <c r="H637" s="2162" t="n"/>
      <c r="I637" s="4" t="inlineStr">
        <is>
          <t>Revestimentos</t>
        </is>
      </c>
    </row>
    <row r="638" ht="15.75" customHeight="1">
      <c r="A638" s="10">
        <f>COUNTIFS($B$2:$B$996,B638)</f>
        <v/>
      </c>
      <c r="B638" s="10" t="inlineStr">
        <is>
          <t>Porcelanato Superquadra Cru 60X120 Nat Ret</t>
        </is>
      </c>
      <c r="C638" s="11" t="inlineStr">
        <is>
          <t>M2</t>
        </is>
      </c>
      <c r="D638" s="2162">
        <f>E638*$D$1</f>
        <v/>
      </c>
      <c r="E638" s="2162" t="n">
        <v>110.5</v>
      </c>
      <c r="F638" s="2162" t="inlineStr">
        <is>
          <t>Revestimentos</t>
        </is>
      </c>
      <c r="G638" s="2162" t="inlineStr">
        <is>
          <t>Revestimentos</t>
        </is>
      </c>
      <c r="H638" s="2162" t="n"/>
      <c r="I638" s="4" t="inlineStr">
        <is>
          <t>Revestimentos</t>
        </is>
      </c>
    </row>
    <row r="639" ht="15.75" customHeight="1">
      <c r="A639" s="10">
        <f>COUNTIFS($B$2:$B$996,B639)</f>
        <v/>
      </c>
      <c r="B639" s="10" t="inlineStr">
        <is>
          <t>Porcelanato Superquadra 60X120 - Portobelo</t>
        </is>
      </c>
      <c r="C639" s="11" t="inlineStr">
        <is>
          <t>M2</t>
        </is>
      </c>
      <c r="D639" s="2162">
        <f>E639*$D$1</f>
        <v/>
      </c>
      <c r="E639" s="2162">
        <f>E638</f>
        <v/>
      </c>
      <c r="F639" s="2162" t="inlineStr">
        <is>
          <t>Revestimentos</t>
        </is>
      </c>
      <c r="G639" s="2162" t="inlineStr">
        <is>
          <t>Revestimentos</t>
        </is>
      </c>
      <c r="H639" s="2162" t="n"/>
      <c r="I639" s="4" t="inlineStr">
        <is>
          <t>Revestimentos</t>
        </is>
      </c>
    </row>
    <row r="640" ht="15.75" customHeight="1">
      <c r="A640" s="10">
        <f>COUNTIFS($B$2:$B$996,B640)</f>
        <v/>
      </c>
      <c r="B640" s="10" t="inlineStr">
        <is>
          <t>Porcelanato Ártico Alpe 60X120Cm Ret. Ac. Eliane</t>
        </is>
      </c>
      <c r="C640" s="11" t="inlineStr">
        <is>
          <t>M2</t>
        </is>
      </c>
      <c r="D640" s="2162">
        <f>E640*$D$1</f>
        <v/>
      </c>
      <c r="E640" s="2177" t="n">
        <v>66.90000000000001</v>
      </c>
      <c r="F640" s="2162" t="inlineStr">
        <is>
          <t>Revestimentos</t>
        </is>
      </c>
      <c r="G640" s="2162" t="inlineStr">
        <is>
          <t>Revestimentos</t>
        </is>
      </c>
      <c r="H640" s="2162" t="n"/>
      <c r="I640" s="4" t="inlineStr">
        <is>
          <t>Revestimentos</t>
        </is>
      </c>
    </row>
    <row r="641" ht="15.75" customHeight="1">
      <c r="A641" s="10">
        <f>COUNTIFS($B$2:$B$996,B641)</f>
        <v/>
      </c>
      <c r="B641" s="10" t="inlineStr">
        <is>
          <t>Porcelanato Onyx Unique Ret. Acetinado 120X120Cm - Portobello</t>
        </is>
      </c>
      <c r="C641" s="11" t="inlineStr">
        <is>
          <t>M2</t>
        </is>
      </c>
      <c r="D641" s="2162">
        <f>E641*$D$1</f>
        <v/>
      </c>
      <c r="E641" s="2162">
        <f>E640/(0.6*1.2)*(1.2*1.2)</f>
        <v/>
      </c>
      <c r="F641" s="2162" t="inlineStr">
        <is>
          <t>Revestimentos</t>
        </is>
      </c>
      <c r="G641" s="2162" t="inlineStr">
        <is>
          <t>Revestimentos</t>
        </is>
      </c>
      <c r="H641" s="2162" t="n"/>
      <c r="I641" s="4" t="inlineStr">
        <is>
          <t>Revestimentos</t>
        </is>
      </c>
    </row>
    <row r="642" ht="15.75" customHeight="1">
      <c r="A642" s="10">
        <f>COUNTIFS($B$2:$B$996,B642)</f>
        <v/>
      </c>
      <c r="B642" s="10" t="inlineStr">
        <is>
          <t>Porcelanato Onyx Unique Ret. Polido 120X120Cm - Portobello</t>
        </is>
      </c>
      <c r="C642" s="11" t="inlineStr">
        <is>
          <t>M2</t>
        </is>
      </c>
      <c r="D642" s="2162">
        <f>E642*$D$1</f>
        <v/>
      </c>
      <c r="E642" s="2162">
        <f>E640/(0.6*1.2)*(1.2*1.2)</f>
        <v/>
      </c>
      <c r="F642" s="2162" t="inlineStr">
        <is>
          <t>Revestimentos</t>
        </is>
      </c>
      <c r="G642" s="2162" t="inlineStr">
        <is>
          <t>Revestimentos</t>
        </is>
      </c>
      <c r="H642" s="2162" t="n"/>
      <c r="I642" s="4" t="inlineStr">
        <is>
          <t>Revestimentos</t>
        </is>
      </c>
    </row>
    <row r="643" ht="15.75" customHeight="1">
      <c r="A643" s="10">
        <f>COUNTIFS($B$2:$B$996,B643)</f>
        <v/>
      </c>
      <c r="B643" s="10" t="inlineStr">
        <is>
          <t>Porcelanato Travertino Navona Bianco 120X120Cm Ret. Natural Portobello</t>
        </is>
      </c>
      <c r="C643" s="11" t="inlineStr">
        <is>
          <t>M2</t>
        </is>
      </c>
      <c r="D643" s="2162">
        <f>E643*$D$1</f>
        <v/>
      </c>
      <c r="E643" s="2162">
        <f>E640/(0.6*1.2)*(1.2*1.2)</f>
        <v/>
      </c>
      <c r="F643" s="2162" t="inlineStr">
        <is>
          <t>Revestimentos</t>
        </is>
      </c>
      <c r="G643" s="2162" t="inlineStr">
        <is>
          <t>Revestimentos</t>
        </is>
      </c>
      <c r="H643" s="2162" t="n"/>
      <c r="I643" s="4" t="inlineStr">
        <is>
          <t>Revestimentos</t>
        </is>
      </c>
    </row>
    <row r="644" ht="15.75" customHeight="1">
      <c r="A644" s="10">
        <f>COUNTIFS($B$2:$B$996,B644)</f>
        <v/>
      </c>
      <c r="B644" s="10" t="inlineStr">
        <is>
          <t>Porcelanato Pp Pro Nude Gp 60X60Cm Retificado</t>
        </is>
      </c>
      <c r="C644" s="11" t="inlineStr">
        <is>
          <t>M2</t>
        </is>
      </c>
      <c r="D644" s="2162">
        <f>E644*$D$1</f>
        <v/>
      </c>
      <c r="E644" s="2162" t="n">
        <v>43.86</v>
      </c>
      <c r="F644" s="2162" t="inlineStr">
        <is>
          <t>Revestimentos</t>
        </is>
      </c>
      <c r="G644" s="2162" t="inlineStr">
        <is>
          <t>Revestimentos</t>
        </is>
      </c>
      <c r="H644" s="2162" t="n"/>
      <c r="I644" s="4" t="inlineStr">
        <is>
          <t>Revestimentos</t>
        </is>
      </c>
    </row>
    <row r="645" ht="15.75" customHeight="1">
      <c r="A645" s="10">
        <f>COUNTIFS($B$2:$B$996,B645)</f>
        <v/>
      </c>
      <c r="B645" s="10" t="inlineStr">
        <is>
          <t xml:space="preserve">Porcelanato Botanique Melisse Mate Portobello 29X30Cm    </t>
        </is>
      </c>
      <c r="C645" s="11" t="inlineStr">
        <is>
          <t>M2</t>
        </is>
      </c>
      <c r="D645" s="2162">
        <f>E645*$D$1</f>
        <v/>
      </c>
      <c r="E645" s="2162" t="n">
        <v>83.40000000000001</v>
      </c>
      <c r="F645" s="2162" t="inlineStr">
        <is>
          <t>Revestimentos</t>
        </is>
      </c>
      <c r="G645" s="2162" t="inlineStr">
        <is>
          <t>Revestimentos</t>
        </is>
      </c>
      <c r="H645" s="2162" t="n"/>
      <c r="I645" s="4" t="inlineStr">
        <is>
          <t>Revestimentos</t>
        </is>
      </c>
    </row>
    <row r="646" ht="15.75" customHeight="1">
      <c r="A646" s="10">
        <f>COUNTIFS($B$2:$B$996,B646)</f>
        <v/>
      </c>
      <c r="B646" s="10" t="inlineStr">
        <is>
          <t>Cerâmico Acetinado Imperial Mt 50X50Xcm</t>
        </is>
      </c>
      <c r="C646" s="11" t="inlineStr">
        <is>
          <t>M2</t>
        </is>
      </c>
      <c r="D646" s="2162">
        <f>E646*$D$1</f>
        <v/>
      </c>
      <c r="E646" s="2162" t="n">
        <v>44.9</v>
      </c>
      <c r="F646" s="2162" t="inlineStr">
        <is>
          <t>Revestimentos</t>
        </is>
      </c>
      <c r="G646" s="2162" t="inlineStr">
        <is>
          <t>Revestimentos</t>
        </is>
      </c>
      <c r="H646" s="2162" t="n"/>
      <c r="I646" s="4" t="inlineStr">
        <is>
          <t>Revestimentos</t>
        </is>
      </c>
    </row>
    <row r="647" ht="15.75" customHeight="1">
      <c r="A647" s="10">
        <f>COUNTIFS($B$2:$B$996,B647)</f>
        <v/>
      </c>
      <c r="B647" s="10" t="inlineStr">
        <is>
          <t xml:space="preserve">Piso Cimenticio Tecnogran 60X60Cm Linha Lavaggio  </t>
        </is>
      </c>
      <c r="C647" s="11" t="inlineStr">
        <is>
          <t>M2</t>
        </is>
      </c>
      <c r="D647" s="2162">
        <f>E647*$D$1</f>
        <v/>
      </c>
      <c r="E647" s="2162" t="n">
        <v>44.9</v>
      </c>
      <c r="F647" s="2162" t="inlineStr">
        <is>
          <t>Revestimentos</t>
        </is>
      </c>
      <c r="G647" s="2162" t="inlineStr">
        <is>
          <t>Revestimentos</t>
        </is>
      </c>
      <c r="H647" s="2162" t="n"/>
      <c r="I647" s="4" t="inlineStr">
        <is>
          <t>Revestimentos</t>
        </is>
      </c>
    </row>
    <row r="648" ht="15.75" customHeight="1">
      <c r="A648" s="10">
        <f>COUNTIFS($B$2:$B$996,B648)</f>
        <v/>
      </c>
      <c r="B648" s="10" t="inlineStr">
        <is>
          <t>Piso Cargo Plus 45x45cm White Eliane</t>
        </is>
      </c>
      <c r="C648" s="11" t="inlineStr">
        <is>
          <t>M2</t>
        </is>
      </c>
      <c r="D648" s="2162">
        <f>E648*$D$1</f>
        <v/>
      </c>
      <c r="E648" s="2162" t="n">
        <v>44.9</v>
      </c>
      <c r="F648" s="2162" t="inlineStr">
        <is>
          <t>Revestimentos</t>
        </is>
      </c>
      <c r="G648" s="2162" t="inlineStr">
        <is>
          <t>Revestimentos</t>
        </is>
      </c>
      <c r="H648" s="2162" t="n"/>
      <c r="I648" s="4" t="inlineStr">
        <is>
          <t>Revestimentos</t>
        </is>
      </c>
    </row>
    <row r="649" ht="15.75" customHeight="1">
      <c r="A649" s="10">
        <f>COUNTIFS($B$2:$B$996,B649)</f>
        <v/>
      </c>
      <c r="B649" s="10" t="inlineStr">
        <is>
          <t>Revestimento de parede em porcelanato, placa 30x90cm</t>
        </is>
      </c>
      <c r="C649" s="11" t="inlineStr">
        <is>
          <t>M2</t>
        </is>
      </c>
      <c r="D649" s="2162">
        <f>E649*$D$1</f>
        <v/>
      </c>
      <c r="E649" s="2162" t="n">
        <v>112.225</v>
      </c>
      <c r="F649" s="2162" t="inlineStr">
        <is>
          <t>Revestimentos</t>
        </is>
      </c>
      <c r="G649" s="2162" t="inlineStr">
        <is>
          <t>Revestimentos</t>
        </is>
      </c>
      <c r="H649" s="2162" t="n"/>
      <c r="I649" s="4" t="inlineStr">
        <is>
          <t>Revestimentos</t>
        </is>
      </c>
    </row>
    <row r="650" ht="15.75" customHeight="1">
      <c r="A650" s="10">
        <f>COUNTIFS($B$2:$B$996,B650)</f>
        <v/>
      </c>
      <c r="B650" s="10" t="inlineStr">
        <is>
          <t>Revestimento Pastilha 07x24cm</t>
        </is>
      </c>
      <c r="C650" s="11" t="inlineStr">
        <is>
          <t>M2</t>
        </is>
      </c>
      <c r="D650" s="2162">
        <f>E650*$D$1</f>
        <v/>
      </c>
      <c r="E650" s="2162" t="n">
        <v>83.95</v>
      </c>
      <c r="F650" s="2162" t="inlineStr">
        <is>
          <t>Revestimentos</t>
        </is>
      </c>
      <c r="G650" s="2162" t="inlineStr">
        <is>
          <t>Revestimentos</t>
        </is>
      </c>
      <c r="H650" s="2162" t="n"/>
      <c r="I650" s="4" t="inlineStr">
        <is>
          <t>Revestimentos</t>
        </is>
      </c>
    </row>
    <row r="651" ht="15.75" customHeight="1">
      <c r="A651" s="10">
        <f>COUNTIFS($B$2:$B$996,B651)</f>
        <v/>
      </c>
      <c r="B651" s="10" t="inlineStr">
        <is>
          <t>Revestimento Pastilha 14,5x14,5cm</t>
        </is>
      </c>
      <c r="C651" s="11" t="inlineStr">
        <is>
          <t>M2</t>
        </is>
      </c>
      <c r="D651" s="2162">
        <f>E651*$D$1</f>
        <v/>
      </c>
      <c r="E651" s="2162" t="n">
        <v>127.9</v>
      </c>
      <c r="F651" s="2162" t="inlineStr">
        <is>
          <t>Revestimentos</t>
        </is>
      </c>
      <c r="G651" s="2162" t="inlineStr">
        <is>
          <t>Revestimentos</t>
        </is>
      </c>
      <c r="H651" s="2162" t="n"/>
      <c r="I651" s="4" t="inlineStr">
        <is>
          <t>Revestimentos</t>
        </is>
      </c>
    </row>
    <row r="652" ht="15.75" customHeight="1">
      <c r="A652" s="10">
        <f>COUNTIFS($B$2:$B$996,B652)</f>
        <v/>
      </c>
      <c r="B652" s="10" t="inlineStr">
        <is>
          <t>Revestimento Pastilha 2,5x2,5cm</t>
        </is>
      </c>
      <c r="C652" s="11" t="inlineStr">
        <is>
          <t>M2</t>
        </is>
      </c>
      <c r="D652" s="2162">
        <f>E652*$D$1</f>
        <v/>
      </c>
      <c r="E652" s="2162" t="n">
        <v>233.37</v>
      </c>
      <c r="F652" s="2162" t="inlineStr">
        <is>
          <t>Revestimentos</t>
        </is>
      </c>
      <c r="G652" s="2162" t="inlineStr">
        <is>
          <t>Revestimentos</t>
        </is>
      </c>
      <c r="H652" s="2162" t="n"/>
      <c r="I652" s="4" t="inlineStr">
        <is>
          <t>Revestimentos</t>
        </is>
      </c>
    </row>
    <row r="653" ht="15.75" customHeight="1">
      <c r="A653" s="10">
        <f>COUNTIFS($B$2:$B$996,B653)</f>
        <v/>
      </c>
      <c r="B653" s="10" t="inlineStr">
        <is>
          <t>Revestimento Pastilha 20x20cm</t>
        </is>
      </c>
      <c r="C653" s="11" t="inlineStr">
        <is>
          <t>M2</t>
        </is>
      </c>
      <c r="D653" s="2162">
        <f>E653*$D$1</f>
        <v/>
      </c>
      <c r="E653" s="2162" t="n">
        <v>163.66</v>
      </c>
      <c r="F653" s="2162" t="inlineStr">
        <is>
          <t>Revestimentos</t>
        </is>
      </c>
      <c r="G653" s="2162" t="inlineStr">
        <is>
          <t>Revestimentos</t>
        </is>
      </c>
      <c r="H653" s="2162" t="n"/>
      <c r="I653" s="4" t="inlineStr">
        <is>
          <t>Revestimentos</t>
        </is>
      </c>
    </row>
    <row r="654" ht="15.75" customHeight="1">
      <c r="A654" s="10">
        <f>COUNTIFS($B$2:$B$996,B654)</f>
        <v/>
      </c>
      <c r="B654" s="10" t="inlineStr">
        <is>
          <t>Revestimento Pastilha 5x5cm</t>
        </is>
      </c>
      <c r="C654" s="11" t="inlineStr">
        <is>
          <t>M2</t>
        </is>
      </c>
      <c r="D654" s="2162">
        <f>E654*$D$1</f>
        <v/>
      </c>
      <c r="E654" s="2162" t="n">
        <v>146.44</v>
      </c>
      <c r="F654" s="2162" t="inlineStr">
        <is>
          <t>Revestimentos</t>
        </is>
      </c>
      <c r="G654" s="2162" t="inlineStr">
        <is>
          <t>Revestimentos</t>
        </is>
      </c>
      <c r="H654" s="2162" t="n"/>
      <c r="I654" s="4" t="inlineStr">
        <is>
          <t>Revestimentos</t>
        </is>
      </c>
    </row>
    <row r="655" ht="15.75" customHeight="1">
      <c r="A655" s="10">
        <f>COUNTIFS($B$2:$B$996,B655)</f>
        <v/>
      </c>
      <c r="B655" s="10" t="inlineStr">
        <is>
          <t>Petit Pavé Branco Pedra Portuguesa</t>
        </is>
      </c>
      <c r="C655" s="11" t="inlineStr">
        <is>
          <t>M2</t>
        </is>
      </c>
      <c r="D655" s="2162">
        <f>E655*$D$1</f>
        <v/>
      </c>
      <c r="E655" s="2162" t="n">
        <v>79</v>
      </c>
      <c r="F655" s="2162" t="inlineStr">
        <is>
          <t>Revestimentos</t>
        </is>
      </c>
      <c r="G655" s="2162" t="inlineStr">
        <is>
          <t>Revestimentos</t>
        </is>
      </c>
      <c r="H655" s="2162" t="n"/>
      <c r="I655" s="4" t="inlineStr">
        <is>
          <t>Revestimentos</t>
        </is>
      </c>
    </row>
    <row r="656" ht="15.75" customHeight="1">
      <c r="A656" s="10">
        <f>COUNTIFS($B$2:$B$996,B656)</f>
        <v/>
      </c>
      <c r="B656" s="10" t="inlineStr">
        <is>
          <t>Piso drenante - 45x45x5</t>
        </is>
      </c>
      <c r="C656" s="11" t="inlineStr">
        <is>
          <t>M2</t>
        </is>
      </c>
      <c r="D656" s="2162">
        <f>E656*$D$1</f>
        <v/>
      </c>
      <c r="E656" s="2162" t="n">
        <v>122.9629629629629</v>
      </c>
      <c r="F656" s="2162" t="inlineStr">
        <is>
          <t>Revestimentos</t>
        </is>
      </c>
      <c r="G656" s="2162" t="inlineStr">
        <is>
          <t>Revestimentos</t>
        </is>
      </c>
      <c r="H656" s="2162" t="n"/>
      <c r="I656" s="4" t="inlineStr">
        <is>
          <t>Revestimentos</t>
        </is>
      </c>
    </row>
    <row r="657" ht="15.75" customHeight="1">
      <c r="A657" s="10">
        <f>COUNTIFS($B$2:$B$996,B657)</f>
        <v/>
      </c>
      <c r="B657" s="10" t="inlineStr">
        <is>
          <t>Pisos Para Academia e Crossfit Emborrachado - 50 x 50 cm</t>
        </is>
      </c>
      <c r="C657" s="11" t="inlineStr">
        <is>
          <t>M2</t>
        </is>
      </c>
      <c r="D657" s="2162">
        <f>E657*$D$1</f>
        <v/>
      </c>
      <c r="E657" s="2162" t="n">
        <v>138.4</v>
      </c>
      <c r="F657" s="2162" t="inlineStr">
        <is>
          <t>Revestimentos</t>
        </is>
      </c>
      <c r="G657" s="2162" t="inlineStr">
        <is>
          <t>Revestimentos</t>
        </is>
      </c>
      <c r="H657" s="2162" t="n"/>
      <c r="I657" s="4" t="inlineStr">
        <is>
          <t>Revestimentos</t>
        </is>
      </c>
    </row>
    <row r="658" ht="15.75" customHeight="1">
      <c r="A658" s="10">
        <f>COUNTIFS($B$2:$B$996,B658)</f>
        <v/>
      </c>
      <c r="B658" s="10" t="inlineStr">
        <is>
          <t>Revestimento Portinari Pacific Bl Lux Bold 20x20</t>
        </is>
      </c>
      <c r="C658" s="11" t="inlineStr">
        <is>
          <t>M2</t>
        </is>
      </c>
      <c r="D658" s="2162">
        <f>E658*$D$1</f>
        <v/>
      </c>
      <c r="E658" s="2162" t="n">
        <v>182.45</v>
      </c>
      <c r="F658" s="2162" t="inlineStr">
        <is>
          <t>Revestimentos</t>
        </is>
      </c>
      <c r="G658" s="2162" t="inlineStr">
        <is>
          <t>Revestimentos</t>
        </is>
      </c>
      <c r="H658" s="2162" t="n"/>
      <c r="I658" s="4" t="inlineStr">
        <is>
          <t>Revestimentos</t>
        </is>
      </c>
    </row>
    <row r="659" ht="15.75" customHeight="1">
      <c r="A659" s="10">
        <f>COUNTIFS($B$2:$B$996,B659)</f>
        <v/>
      </c>
      <c r="B659" s="10" t="inlineStr">
        <is>
          <t>Revestimento Ripado de Concreto</t>
        </is>
      </c>
      <c r="C659" s="11" t="inlineStr">
        <is>
          <t>M2</t>
        </is>
      </c>
      <c r="D659" s="2162">
        <f>E659*$D$1</f>
        <v/>
      </c>
      <c r="E659" s="2162" t="n">
        <v>280</v>
      </c>
      <c r="F659" s="2162" t="inlineStr">
        <is>
          <t>Revestimentos</t>
        </is>
      </c>
      <c r="G659" s="2162" t="inlineStr">
        <is>
          <t>Revestimentos</t>
        </is>
      </c>
      <c r="H659" s="2162" t="n"/>
      <c r="I659" s="4" t="inlineStr">
        <is>
          <t>Revestimentos</t>
        </is>
      </c>
    </row>
    <row r="660" ht="15.75" customHeight="1">
      <c r="A660" s="10">
        <f>COUNTIFS($B$2:$B$996,B660)</f>
        <v/>
      </c>
      <c r="B660" s="10" t="inlineStr">
        <is>
          <t>Piso modular polipropileno (PP) antiderrapante, UV, encaixe macho-fêmea, com tratamento anti-impacto</t>
        </is>
      </c>
      <c r="C660" s="11" t="inlineStr">
        <is>
          <t>M2</t>
        </is>
      </c>
      <c r="D660" s="2162">
        <f>E660*$D$1</f>
        <v/>
      </c>
      <c r="E660" s="2162" t="n">
        <v>250</v>
      </c>
      <c r="F660" s="2162" t="inlineStr">
        <is>
          <t>Revestimentos</t>
        </is>
      </c>
      <c r="G660" s="2162" t="inlineStr">
        <is>
          <t>Revestimentos</t>
        </is>
      </c>
      <c r="H660" s="2162" t="n"/>
      <c r="I660" s="4" t="inlineStr">
        <is>
          <t>Revestimentos</t>
        </is>
      </c>
    </row>
    <row r="661" ht="15.75" customHeight="1">
      <c r="A661" s="10">
        <f>COUNTIFS($B$2:$B$996,B661)</f>
        <v/>
      </c>
      <c r="B661" s="10" t="inlineStr">
        <is>
          <t>Revestimento Pedra Hijau Lisa 20x20 cm</t>
        </is>
      </c>
      <c r="C661" s="11" t="inlineStr">
        <is>
          <t>M2</t>
        </is>
      </c>
      <c r="D661" s="2162">
        <f>E661*$D$1</f>
        <v/>
      </c>
      <c r="E661" s="2162" t="n">
        <v>332.1</v>
      </c>
      <c r="F661" s="2162" t="inlineStr">
        <is>
          <t>Revestimentos</t>
        </is>
      </c>
      <c r="G661" s="2162" t="inlineStr">
        <is>
          <t>Revestimentos</t>
        </is>
      </c>
      <c r="H661" s="2162" t="n"/>
      <c r="I661" s="4" t="inlineStr">
        <is>
          <t>Revestimentos</t>
        </is>
      </c>
    </row>
    <row r="662" ht="15.75" customHeight="1">
      <c r="A662" s="10">
        <f>COUNTIFS($B$2:$B$996,B662)</f>
        <v/>
      </c>
      <c r="B662" s="10" t="inlineStr">
        <is>
          <t>Porcelanato Portobello Deck Parquet D Olivier Externo "A" 81x81cm</t>
        </is>
      </c>
      <c r="C662" s="11" t="inlineStr">
        <is>
          <t>M2</t>
        </is>
      </c>
      <c r="D662" s="2162">
        <f>E662*$D$1</f>
        <v/>
      </c>
      <c r="E662" s="2162" t="n">
        <v>84.90000000000001</v>
      </c>
      <c r="F662" s="2162" t="inlineStr">
        <is>
          <t>Revestimentos</t>
        </is>
      </c>
      <c r="G662" s="2162" t="inlineStr">
        <is>
          <t>Revestimentos</t>
        </is>
      </c>
      <c r="H662" s="2162" t="n"/>
      <c r="I662" s="4" t="inlineStr">
        <is>
          <t>Revestimentos</t>
        </is>
      </c>
    </row>
    <row r="663" ht="15.75" customHeight="1">
      <c r="A663" s="10">
        <f>COUNTIFS($B$2:$B$996,B663)</f>
        <v/>
      </c>
      <c r="B663" s="10" t="inlineStr">
        <is>
          <t>PORCELANATO DELTA 73X73 RETIFICADO ACETINADO JUA CLARO 2280-A</t>
        </is>
      </c>
      <c r="C663" s="11" t="inlineStr">
        <is>
          <t>M2</t>
        </is>
      </c>
      <c r="D663" s="2162">
        <f>E663*$D$1</f>
        <v/>
      </c>
      <c r="E663" s="2162" t="n">
        <v>68.90000000000001</v>
      </c>
      <c r="F663" s="2162" t="inlineStr">
        <is>
          <t>Revestimentos</t>
        </is>
      </c>
      <c r="G663" s="2162" t="inlineStr">
        <is>
          <t>Revestimentos</t>
        </is>
      </c>
      <c r="H663" s="2162" t="n"/>
      <c r="I663" s="4" t="inlineStr">
        <is>
          <t>Revestimentos</t>
        </is>
      </c>
    </row>
    <row r="664" ht="15.75" customHeight="1">
      <c r="A664" s="10">
        <f>COUNTIFS($B$2:$B$996,B664)</f>
        <v/>
      </c>
      <c r="B664" s="10" t="inlineStr">
        <is>
          <t>Porcelanato Piso Retificado Embramaco 76x76cm Acetinado Nevada Mate Plus Retificado</t>
        </is>
      </c>
      <c r="C664" s="11" t="inlineStr">
        <is>
          <t>M2</t>
        </is>
      </c>
      <c r="D664" s="2162">
        <f>E664*$D$1</f>
        <v/>
      </c>
      <c r="E664" s="2162" t="n">
        <v>34.9</v>
      </c>
      <c r="F664" s="2162" t="inlineStr">
        <is>
          <t>Revestimentos</t>
        </is>
      </c>
      <c r="G664" s="2162" t="inlineStr">
        <is>
          <t>Revestimentos</t>
        </is>
      </c>
      <c r="H664" s="2162" t="n"/>
      <c r="I664" s="4" t="inlineStr">
        <is>
          <t>Revestimentos</t>
        </is>
      </c>
    </row>
    <row r="665" ht="15.75" customHeight="1">
      <c r="A665" s="10">
        <f>COUNTIFS($B$2:$B$996,B665)</f>
        <v/>
      </c>
      <c r="B665" s="10" t="inlineStr">
        <is>
          <t>Porcelanato Pro Concrete Abs 89,5X89,5cm</t>
        </is>
      </c>
      <c r="C665" s="11" t="inlineStr">
        <is>
          <t>M2</t>
        </is>
      </c>
      <c r="D665" s="2162">
        <f>E665*$D$1</f>
        <v/>
      </c>
      <c r="E665" s="2162" t="n">
        <v>144.9</v>
      </c>
      <c r="F665" s="2162" t="inlineStr">
        <is>
          <t>Revestimentos</t>
        </is>
      </c>
      <c r="G665" s="2162" t="inlineStr">
        <is>
          <t>Revestimentos</t>
        </is>
      </c>
      <c r="H665" s="2162" t="n"/>
      <c r="I665" s="4" t="inlineStr">
        <is>
          <t>Revestimentos</t>
        </is>
      </c>
    </row>
    <row r="666" ht="15.75" customHeight="1">
      <c r="A666" s="10">
        <f>COUNTIFS($B$2:$B$996,B666)</f>
        <v/>
      </c>
      <c r="B666" s="10" t="inlineStr">
        <is>
          <t>PORCELANATO VILLAGRES 71X71 RETIFICADO ACETINADO MONTREAL FENDI</t>
        </is>
      </c>
      <c r="C666" s="11" t="inlineStr">
        <is>
          <t>M2</t>
        </is>
      </c>
      <c r="D666" s="2162">
        <f>E666*$D$1</f>
        <v/>
      </c>
      <c r="E666" s="2162" t="n">
        <v>76.3</v>
      </c>
      <c r="F666" s="2162" t="inlineStr">
        <is>
          <t>Revestimentos</t>
        </is>
      </c>
      <c r="G666" s="2162" t="inlineStr">
        <is>
          <t>Revestimentos</t>
        </is>
      </c>
      <c r="H666" s="2162" t="n"/>
      <c r="I666" s="4" t="inlineStr">
        <is>
          <t>Revestimentos</t>
        </is>
      </c>
    </row>
    <row r="667" ht="15.75" customHeight="1">
      <c r="A667" s="10">
        <f>COUNTIFS($B$2:$B$996,B667)</f>
        <v/>
      </c>
      <c r="B667" s="10" t="inlineStr">
        <is>
          <t>Porcelanato Biancogres Ripa Sense 45x90 Acetinado</t>
        </is>
      </c>
      <c r="C667" s="11" t="inlineStr">
        <is>
          <t>M2</t>
        </is>
      </c>
      <c r="D667" s="2162">
        <f>E667*$D$1</f>
        <v/>
      </c>
      <c r="E667" s="2162" t="n">
        <v>85.90000000000001</v>
      </c>
      <c r="F667" s="2162" t="inlineStr">
        <is>
          <t>Revestimentos</t>
        </is>
      </c>
      <c r="G667" s="2162" t="inlineStr">
        <is>
          <t>Revestimentos</t>
        </is>
      </c>
      <c r="H667" s="2162" t="n"/>
      <c r="I667" s="4" t="inlineStr">
        <is>
          <t>Revestimentos</t>
        </is>
      </c>
    </row>
    <row r="668" ht="15.75" customHeight="1">
      <c r="A668" s="10">
        <f>COUNTIFS($B$2:$B$996,B668)</f>
        <v/>
      </c>
      <c r="B668" s="10" t="inlineStr">
        <is>
          <t>Cerâmica Extrudada - Cerâmica Extrudada para Fachada Ventilada tijolo a vista, Modelo Faveton BRICK TILE, medida máxima de 600x150x16mm</t>
        </is>
      </c>
      <c r="C668" s="11" t="inlineStr">
        <is>
          <t>M2</t>
        </is>
      </c>
      <c r="D668" s="2162">
        <f>E668*$D$1</f>
        <v/>
      </c>
      <c r="E668" s="2162" t="n">
        <v>394</v>
      </c>
      <c r="F668" s="2162" t="inlineStr">
        <is>
          <t>Revestimentos</t>
        </is>
      </c>
      <c r="G668" s="2162" t="inlineStr">
        <is>
          <t>Revestimentos</t>
        </is>
      </c>
      <c r="H668" s="2162" t="inlineStr">
        <is>
          <t>COTAÇÃO</t>
        </is>
      </c>
      <c r="I668" s="4" t="inlineStr">
        <is>
          <t>Revestimentos</t>
        </is>
      </c>
    </row>
    <row r="669" ht="15.75" customHeight="1">
      <c r="A669" s="10">
        <f>COUNTIFS($B$2:$B$996,B669)</f>
        <v/>
      </c>
      <c r="B669" s="10" t="inlineStr">
        <is>
          <t>Mecanização de chapas ventiladas + Mão de obra + projeto executivo</t>
        </is>
      </c>
      <c r="C669" s="11" t="inlineStr">
        <is>
          <t>M2</t>
        </is>
      </c>
      <c r="D669" s="2162">
        <f>E669*$D$1</f>
        <v/>
      </c>
      <c r="E669" s="2162">
        <f>40+20+259+18</f>
        <v/>
      </c>
      <c r="F669" s="2162" t="inlineStr">
        <is>
          <t>Revestimentos</t>
        </is>
      </c>
      <c r="G669" s="2162" t="inlineStr">
        <is>
          <t>Revestimentos</t>
        </is>
      </c>
      <c r="H669" s="2162" t="inlineStr">
        <is>
          <t>COTAÇÃO</t>
        </is>
      </c>
      <c r="I669" s="4" t="inlineStr">
        <is>
          <t>Revestimentos</t>
        </is>
      </c>
    </row>
    <row r="670" ht="15.75" customHeight="1">
      <c r="A670" s="10">
        <f>COUNTIFS($B$2:$B$996,B670)</f>
        <v/>
      </c>
      <c r="B670" s="10" t="inlineStr">
        <is>
          <t>SISTEMA FACHADA VENTILADA BT16 - Estrutura de Alumínio e fixações em Aço Inox.</t>
        </is>
      </c>
      <c r="C670" s="11" t="inlineStr">
        <is>
          <t>M2</t>
        </is>
      </c>
      <c r="D670" s="2162">
        <f>E670*$D$1</f>
        <v/>
      </c>
      <c r="E670" s="2162" t="n">
        <v>298</v>
      </c>
      <c r="F670" s="2162" t="inlineStr">
        <is>
          <t>Revestimentos</t>
        </is>
      </c>
      <c r="G670" s="2162" t="inlineStr">
        <is>
          <t>Revestimentos</t>
        </is>
      </c>
      <c r="H670" s="2162" t="inlineStr">
        <is>
          <t>COTAÇÃO</t>
        </is>
      </c>
      <c r="I670" s="4" t="inlineStr">
        <is>
          <t>Revestimentos</t>
        </is>
      </c>
    </row>
    <row r="671" ht="15.75" customHeight="1">
      <c r="A671" s="10">
        <f>COUNTIFS($B$2:$B$996,B671)</f>
        <v/>
      </c>
      <c r="B671" s="10" t="inlineStr">
        <is>
          <t xml:space="preserve">Porcelanato Painel Kyoto - PAINEL KYOTO FENDI AC 60X120 CM </t>
        </is>
      </c>
      <c r="C671" s="11" t="inlineStr">
        <is>
          <t>M2</t>
        </is>
      </c>
      <c r="D671" s="2162">
        <f>E671*$D$1</f>
        <v/>
      </c>
      <c r="E671" s="2162" t="n">
        <v>147.4</v>
      </c>
      <c r="F671" s="2162" t="inlineStr">
        <is>
          <t>Revestimentos</t>
        </is>
      </c>
      <c r="G671" s="2162" t="inlineStr">
        <is>
          <t>Revestimentos</t>
        </is>
      </c>
      <c r="H671" s="2162" t="inlineStr">
        <is>
          <t>COTAÇÃO</t>
        </is>
      </c>
      <c r="I671" s="4" t="inlineStr">
        <is>
          <t>Revestimentos</t>
        </is>
      </c>
    </row>
    <row r="672" ht="15.75" customHeight="1">
      <c r="A672" s="10">
        <f>COUNTIFS($B$2:$B$996,B672)</f>
        <v/>
      </c>
      <c r="B672" s="10" t="inlineStr">
        <is>
          <t>Ladrilho Hidráulico 10x20cm - Cor: mostarda - Marca: Dalle Piagge</t>
        </is>
      </c>
      <c r="C672" s="11" t="inlineStr">
        <is>
          <t>M2</t>
        </is>
      </c>
      <c r="D672" s="2162">
        <f>E672*$D$1</f>
        <v/>
      </c>
      <c r="E672" s="2162" t="n">
        <v>588.8</v>
      </c>
      <c r="F672" s="2162" t="inlineStr">
        <is>
          <t>Revestimentos</t>
        </is>
      </c>
      <c r="G672" s="2162" t="inlineStr">
        <is>
          <t>Revestimentos</t>
        </is>
      </c>
      <c r="H672" s="2162" t="n"/>
      <c r="I672" s="4" t="inlineStr">
        <is>
          <t>Revestimentos</t>
        </is>
      </c>
    </row>
    <row r="673" ht="15.75" customHeight="1">
      <c r="A673" s="10">
        <f>COUNTIFS($B$2:$B$996,B673)</f>
        <v/>
      </c>
      <c r="B673" s="10" t="inlineStr">
        <is>
          <t>Ladrilho Hidráulico 10x20cm - Cor: off-white - Marca: Dalle Piagge</t>
        </is>
      </c>
      <c r="C673" s="11" t="inlineStr">
        <is>
          <t>M2</t>
        </is>
      </c>
      <c r="D673" s="2162">
        <f>E673*$D$1</f>
        <v/>
      </c>
      <c r="E673" s="2162" t="n">
        <v>588.8</v>
      </c>
      <c r="F673" s="2162" t="inlineStr">
        <is>
          <t>Revestimentos</t>
        </is>
      </c>
      <c r="G673" s="2162" t="inlineStr">
        <is>
          <t>Revestimentos</t>
        </is>
      </c>
      <c r="H673" s="2162" t="n"/>
      <c r="I673" s="4" t="inlineStr">
        <is>
          <t>Revestimentos</t>
        </is>
      </c>
    </row>
    <row r="674" ht="15.75" customHeight="1">
      <c r="A674" s="10">
        <f>COUNTIFS($B$2:$B$996,B674)</f>
        <v/>
      </c>
      <c r="B674" s="10" t="inlineStr">
        <is>
          <t>Ladrilho Hidráulico 10x20cm - Cor: mostarda - Marca: Ladrilar</t>
        </is>
      </c>
      <c r="C674" s="11" t="inlineStr">
        <is>
          <t>M2</t>
        </is>
      </c>
      <c r="D674" s="2162">
        <f>E674*$D$1</f>
        <v/>
      </c>
      <c r="E674" s="2162">
        <f>44090.55/139.97</f>
        <v/>
      </c>
      <c r="F674" s="2162" t="inlineStr">
        <is>
          <t>Revestimentos</t>
        </is>
      </c>
      <c r="G674" s="2162" t="inlineStr">
        <is>
          <t>Revestimentos</t>
        </is>
      </c>
      <c r="H674" s="2162" t="inlineStr">
        <is>
          <t>COTAÇÃO</t>
        </is>
      </c>
      <c r="I674" s="4" t="inlineStr">
        <is>
          <t>Revestimentos</t>
        </is>
      </c>
    </row>
    <row r="675" ht="15.75" customHeight="1">
      <c r="A675" s="10">
        <f>COUNTIFS($B$2:$B$996,B675)</f>
        <v/>
      </c>
      <c r="B675" s="10" t="inlineStr">
        <is>
          <t>Ladrilho Hidráulico 10x10cm - Cor: Laranja - Marca: Ladrilar</t>
        </is>
      </c>
      <c r="C675" s="11" t="inlineStr">
        <is>
          <t>M2</t>
        </is>
      </c>
      <c r="D675" s="2162">
        <f>E675*$D$1</f>
        <v/>
      </c>
      <c r="E675" s="2162" t="n">
        <v>402.5</v>
      </c>
      <c r="F675" s="2162" t="inlineStr">
        <is>
          <t>Revestimentos</t>
        </is>
      </c>
      <c r="G675" s="2162" t="inlineStr">
        <is>
          <t>Revestimentos</t>
        </is>
      </c>
      <c r="H675" s="2162" t="n"/>
      <c r="I675" s="4" t="inlineStr">
        <is>
          <t>Revestimentos</t>
        </is>
      </c>
    </row>
    <row r="676" ht="15.75" customHeight="1">
      <c r="A676" s="10">
        <f>COUNTIFS($B$2:$B$996,B676)</f>
        <v/>
      </c>
      <c r="B676" s="10" t="inlineStr">
        <is>
          <t>Ladrilho Hidráulico 10x10cm - Cor: off-white - Marca: Ladrilar</t>
        </is>
      </c>
      <c r="C676" s="11" t="inlineStr">
        <is>
          <t>M2</t>
        </is>
      </c>
      <c r="D676" s="2162">
        <f>E676*$D$1</f>
        <v/>
      </c>
      <c r="E676" s="2162" t="n">
        <v>402.5</v>
      </c>
      <c r="F676" s="2162" t="inlineStr">
        <is>
          <t>Revestimentos</t>
        </is>
      </c>
      <c r="G676" s="2162" t="inlineStr">
        <is>
          <t>Revestimentos</t>
        </is>
      </c>
      <c r="H676" s="2162" t="n"/>
      <c r="I676" s="4" t="inlineStr">
        <is>
          <t>Revestimentos</t>
        </is>
      </c>
    </row>
    <row r="677" ht="15.75" customHeight="1">
      <c r="A677" s="10">
        <f>COUNTIFS($B$2:$B$996,B677)</f>
        <v/>
      </c>
      <c r="B677" s="10" t="inlineStr">
        <is>
          <t>Ladrilho Hidráulico 10x20cm - Cor: off-white - Marca: Ladrilar</t>
        </is>
      </c>
      <c r="C677" s="11" t="inlineStr">
        <is>
          <t>M2</t>
        </is>
      </c>
      <c r="D677" s="2162">
        <f>E677*$D$1</f>
        <v/>
      </c>
      <c r="E677" s="2162">
        <f>44090.55/139.97</f>
        <v/>
      </c>
      <c r="F677" s="2162" t="inlineStr">
        <is>
          <t>Revestimentos</t>
        </is>
      </c>
      <c r="G677" s="2162" t="inlineStr">
        <is>
          <t>Revestimentos</t>
        </is>
      </c>
      <c r="H677" s="2162" t="inlineStr">
        <is>
          <t>COTAÇÃO</t>
        </is>
      </c>
      <c r="I677" s="4" t="inlineStr">
        <is>
          <t>Revestimentos</t>
        </is>
      </c>
    </row>
    <row r="678" ht="15.75" customHeight="1">
      <c r="A678" s="10">
        <f>COUNTIFS($B$2:$B$996,B678)</f>
        <v/>
      </c>
      <c r="B678" s="10" t="inlineStr">
        <is>
          <t>Ladrilho Hidráulico 5x5cm - Cor: off-white - Marca: Ladrilar</t>
        </is>
      </c>
      <c r="C678" s="11" t="inlineStr">
        <is>
          <t>M2</t>
        </is>
      </c>
      <c r="D678" s="2162">
        <f>E678*$D$1</f>
        <v/>
      </c>
      <c r="E678" s="2162">
        <f>1192743.3/2434.17</f>
        <v/>
      </c>
      <c r="F678" s="2162" t="inlineStr">
        <is>
          <t>Revestimentos</t>
        </is>
      </c>
      <c r="G678" s="2162" t="inlineStr">
        <is>
          <t>Revestimentos</t>
        </is>
      </c>
      <c r="H678" s="2162" t="inlineStr">
        <is>
          <t>COTAÇÃO</t>
        </is>
      </c>
      <c r="I678" s="4" t="inlineStr">
        <is>
          <t>Revestimentos</t>
        </is>
      </c>
    </row>
    <row r="679" ht="15.75" customHeight="1">
      <c r="A679" s="10">
        <f>COUNTIFS($B$2:$B$996,B679)</f>
        <v/>
      </c>
      <c r="B679" s="10" t="inlineStr">
        <is>
          <t>Ladrilho Hidráulico 10x10cm - Cor: laranja - Marca: Dalle Piagge</t>
        </is>
      </c>
      <c r="C679" s="11" t="inlineStr">
        <is>
          <t>M2</t>
        </is>
      </c>
      <c r="D679" s="2162">
        <f>E679*$D$1</f>
        <v/>
      </c>
      <c r="E679" s="2162" t="n">
        <v>588</v>
      </c>
      <c r="F679" s="2162" t="inlineStr">
        <is>
          <t>Revestimentos</t>
        </is>
      </c>
      <c r="G679" s="2162" t="inlineStr">
        <is>
          <t>Revestimentos</t>
        </is>
      </c>
      <c r="H679" s="14">
        <f>0.05*0.05</f>
        <v/>
      </c>
      <c r="I679" s="4" t="inlineStr">
        <is>
          <t>Revestimentos</t>
        </is>
      </c>
    </row>
    <row r="680" ht="15.75" customHeight="1">
      <c r="A680" s="10">
        <f>COUNTIFS($B$2:$B$996,B680)</f>
        <v/>
      </c>
      <c r="B680" s="10" t="inlineStr">
        <is>
          <t>Ladrilho Hidráulico 10x10cm - Cor: off-white - Marca: Dalle Piagge</t>
        </is>
      </c>
      <c r="C680" s="11" t="inlineStr">
        <is>
          <t>M2</t>
        </is>
      </c>
      <c r="D680" s="2162">
        <f>E680*$D$1</f>
        <v/>
      </c>
      <c r="E680" s="2162" t="n">
        <v>588</v>
      </c>
      <c r="F680" s="2162" t="inlineStr">
        <is>
          <t>Revestimentos</t>
        </is>
      </c>
      <c r="G680" s="2162" t="inlineStr">
        <is>
          <t>Revestimentos</t>
        </is>
      </c>
      <c r="H680" s="14">
        <f>0.05*0.05</f>
        <v/>
      </c>
      <c r="I680" s="4" t="inlineStr">
        <is>
          <t>Revestimentos</t>
        </is>
      </c>
    </row>
    <row r="681" ht="15.75" customHeight="1">
      <c r="A681" s="10">
        <f>COUNTIFS($B$2:$B$996,B681)</f>
        <v/>
      </c>
      <c r="B681" s="10" t="inlineStr">
        <is>
          <t>Ladrilho Hidráulico 5x5cm - Cor: laranja - Marca: Dalle Piagge</t>
        </is>
      </c>
      <c r="C681" s="11" t="inlineStr">
        <is>
          <t>M2</t>
        </is>
      </c>
      <c r="D681" s="2162">
        <f>E681*$D$1</f>
        <v/>
      </c>
      <c r="E681" s="2162">
        <f>(3.9*400)/2</f>
        <v/>
      </c>
      <c r="F681" s="2162" t="inlineStr">
        <is>
          <t>Revestimentos</t>
        </is>
      </c>
      <c r="G681" s="2162" t="inlineStr">
        <is>
          <t>Revestimentos</t>
        </is>
      </c>
      <c r="H681" s="14">
        <f>0.05*0.05</f>
        <v/>
      </c>
      <c r="I681" s="4" t="inlineStr">
        <is>
          <t>Revestimentos</t>
        </is>
      </c>
    </row>
    <row r="682" ht="15.75" customHeight="1">
      <c r="A682" s="10">
        <f>COUNTIFS($B$2:$B$996,B682)</f>
        <v/>
      </c>
      <c r="B682" s="10" t="inlineStr">
        <is>
          <t>Ladrilho Hidráulico 5x5cm - Cor: off-white - Marca: Dalle Piagge</t>
        </is>
      </c>
      <c r="C682" s="11" t="inlineStr">
        <is>
          <t>M2</t>
        </is>
      </c>
      <c r="D682" s="2162">
        <f>E682*$D$1</f>
        <v/>
      </c>
      <c r="E682" s="2162">
        <f>(3.9*400)/2</f>
        <v/>
      </c>
      <c r="F682" s="2162" t="inlineStr">
        <is>
          <t>Revestimentos</t>
        </is>
      </c>
      <c r="G682" s="2162" t="inlineStr">
        <is>
          <t>Revestimentos</t>
        </is>
      </c>
      <c r="H682" s="14">
        <f>0.05*0.05</f>
        <v/>
      </c>
      <c r="I682" s="4" t="inlineStr">
        <is>
          <t>Revestimentos</t>
        </is>
      </c>
    </row>
    <row r="683" ht="15.75" customHeight="1">
      <c r="A683" s="10">
        <f>COUNTIFS($B$2:$B$996,B683)</f>
        <v/>
      </c>
      <c r="B683" s="10" t="inlineStr">
        <is>
          <t>Ladrilho Hidráulico 5x5cm - Cor: terracota escuro - Marca: Dalle Piagge</t>
        </is>
      </c>
      <c r="C683" s="11" t="inlineStr">
        <is>
          <t>M2</t>
        </is>
      </c>
      <c r="D683" s="2162">
        <f>E683*$D$1</f>
        <v/>
      </c>
      <c r="E683" s="2162">
        <f>(3.9*400)/2</f>
        <v/>
      </c>
      <c r="F683" s="2162" t="inlineStr">
        <is>
          <t>Revestimentos</t>
        </is>
      </c>
      <c r="G683" s="2162" t="inlineStr">
        <is>
          <t>Revestimentos</t>
        </is>
      </c>
      <c r="H683" s="2162" t="n"/>
      <c r="I683" s="4" t="inlineStr">
        <is>
          <t>Revestimentos</t>
        </is>
      </c>
    </row>
    <row r="684" ht="15.75" customHeight="1">
      <c r="A684" s="10">
        <f>COUNTIFS($B$2:$B$996,B684)</f>
        <v/>
      </c>
      <c r="B684" s="10" t="inlineStr">
        <is>
          <t>Ladrilho Hidráulico 5x5cm - Cor: azul escuro - Marca: Dalle Piagge</t>
        </is>
      </c>
      <c r="C684" s="11" t="inlineStr">
        <is>
          <t>M2</t>
        </is>
      </c>
      <c r="D684" s="2162">
        <f>E684*$D$1</f>
        <v/>
      </c>
      <c r="E684" s="2162">
        <f>(3.9*400)/2</f>
        <v/>
      </c>
      <c r="F684" s="2162" t="inlineStr">
        <is>
          <t>Revestimentos</t>
        </is>
      </c>
      <c r="G684" s="2162" t="inlineStr">
        <is>
          <t>Revestimentos</t>
        </is>
      </c>
      <c r="H684" s="2162" t="n"/>
      <c r="I684" s="4" t="inlineStr">
        <is>
          <t>Revestimentos</t>
        </is>
      </c>
    </row>
    <row r="685" ht="15.75" customHeight="1">
      <c r="A685" s="10">
        <f>COUNTIFS($B$2:$B$996,B685)</f>
        <v/>
      </c>
      <c r="B685" s="10" t="inlineStr">
        <is>
          <t>Ladrilho Hidráulico 5x5cm - Cor: terracota escuro - Marca: Ladrilar</t>
        </is>
      </c>
      <c r="C685" s="11" t="inlineStr">
        <is>
          <t>M2</t>
        </is>
      </c>
      <c r="D685" s="2162">
        <f>E685*$D$1</f>
        <v/>
      </c>
      <c r="E685" s="2162">
        <f>646.8/1.32</f>
        <v/>
      </c>
      <c r="F685" s="2162" t="inlineStr">
        <is>
          <t>Revestimentos</t>
        </is>
      </c>
      <c r="G685" s="2162" t="inlineStr">
        <is>
          <t>Revestimentos</t>
        </is>
      </c>
      <c r="H685" s="2162" t="inlineStr">
        <is>
          <t>COTAÇÃO</t>
        </is>
      </c>
      <c r="I685" s="4" t="inlineStr">
        <is>
          <t>Revestimentos</t>
        </is>
      </c>
    </row>
    <row r="686" ht="15.75" customHeight="1">
      <c r="A686" s="10">
        <f>COUNTIFS($B$2:$B$996,B686)</f>
        <v/>
      </c>
      <c r="B686" s="10" t="inlineStr">
        <is>
          <t>Ladrilho Hidráulico 5x5cm - Cor: azul escuro - Marca: Ladrilar</t>
        </is>
      </c>
      <c r="C686" s="11" t="inlineStr">
        <is>
          <t>M2</t>
        </is>
      </c>
      <c r="D686" s="2162">
        <f>E686*$D$1</f>
        <v/>
      </c>
      <c r="E686" s="2162">
        <f>78674.4/160.56</f>
        <v/>
      </c>
      <c r="F686" s="2162" t="inlineStr">
        <is>
          <t>Revestimentos</t>
        </is>
      </c>
      <c r="G686" s="2162" t="inlineStr">
        <is>
          <t>Revestimentos</t>
        </is>
      </c>
      <c r="H686" s="2162" t="inlineStr">
        <is>
          <t>COTAÇÃO</t>
        </is>
      </c>
      <c r="I686" s="4" t="inlineStr">
        <is>
          <t>Revestimentos</t>
        </is>
      </c>
    </row>
    <row r="687" ht="15.75" customHeight="1">
      <c r="A687" s="10">
        <f>COUNTIFS($B$2:$B$996,B687)</f>
        <v/>
      </c>
      <c r="B687" s="10" t="inlineStr">
        <is>
          <t>Ladrilho Hidráulico 5x5cm - Cores: terracota escuro, azul escuro, off-white ou branco - Marca: Dalle Piagge</t>
        </is>
      </c>
      <c r="C687" s="11" t="inlineStr">
        <is>
          <t>M2</t>
        </is>
      </c>
      <c r="D687" s="2162">
        <f>E687*$D$1</f>
        <v/>
      </c>
      <c r="E687" s="2162">
        <f>(3.9*400)/2</f>
        <v/>
      </c>
      <c r="F687" s="2162" t="inlineStr">
        <is>
          <t>Revestimentos</t>
        </is>
      </c>
      <c r="G687" s="2162" t="inlineStr">
        <is>
          <t>Revestimentos</t>
        </is>
      </c>
      <c r="H687" s="2162" t="n"/>
      <c r="I687" s="4" t="inlineStr">
        <is>
          <t>Revestimentos</t>
        </is>
      </c>
    </row>
    <row r="688" ht="15.75" customHeight="1">
      <c r="A688" s="10">
        <f>COUNTIFS($B$2:$B$996,B688)</f>
        <v/>
      </c>
      <c r="B688" s="10" t="inlineStr">
        <is>
          <t>Ladrilho Hidráulico 5x5cm - Cores: terracota escuro, azul escuro, off-white ou branco - Marca: Ladrilar</t>
        </is>
      </c>
      <c r="C688" s="11" t="inlineStr">
        <is>
          <t>M2</t>
        </is>
      </c>
      <c r="D688" s="2162">
        <f>E688*$D$1</f>
        <v/>
      </c>
      <c r="E688" s="2162">
        <f>1271417.7/2594.73</f>
        <v/>
      </c>
      <c r="F688" s="2162" t="inlineStr">
        <is>
          <t>Revestimentos</t>
        </is>
      </c>
      <c r="G688" s="2162" t="inlineStr">
        <is>
          <t>Revestimentos</t>
        </is>
      </c>
      <c r="H688" s="2162" t="inlineStr">
        <is>
          <t>COTAÇÃO</t>
        </is>
      </c>
      <c r="I688" s="4" t="inlineStr">
        <is>
          <t>Revestimentos</t>
        </is>
      </c>
    </row>
    <row r="689" ht="15.75" customHeight="1">
      <c r="A689" s="10">
        <f>COUNTIFS($B$2:$B$996,B689)</f>
        <v/>
      </c>
      <c r="B689" s="10" t="inlineStr">
        <is>
          <t>Ladrilho Hidráulico 20x20cm - Cor: craft claro - Marca: Dalle Piagge</t>
        </is>
      </c>
      <c r="C689" s="11" t="inlineStr">
        <is>
          <t>M2</t>
        </is>
      </c>
      <c r="D689" s="2162">
        <f>E689*$D$1</f>
        <v/>
      </c>
      <c r="E689" s="2162" t="n">
        <v>250</v>
      </c>
      <c r="F689" s="2162" t="inlineStr">
        <is>
          <t>Revestimentos</t>
        </is>
      </c>
      <c r="G689" s="2162" t="inlineStr">
        <is>
          <t>Revestimentos</t>
        </is>
      </c>
      <c r="H689" s="2162" t="n"/>
      <c r="I689" s="4" t="inlineStr">
        <is>
          <t>Revestimentos</t>
        </is>
      </c>
    </row>
    <row r="690" ht="15.75" customHeight="1">
      <c r="A690" s="10">
        <f>COUNTIFS($B$2:$B$996,B690)</f>
        <v/>
      </c>
      <c r="B690" s="10" t="inlineStr">
        <is>
          <t>Ladrilho Hidráulico 20x20cm - Cor: craft claro - Marca: Ladrilar</t>
        </is>
      </c>
      <c r="C690" s="11" t="inlineStr">
        <is>
          <t>M2</t>
        </is>
      </c>
      <c r="D690" s="2162">
        <f>E690*$D$1</f>
        <v/>
      </c>
      <c r="E690" s="2162">
        <f>3585.6/14.4</f>
        <v/>
      </c>
      <c r="F690" s="2162" t="inlineStr">
        <is>
          <t>Revestimentos</t>
        </is>
      </c>
      <c r="G690" s="2162" t="inlineStr">
        <is>
          <t>Revestimentos</t>
        </is>
      </c>
      <c r="H690" s="2162" t="inlineStr">
        <is>
          <t>COTAÇÃO</t>
        </is>
      </c>
      <c r="I690" s="4" t="inlineStr">
        <is>
          <t>Revestimentos</t>
        </is>
      </c>
    </row>
    <row r="691" ht="15.75" customHeight="1">
      <c r="A691" s="10">
        <f>COUNTIFS($B$2:$B$996,B691)</f>
        <v/>
      </c>
      <c r="B691" s="10" t="inlineStr">
        <is>
          <t>Ladrilho Hidráulico 20x20cm - Cor: craft comum - Marca: Dalle Piagge</t>
        </is>
      </c>
      <c r="C691" s="11" t="inlineStr">
        <is>
          <t>M2</t>
        </is>
      </c>
      <c r="D691" s="2162">
        <f>E691*$D$1</f>
        <v/>
      </c>
      <c r="E691" s="2162" t="n">
        <v>250</v>
      </c>
      <c r="F691" s="2162" t="inlineStr">
        <is>
          <t>Revestimentos</t>
        </is>
      </c>
      <c r="G691" s="2162" t="inlineStr">
        <is>
          <t>Revestimentos</t>
        </is>
      </c>
      <c r="H691" s="2162" t="n"/>
      <c r="I691" s="4" t="inlineStr">
        <is>
          <t>Revestimentos</t>
        </is>
      </c>
    </row>
    <row r="692" ht="15.75" customHeight="1">
      <c r="A692" s="10">
        <f>COUNTIFS($B$2:$B$996,B692)</f>
        <v/>
      </c>
      <c r="B692" s="10" t="inlineStr">
        <is>
          <t>Ladrilho Hidráulico 20x20cm - Cor: craft comum - Marca: Ladrilar</t>
        </is>
      </c>
      <c r="C692" s="11" t="inlineStr">
        <is>
          <t>M2</t>
        </is>
      </c>
      <c r="D692" s="2162">
        <f>E692*$D$1</f>
        <v/>
      </c>
      <c r="E692" s="2162">
        <f>27636.51/110.99</f>
        <v/>
      </c>
      <c r="F692" s="2162" t="inlineStr">
        <is>
          <t>Revestimentos</t>
        </is>
      </c>
      <c r="G692" s="2162" t="inlineStr">
        <is>
          <t>Revestimentos</t>
        </is>
      </c>
      <c r="H692" s="2162" t="inlineStr">
        <is>
          <t>COTAÇÃO</t>
        </is>
      </c>
      <c r="I692" s="4" t="inlineStr">
        <is>
          <t>Revestimentos</t>
        </is>
      </c>
    </row>
    <row r="693" ht="15.75" customHeight="1">
      <c r="A693" s="10">
        <f>COUNTIFS($B$2:$B$996,B693)</f>
        <v/>
      </c>
      <c r="B693" s="10" t="inlineStr">
        <is>
          <t>Ladrilho Hidráulico 20x20cm - Cor: fendi - Marca: Dalle Piagge</t>
        </is>
      </c>
      <c r="C693" s="11" t="inlineStr">
        <is>
          <t>M2</t>
        </is>
      </c>
      <c r="D693" s="2162">
        <f>E693*$D$1</f>
        <v/>
      </c>
      <c r="E693" s="2162" t="n">
        <v>250</v>
      </c>
      <c r="F693" s="2162" t="inlineStr">
        <is>
          <t>Revestimentos</t>
        </is>
      </c>
      <c r="G693" s="2162" t="inlineStr">
        <is>
          <t>Revestimentos</t>
        </is>
      </c>
      <c r="H693" s="2162" t="n"/>
      <c r="I693" s="4" t="inlineStr">
        <is>
          <t>Revestimentos</t>
        </is>
      </c>
    </row>
    <row r="694" ht="15.75" customHeight="1">
      <c r="A694" s="10">
        <f>COUNTIFS($B$2:$B$996,B694)</f>
        <v/>
      </c>
      <c r="B694" s="10" t="inlineStr">
        <is>
          <t>Ladrilho Hidráulico 20x20cm - Cor: fendi - Marca: Ladrilar</t>
        </is>
      </c>
      <c r="C694" s="11" t="inlineStr">
        <is>
          <t>M2</t>
        </is>
      </c>
      <c r="D694" s="2162">
        <f>E694*$D$1</f>
        <v/>
      </c>
      <c r="E694" s="2162">
        <f>876.48/3.52</f>
        <v/>
      </c>
      <c r="F694" s="2162" t="inlineStr">
        <is>
          <t>Revestimentos</t>
        </is>
      </c>
      <c r="G694" s="2162" t="inlineStr">
        <is>
          <t>Revestimentos</t>
        </is>
      </c>
      <c r="H694" s="2162" t="inlineStr">
        <is>
          <t>COTAÇÃO</t>
        </is>
      </c>
      <c r="I694" s="4" t="inlineStr">
        <is>
          <t>Revestimentos</t>
        </is>
      </c>
    </row>
    <row r="695" ht="15.75" customHeight="1">
      <c r="A695" s="10">
        <f>COUNTIFS($B$2:$B$996,B695)</f>
        <v/>
      </c>
      <c r="B695" s="10" t="inlineStr">
        <is>
          <t>Ladrilho Hidráulico 20x20cm - Cor: cana - Marca: Dalle Piagge</t>
        </is>
      </c>
      <c r="C695" s="11" t="inlineStr">
        <is>
          <t>M2</t>
        </is>
      </c>
      <c r="D695" s="2162">
        <f>E695*$D$1</f>
        <v/>
      </c>
      <c r="E695" s="2162" t="n">
        <v>250</v>
      </c>
      <c r="F695" s="2162" t="inlineStr">
        <is>
          <t>Revestimentos</t>
        </is>
      </c>
      <c r="G695" s="2162" t="inlineStr">
        <is>
          <t>Revestimentos</t>
        </is>
      </c>
      <c r="H695" s="2162" t="n"/>
      <c r="I695" s="4" t="inlineStr">
        <is>
          <t>Revestimentos</t>
        </is>
      </c>
    </row>
    <row r="696" ht="15.75" customHeight="1">
      <c r="A696" s="10">
        <f>COUNTIFS($B$2:$B$996,B696)</f>
        <v/>
      </c>
      <c r="B696" s="10" t="inlineStr">
        <is>
          <t>Ladrilho Hidráulico 20x20cm - Cor: cana - Marca: Ladrilar</t>
        </is>
      </c>
      <c r="C696" s="11" t="inlineStr">
        <is>
          <t>M2</t>
        </is>
      </c>
      <c r="D696" s="2162">
        <f>E696*$D$1</f>
        <v/>
      </c>
      <c r="E696" s="2162">
        <f>876.48/3.52</f>
        <v/>
      </c>
      <c r="F696" s="2162" t="inlineStr">
        <is>
          <t>Revestimentos</t>
        </is>
      </c>
      <c r="G696" s="2162" t="inlineStr">
        <is>
          <t>Revestimentos</t>
        </is>
      </c>
      <c r="H696" s="2162" t="inlineStr">
        <is>
          <t>COTAÇÃO</t>
        </is>
      </c>
      <c r="I696" s="4" t="inlineStr">
        <is>
          <t>Revestimentos</t>
        </is>
      </c>
    </row>
    <row r="697" ht="15.75" customHeight="1">
      <c r="A697" s="10">
        <f>COUNTIFS($B$2:$B$996,B697)</f>
        <v/>
      </c>
      <c r="B697" s="10" t="inlineStr">
        <is>
          <t>Ladrilho Hidráulico 20x20cm - Cores: craft claro, craft comum, fendi, cana e terracota escuro - Marca: Dalle Piagge</t>
        </is>
      </c>
      <c r="C697" s="11" t="inlineStr">
        <is>
          <t>M2</t>
        </is>
      </c>
      <c r="D697" s="2162">
        <f>E697*$D$1</f>
        <v/>
      </c>
      <c r="E697" s="2162" t="n">
        <v>560</v>
      </c>
      <c r="F697" s="2162" t="inlineStr">
        <is>
          <t>Revestimentos</t>
        </is>
      </c>
      <c r="G697" s="2162" t="inlineStr">
        <is>
          <t>Revestimentos</t>
        </is>
      </c>
      <c r="H697" s="2162" t="n"/>
      <c r="I697" s="4" t="inlineStr">
        <is>
          <t>Revestimentos</t>
        </is>
      </c>
    </row>
    <row r="698" ht="15.75" customHeight="1">
      <c r="A698" s="10">
        <f>COUNTIFS($B$2:$B$996,B698)</f>
        <v/>
      </c>
      <c r="B698" s="10" t="inlineStr">
        <is>
          <t>Ladrilho Hidráulico 20x20cm - Cores: craft claro, craft comum, fendi, cana e terracota escuro - Marca: Ladrilar</t>
        </is>
      </c>
      <c r="C698" s="11" t="inlineStr">
        <is>
          <t>M2</t>
        </is>
      </c>
      <c r="D698" s="2162">
        <f>E698*$D$1</f>
        <v/>
      </c>
      <c r="E698" s="2162">
        <f>876.48/3.52</f>
        <v/>
      </c>
      <c r="F698" s="2162" t="inlineStr">
        <is>
          <t>Revestimentos</t>
        </is>
      </c>
      <c r="G698" s="2162" t="inlineStr">
        <is>
          <t>Revestimentos</t>
        </is>
      </c>
      <c r="H698" s="2162" t="inlineStr">
        <is>
          <t>COTAÇÃO</t>
        </is>
      </c>
      <c r="I698" s="4" t="inlineStr">
        <is>
          <t>Revestimentos</t>
        </is>
      </c>
    </row>
    <row r="699" ht="15.75" customHeight="1">
      <c r="A699" s="10">
        <f>COUNTIFS($B$2:$B$996,B699)</f>
        <v/>
      </c>
      <c r="B699" s="10" t="inlineStr">
        <is>
          <t>Ladrilho Hidráulico 20x20cm - Cores: craft claro e craft comum - Marca: Dalle Piagge</t>
        </is>
      </c>
      <c r="C699" s="11" t="inlineStr">
        <is>
          <t>M2</t>
        </is>
      </c>
      <c r="D699" s="2162">
        <f>E699*$D$1</f>
        <v/>
      </c>
      <c r="E699" s="2162" t="n">
        <v>480</v>
      </c>
      <c r="F699" s="2162" t="inlineStr">
        <is>
          <t>Revestimentos</t>
        </is>
      </c>
      <c r="G699" s="2162" t="inlineStr">
        <is>
          <t>Revestimentos</t>
        </is>
      </c>
      <c r="H699" s="2162" t="n"/>
      <c r="I699" s="4" t="inlineStr">
        <is>
          <t>Revestimentos</t>
        </is>
      </c>
    </row>
    <row r="700" ht="15.75" customHeight="1">
      <c r="A700" s="10">
        <f>COUNTIFS($B$2:$B$996,B700)</f>
        <v/>
      </c>
      <c r="B700" s="10" t="inlineStr">
        <is>
          <t>Ladrilho Hidráulico 20x20cm - Cores: craft claro e craft comum - Marca: Ladrilar</t>
        </is>
      </c>
      <c r="C700" s="11" t="inlineStr">
        <is>
          <t>M2</t>
        </is>
      </c>
      <c r="D700" s="2162">
        <f>E700*$D$1</f>
        <v/>
      </c>
      <c r="E700" s="2162">
        <f>3585.6/14.4</f>
        <v/>
      </c>
      <c r="F700" s="2162" t="inlineStr">
        <is>
          <t>Revestimentos</t>
        </is>
      </c>
      <c r="G700" s="2162" t="inlineStr">
        <is>
          <t>Revestimentos</t>
        </is>
      </c>
      <c r="H700" s="2162" t="inlineStr">
        <is>
          <t>COTAÇÃO</t>
        </is>
      </c>
      <c r="I700" s="4" t="inlineStr">
        <is>
          <t>Revestimentos</t>
        </is>
      </c>
    </row>
    <row r="701" ht="15.75" customHeight="1">
      <c r="A701" s="10">
        <f>COUNTIFS($B$2:$B$996,B701)</f>
        <v/>
      </c>
      <c r="B701" s="10" t="inlineStr">
        <is>
          <t>Porcelanato Portobello –  90x90 - Padrão Econômico</t>
        </is>
      </c>
      <c r="C701" s="11" t="inlineStr">
        <is>
          <t>M2</t>
        </is>
      </c>
      <c r="D701" s="2162">
        <f>E701*$D$1</f>
        <v/>
      </c>
      <c r="E701" s="2162" t="n">
        <v>98</v>
      </c>
      <c r="F701" s="2162" t="inlineStr">
        <is>
          <t>Revestimentos</t>
        </is>
      </c>
      <c r="G701" s="2162" t="inlineStr">
        <is>
          <t>Revestimentos</t>
        </is>
      </c>
      <c r="H701" s="2162" t="n"/>
      <c r="I701" s="4" t="inlineStr">
        <is>
          <t>Revestimentos</t>
        </is>
      </c>
    </row>
    <row r="702" ht="15.75" customHeight="1">
      <c r="A702" s="10">
        <f>COUNTIFS($B$2:$B$996,B702)</f>
        <v/>
      </c>
      <c r="B702" s="10" t="inlineStr">
        <is>
          <t>Porcelanato Portobello –  90x90 - Padrão Alto</t>
        </is>
      </c>
      <c r="C702" s="11" t="inlineStr">
        <is>
          <t>M2</t>
        </is>
      </c>
      <c r="D702" s="2162">
        <f>E702*$D$1</f>
        <v/>
      </c>
      <c r="E702" s="2162" t="n">
        <v>120</v>
      </c>
      <c r="F702" s="2162" t="inlineStr">
        <is>
          <t>Revestimentos</t>
        </is>
      </c>
      <c r="G702" s="2162" t="inlineStr">
        <is>
          <t>Revestimentos</t>
        </is>
      </c>
      <c r="H702" s="2162" t="inlineStr">
        <is>
          <t>valor gessele</t>
        </is>
      </c>
      <c r="I702" s="4" t="inlineStr">
        <is>
          <t>Revestimentos</t>
        </is>
      </c>
    </row>
    <row r="703" ht="15.75" customHeight="1">
      <c r="A703" s="10">
        <f>COUNTIFS($B$2:$B$996,B703)</f>
        <v/>
      </c>
      <c r="B703" s="10" t="inlineStr">
        <is>
          <t>Porcelanato Portobello – Posto 10 90x90 Externo Retificado - Linha Ipanema - Padrão Alto</t>
        </is>
      </c>
      <c r="C703" s="11" t="inlineStr">
        <is>
          <t>M2</t>
        </is>
      </c>
      <c r="D703" s="2162">
        <f>E703*$D$1</f>
        <v/>
      </c>
      <c r="E703" s="2162" t="n">
        <v>200</v>
      </c>
      <c r="F703" s="2162" t="inlineStr">
        <is>
          <t>Revestimentos</t>
        </is>
      </c>
      <c r="G703" s="2162" t="inlineStr">
        <is>
          <t>Revestimentos</t>
        </is>
      </c>
      <c r="H703" s="2162" t="n"/>
      <c r="I703" s="4" t="inlineStr">
        <is>
          <t>Revestimentos</t>
        </is>
      </c>
    </row>
    <row r="704" ht="15.75" customHeight="1">
      <c r="A704" s="10">
        <f>COUNTIFS($B$2:$B$996,B704)</f>
        <v/>
      </c>
      <c r="B704" s="10" t="inlineStr">
        <is>
          <t>Porcelanato Marmorizado Polido Borda Reta Interno 90x90cm Avorio di Brescia Portobello</t>
        </is>
      </c>
      <c r="C704" s="11" t="inlineStr">
        <is>
          <t>M2</t>
        </is>
      </c>
      <c r="D704" s="2162">
        <f>E704*$D$1</f>
        <v/>
      </c>
      <c r="E704" s="2162" t="n">
        <v>202.01</v>
      </c>
      <c r="F704" s="2162" t="inlineStr">
        <is>
          <t>Revestimentos</t>
        </is>
      </c>
      <c r="G704" s="2162" t="inlineStr">
        <is>
          <t>Revestimentos</t>
        </is>
      </c>
      <c r="H704" s="2162" t="n"/>
      <c r="I704" s="4" t="inlineStr">
        <is>
          <t>Revestimentos</t>
        </is>
      </c>
    </row>
    <row r="705" ht="15.75" customHeight="1">
      <c r="A705" s="10">
        <f>COUNTIFS($B$2:$B$996,B705)</f>
        <v/>
      </c>
      <c r="B705" s="10" t="inlineStr">
        <is>
          <t>Revestimento Realce 32X56 32001 Branco Brilhante</t>
        </is>
      </c>
      <c r="C705" s="11" t="inlineStr">
        <is>
          <t>M2</t>
        </is>
      </c>
      <c r="D705" s="2162">
        <f>E705*$D$1</f>
        <v/>
      </c>
      <c r="E705" s="2162" t="n">
        <v>47.8</v>
      </c>
      <c r="F705" s="2162" t="inlineStr">
        <is>
          <t>Revestimentos</t>
        </is>
      </c>
      <c r="G705" s="2162" t="inlineStr">
        <is>
          <t>Revestimentos</t>
        </is>
      </c>
      <c r="H705" s="2162" t="n"/>
      <c r="I705" s="4" t="inlineStr">
        <is>
          <t>Revestimentos</t>
        </is>
      </c>
    </row>
    <row r="706" ht="15.75" customHeight="1">
      <c r="A706" s="10">
        <f>COUNTIFS($B$2:$B$996,B706)</f>
        <v/>
      </c>
      <c r="B706" s="10" t="inlineStr">
        <is>
          <t>PORCELANATO ELIZABETH EGEU SAND 74x74 A</t>
        </is>
      </c>
      <c r="C706" s="11" t="inlineStr">
        <is>
          <t>M2</t>
        </is>
      </c>
      <c r="D706" s="2162">
        <f>E706*$D$1</f>
        <v/>
      </c>
      <c r="E706" s="2162" t="n">
        <v>89.90000000000001</v>
      </c>
      <c r="F706" s="2162" t="inlineStr">
        <is>
          <t>Revestimentos</t>
        </is>
      </c>
      <c r="G706" s="2162" t="inlineStr">
        <is>
          <t>Revestimentos</t>
        </is>
      </c>
      <c r="H706" s="2162" t="n"/>
      <c r="I706" s="4" t="inlineStr">
        <is>
          <t>Revestimentos</t>
        </is>
      </c>
    </row>
    <row r="707" ht="15.75" customHeight="1">
      <c r="A707" s="10">
        <f>COUNTIFS($B$2:$B$996,B707)</f>
        <v/>
      </c>
      <c r="B707" s="10" t="inlineStr">
        <is>
          <t>Porcelanato Cimentício Acetinado Borda Reta Interno 120x120cm Munari Branco Eliane</t>
        </is>
      </c>
      <c r="C707" s="11" t="inlineStr">
        <is>
          <t>M2</t>
        </is>
      </c>
      <c r="D707" s="2162">
        <f>E707*$D$1</f>
        <v/>
      </c>
      <c r="E707" s="2162" t="n">
        <v>183.21</v>
      </c>
      <c r="F707" s="2162" t="inlineStr">
        <is>
          <t>Revestimentos</t>
        </is>
      </c>
      <c r="G707" s="2162" t="inlineStr">
        <is>
          <t>Revestimentos</t>
        </is>
      </c>
      <c r="H707" s="2162" t="n"/>
      <c r="I707" s="4" t="inlineStr">
        <is>
          <t>Revestimentos</t>
        </is>
      </c>
    </row>
    <row r="708" ht="15.75" customHeight="1">
      <c r="A708" s="10">
        <f>COUNTIFS($B$2:$B$996,B708)</f>
        <v/>
      </c>
      <c r="B708" s="10" t="inlineStr">
        <is>
          <t>Porcelanato 160X320 Cm</t>
        </is>
      </c>
      <c r="C708" s="11" t="inlineStr">
        <is>
          <t>M2</t>
        </is>
      </c>
      <c r="D708" s="2162">
        <f>E708*$D$1</f>
        <v/>
      </c>
      <c r="E708" s="2162" t="n">
        <v>183.21</v>
      </c>
      <c r="F708" s="2162" t="inlineStr">
        <is>
          <t>Revestimentos</t>
        </is>
      </c>
      <c r="G708" s="2162" t="inlineStr">
        <is>
          <t>Revestimentos</t>
        </is>
      </c>
      <c r="H708" s="2162" t="n"/>
      <c r="I708" s="4" t="inlineStr">
        <is>
          <t>Revestimentos</t>
        </is>
      </c>
    </row>
    <row r="709" ht="15.75" customHeight="1">
      <c r="A709" s="10">
        <f>COUNTIFS($B$2:$B$996,B709)</f>
        <v/>
      </c>
      <c r="B709" s="10" t="inlineStr">
        <is>
          <t xml:space="preserve">Porcelanato Biancogres 20x120 Scala Beige-a Ret </t>
        </is>
      </c>
      <c r="C709" s="11" t="inlineStr">
        <is>
          <t>M2</t>
        </is>
      </c>
      <c r="D709" s="2162">
        <f>E709*$D$1</f>
        <v/>
      </c>
      <c r="E709" s="2162" t="n">
        <v>99.7</v>
      </c>
      <c r="F709" s="2162" t="inlineStr">
        <is>
          <t>Revestimentos</t>
        </is>
      </c>
      <c r="G709" s="2162" t="inlineStr">
        <is>
          <t>Revestimentos</t>
        </is>
      </c>
      <c r="H709" s="2162" t="n"/>
      <c r="I709" s="4" t="inlineStr">
        <is>
          <t>Revestimentos</t>
        </is>
      </c>
    </row>
    <row r="710" ht="15.75" customHeight="1">
      <c r="A710" s="10">
        <f>COUNTIFS($B$2:$B$996,B710)</f>
        <v/>
      </c>
      <c r="B710" s="10" t="inlineStr">
        <is>
          <t>Piso Firenze Texas Gray Área Externa Classe A 60 x 60 Cm</t>
        </is>
      </c>
      <c r="C710" s="11" t="inlineStr">
        <is>
          <t>M2</t>
        </is>
      </c>
      <c r="D710" s="2162">
        <f>E710*$D$1</f>
        <v/>
      </c>
      <c r="E710" s="2162" t="n">
        <v>17</v>
      </c>
      <c r="F710" s="2162" t="inlineStr">
        <is>
          <t>Revestimentos</t>
        </is>
      </c>
      <c r="G710" s="2162" t="inlineStr">
        <is>
          <t>Revestimentos</t>
        </is>
      </c>
      <c r="H710" s="2162" t="n"/>
      <c r="I710" s="4" t="inlineStr">
        <is>
          <t>Revestimentos</t>
        </is>
      </c>
    </row>
    <row r="711" ht="15.75" customHeight="1">
      <c r="A711" s="10">
        <f>COUNTIFS($B$2:$B$996,B711)</f>
        <v/>
      </c>
      <c r="B711" s="10" t="inlineStr">
        <is>
          <t>Piso 75x75cm Cedasa Retificado Evidence Polido</t>
        </is>
      </c>
      <c r="C711" s="11" t="inlineStr">
        <is>
          <t>M2</t>
        </is>
      </c>
      <c r="D711" s="2162">
        <f>E711*$D$1</f>
        <v/>
      </c>
      <c r="E711" s="2162" t="n">
        <v>143.55</v>
      </c>
      <c r="F711" s="2162" t="inlineStr">
        <is>
          <t>Revestimentos</t>
        </is>
      </c>
      <c r="G711" s="2162" t="inlineStr">
        <is>
          <t>Revestimentos</t>
        </is>
      </c>
      <c r="H711" s="2162" t="n"/>
      <c r="I711" s="4" t="inlineStr">
        <is>
          <t>Revestimentos</t>
        </is>
      </c>
    </row>
    <row r="712" ht="15.75" customHeight="1">
      <c r="A712" s="10">
        <f>COUNTIFS($B$2:$B$996,B712)</f>
        <v/>
      </c>
      <c r="B712" s="10" t="inlineStr">
        <is>
          <t>Porcelanato Tipo Argila | Portobello - 120x20 cm</t>
        </is>
      </c>
      <c r="C712" s="11" t="inlineStr">
        <is>
          <t>M2</t>
        </is>
      </c>
      <c r="D712" s="2162">
        <f>E712*$D$1</f>
        <v/>
      </c>
      <c r="E712" s="2162" t="n">
        <v>160</v>
      </c>
      <c r="F712" s="2162" t="inlineStr">
        <is>
          <t>Revestimentos</t>
        </is>
      </c>
      <c r="G712" s="2162" t="inlineStr">
        <is>
          <t>Revestimentos</t>
        </is>
      </c>
      <c r="H712" s="2162" t="n"/>
      <c r="I712" s="4" t="inlineStr">
        <is>
          <t>Revestimentos</t>
        </is>
      </c>
    </row>
    <row r="713" ht="15.75" customHeight="1">
      <c r="A713" s="10">
        <f>COUNTIFS($B$2:$B$996,B713)</f>
        <v/>
      </c>
      <c r="B713" s="10" t="inlineStr">
        <is>
          <t xml:space="preserve">Porcelanato Mont Blanc Acetinado 90X90 Eliane    </t>
        </is>
      </c>
      <c r="C713" s="11" t="inlineStr">
        <is>
          <t>M2</t>
        </is>
      </c>
      <c r="D713" s="2162">
        <f>E713*$D$1</f>
        <v/>
      </c>
      <c r="E713" s="2162" t="n">
        <v>107.9</v>
      </c>
      <c r="F713" s="2162" t="inlineStr">
        <is>
          <t>Revestimentos</t>
        </is>
      </c>
      <c r="G713" s="2162" t="inlineStr">
        <is>
          <t>Revestimentos</t>
        </is>
      </c>
      <c r="H713" s="2162" t="n"/>
      <c r="I713" s="4" t="inlineStr">
        <is>
          <t>Revestimentos</t>
        </is>
      </c>
    </row>
    <row r="714" ht="15.75" customHeight="1">
      <c r="A714" s="10">
        <f>COUNTIFS($B$2:$B$996,B714)</f>
        <v/>
      </c>
      <c r="B714" s="10" t="inlineStr">
        <is>
          <t xml:space="preserve">Porcelanato Mont Blanc Polido 90X90 Eliane    </t>
        </is>
      </c>
      <c r="C714" s="11" t="inlineStr">
        <is>
          <t>M2</t>
        </is>
      </c>
      <c r="D714" s="2162">
        <f>E714*$D$1</f>
        <v/>
      </c>
      <c r="E714" s="2162" t="n">
        <v>76.34999999999999</v>
      </c>
      <c r="F714" s="2162" t="inlineStr">
        <is>
          <t>Revestimentos</t>
        </is>
      </c>
      <c r="G714" s="2162" t="inlineStr">
        <is>
          <t>Revestimentos</t>
        </is>
      </c>
      <c r="H714" s="2162" t="n"/>
      <c r="I714" s="4" t="inlineStr">
        <is>
          <t>Revestimentos</t>
        </is>
      </c>
    </row>
    <row r="715" ht="15.75" customHeight="1">
      <c r="A715" s="10">
        <f>COUNTIFS($B$2:$B$996,B715)</f>
        <v/>
      </c>
      <c r="B715" s="10" t="inlineStr">
        <is>
          <t>Porcelanato ELIANE 60X60 BOLD ACETINADO BLEND PLUS GREY</t>
        </is>
      </c>
      <c r="C715" s="11" t="inlineStr">
        <is>
          <t>M2</t>
        </is>
      </c>
      <c r="D715" s="2162">
        <f>E715*$D$1</f>
        <v/>
      </c>
      <c r="E715" s="2162" t="n">
        <v>107.9</v>
      </c>
      <c r="F715" s="2162" t="inlineStr">
        <is>
          <t>Revestimentos</t>
        </is>
      </c>
      <c r="G715" s="2162" t="inlineStr">
        <is>
          <t>Revestimentos</t>
        </is>
      </c>
      <c r="H715" s="2162" t="n"/>
      <c r="I715" s="4" t="inlineStr">
        <is>
          <t>Revestimentos</t>
        </is>
      </c>
    </row>
    <row r="716" ht="15.75" customHeight="1">
      <c r="A716" s="10">
        <f>COUNTIFS($B$2:$B$996,B716)</f>
        <v/>
      </c>
      <c r="B716" s="10" t="inlineStr">
        <is>
          <t xml:space="preserve">Revestimento em Marcenaria, incluindo chapa de 18mm, acessorios para instalação - Material e Mão de Obra </t>
        </is>
      </c>
      <c r="C716" s="11" t="inlineStr">
        <is>
          <t>M2</t>
        </is>
      </c>
      <c r="D716" s="2162">
        <f>E716*$D$1</f>
        <v/>
      </c>
      <c r="E716" s="2162">
        <f>358+105+150</f>
        <v/>
      </c>
      <c r="F716" s="2162" t="inlineStr">
        <is>
          <t>Revestimentos</t>
        </is>
      </c>
      <c r="G716" s="2162" t="inlineStr">
        <is>
          <t>Revestimentos</t>
        </is>
      </c>
      <c r="H716" s="2162" t="n"/>
      <c r="I716" s="4" t="inlineStr">
        <is>
          <t>Revestimentos</t>
        </is>
      </c>
    </row>
    <row r="717" ht="15.75" customHeight="1">
      <c r="A717" s="10">
        <f>COUNTIFS($B$2:$B$996,B717)</f>
        <v/>
      </c>
      <c r="B717" s="10" t="inlineStr">
        <is>
          <t>Acessórios (cantos, terminais)</t>
        </is>
      </c>
      <c r="C717" s="11" t="inlineStr">
        <is>
          <t>M</t>
        </is>
      </c>
      <c r="D717" s="2162">
        <f>E717*$D$1</f>
        <v/>
      </c>
      <c r="E717" s="2162" t="n">
        <v>7</v>
      </c>
      <c r="F717" s="2162" t="inlineStr">
        <is>
          <t>Revestimentos</t>
        </is>
      </c>
      <c r="G717" s="2162" t="inlineStr">
        <is>
          <t>Rodapé</t>
        </is>
      </c>
      <c r="H717" s="2162" t="n"/>
      <c r="I717" s="4" t="inlineStr">
        <is>
          <t>Revestimentos</t>
        </is>
      </c>
    </row>
    <row r="718" ht="15.75" customHeight="1">
      <c r="A718" s="10">
        <f>COUNTIFS($B$2:$B$996,B718)</f>
        <v/>
      </c>
      <c r="B718" s="10" t="inlineStr">
        <is>
          <t>Rodapé de PVC branco 10 cm</t>
        </is>
      </c>
      <c r="C718" s="11" t="inlineStr">
        <is>
          <t>M</t>
        </is>
      </c>
      <c r="D718" s="2162">
        <f>E718*$D$1</f>
        <v/>
      </c>
      <c r="E718" s="2162" t="n">
        <v>14</v>
      </c>
      <c r="F718" s="2162" t="inlineStr">
        <is>
          <t>Revestimentos</t>
        </is>
      </c>
      <c r="G718" s="2162" t="inlineStr">
        <is>
          <t>Rodapé</t>
        </is>
      </c>
      <c r="H718" s="2162" t="n"/>
      <c r="I718" s="4" t="inlineStr">
        <is>
          <t>Revestimentos</t>
        </is>
      </c>
    </row>
    <row r="719" ht="15.75" customHeight="1">
      <c r="A719" s="10">
        <f>COUNTIFS($B$2:$B$996,B719)</f>
        <v/>
      </c>
      <c r="B719" s="10" t="inlineStr">
        <is>
          <t>Rodapé de MDF h=5cm</t>
        </is>
      </c>
      <c r="C719" s="11" t="inlineStr">
        <is>
          <t>M</t>
        </is>
      </c>
      <c r="D719" s="2162">
        <f>E719*$D$1</f>
        <v/>
      </c>
      <c r="E719" s="2162">
        <f>385*0.05</f>
        <v/>
      </c>
      <c r="F719" s="2162" t="inlineStr">
        <is>
          <t>Revestimentos</t>
        </is>
      </c>
      <c r="G719" s="2162" t="inlineStr">
        <is>
          <t>Rodapé</t>
        </is>
      </c>
      <c r="H719" s="2162" t="n"/>
      <c r="I719" s="4" t="inlineStr">
        <is>
          <t>Revestimentos</t>
        </is>
      </c>
    </row>
    <row r="720" ht="15.75" customHeight="1">
      <c r="A720" s="10">
        <f>COUNTIFS($B$2:$B$996,B720)</f>
        <v/>
      </c>
      <c r="B720" s="10" t="inlineStr">
        <is>
          <t>Rodapé de MDF h=20cm</t>
        </is>
      </c>
      <c r="C720" s="11" t="inlineStr">
        <is>
          <t>M</t>
        </is>
      </c>
      <c r="D720" s="2162">
        <f>E720*$D$1</f>
        <v/>
      </c>
      <c r="E720" s="2162">
        <f>385*0.2</f>
        <v/>
      </c>
      <c r="F720" s="2162" t="inlineStr">
        <is>
          <t>Revestimentos</t>
        </is>
      </c>
      <c r="G720" s="2162" t="inlineStr">
        <is>
          <t>Rodapé</t>
        </is>
      </c>
      <c r="H720" s="2162" t="n"/>
      <c r="I720" s="4" t="inlineStr">
        <is>
          <t>Revestimentos</t>
        </is>
      </c>
    </row>
    <row r="721" ht="15.75" customHeight="1">
      <c r="A721" s="10">
        <f>COUNTIFS($B$2:$B$996,B721)</f>
        <v/>
      </c>
      <c r="B721" s="10" t="inlineStr">
        <is>
          <t>Rodapé de Madeira h=20cm</t>
        </is>
      </c>
      <c r="C721" s="11" t="inlineStr">
        <is>
          <t>M</t>
        </is>
      </c>
      <c r="D721" s="2162">
        <f>E721*$D$1</f>
        <v/>
      </c>
      <c r="E721" s="2162">
        <f>285/0.3*0.2</f>
        <v/>
      </c>
      <c r="F721" s="2162" t="inlineStr">
        <is>
          <t>Revestimentos</t>
        </is>
      </c>
      <c r="G721" s="2162" t="inlineStr">
        <is>
          <t>Rodapé</t>
        </is>
      </c>
      <c r="H721" s="2162" t="n"/>
      <c r="I721" s="4" t="inlineStr">
        <is>
          <t>Revestimentos</t>
        </is>
      </c>
    </row>
    <row r="722" ht="15.75" customHeight="1">
      <c r="A722" s="10">
        <f>COUNTIFS($B$2:$B$996,B722)</f>
        <v/>
      </c>
      <c r="B722" s="10" t="inlineStr">
        <is>
          <t>Rodapé Coordenado Madeira Ipê 7x240cm Artens</t>
        </is>
      </c>
      <c r="C722" s="11" t="inlineStr">
        <is>
          <t>M</t>
        </is>
      </c>
      <c r="D722" s="2162">
        <f>E722*$D$1</f>
        <v/>
      </c>
      <c r="E722" s="2162">
        <f>(53.09/0.07)*0.2</f>
        <v/>
      </c>
      <c r="F722" s="2162" t="inlineStr">
        <is>
          <t>Revestimentos</t>
        </is>
      </c>
      <c r="G722" s="2162" t="inlineStr">
        <is>
          <t>Rodapé</t>
        </is>
      </c>
      <c r="H722" s="2162" t="n"/>
      <c r="I722" s="4" t="inlineStr">
        <is>
          <t>Revestimentos</t>
        </is>
      </c>
    </row>
    <row r="723" ht="15.75" customHeight="1">
      <c r="A723" s="10">
        <f>COUNTIFS($B$2:$B$996,B723)</f>
        <v/>
      </c>
      <c r="B723" s="10" t="inlineStr">
        <is>
          <t>Rodape Em Poliestireno, H = 20cm</t>
        </is>
      </c>
      <c r="C723" s="11" t="inlineStr">
        <is>
          <t>M</t>
        </is>
      </c>
      <c r="D723" s="2162">
        <f>E723*$D$1</f>
        <v/>
      </c>
      <c r="E723" s="2162" t="n">
        <v>50.25</v>
      </c>
      <c r="F723" s="2162" t="inlineStr">
        <is>
          <t>Revestimentos</t>
        </is>
      </c>
      <c r="G723" s="2162" t="inlineStr">
        <is>
          <t>Rodapé</t>
        </is>
      </c>
      <c r="H723" s="2162" t="n"/>
      <c r="I723" s="4" t="inlineStr">
        <is>
          <t>Revestimentos</t>
        </is>
      </c>
    </row>
    <row r="724" ht="15.75" customHeight="1">
      <c r="A724" s="10">
        <f>COUNTIFS($B$2:$B$996,B724)</f>
        <v/>
      </c>
      <c r="B724" s="10" t="inlineStr">
        <is>
          <t>Rodape Em Poliestireno, H = 15cm</t>
        </is>
      </c>
      <c r="C724" s="11" t="inlineStr">
        <is>
          <t>M</t>
        </is>
      </c>
      <c r="D724" s="2162">
        <f>E724*$D$1</f>
        <v/>
      </c>
      <c r="E724" s="2162" t="n">
        <v>28.95416666666667</v>
      </c>
      <c r="F724" s="2162" t="inlineStr">
        <is>
          <t>Revestimentos</t>
        </is>
      </c>
      <c r="G724" s="2162" t="inlineStr">
        <is>
          <t>Rodapé</t>
        </is>
      </c>
      <c r="H724" s="2162" t="n"/>
      <c r="I724" s="4" t="inlineStr">
        <is>
          <t>Revestimentos</t>
        </is>
      </c>
    </row>
    <row r="725" ht="15.75" customHeight="1">
      <c r="A725" s="10">
        <f>COUNTIFS($B$2:$B$996,B725)</f>
        <v/>
      </c>
      <c r="B725" s="10" t="inlineStr">
        <is>
          <t xml:space="preserve">Rodapé De Poliestireno Santa Luzia Moderna 473 Branco 5cm </t>
        </is>
      </c>
      <c r="C725" s="11" t="inlineStr">
        <is>
          <t>M</t>
        </is>
      </c>
      <c r="D725" s="2162">
        <f>E725*$D$1</f>
        <v/>
      </c>
      <c r="E725" s="2162">
        <f>52.1/2.4</f>
        <v/>
      </c>
      <c r="F725" s="2162" t="inlineStr">
        <is>
          <t>Revestimentos</t>
        </is>
      </c>
      <c r="G725" s="2162" t="inlineStr">
        <is>
          <t>Rodapé</t>
        </is>
      </c>
      <c r="H725" s="2162" t="n"/>
      <c r="I725" s="4" t="inlineStr">
        <is>
          <t>Revestimentos</t>
        </is>
      </c>
    </row>
    <row r="726" ht="15.75" customHeight="1">
      <c r="A726" s="10">
        <f>COUNTIFS($B$2:$B$996,B726)</f>
        <v/>
      </c>
      <c r="B726" s="10" t="inlineStr">
        <is>
          <t>Rodape Branco Zeus - 20Cm</t>
        </is>
      </c>
      <c r="C726" s="11" t="inlineStr">
        <is>
          <t>M</t>
        </is>
      </c>
      <c r="D726" s="2162">
        <f>E726*$D$1</f>
        <v/>
      </c>
      <c r="E726" s="2162">
        <f>105/3</f>
        <v/>
      </c>
      <c r="F726" s="2162" t="inlineStr">
        <is>
          <t>Revestimentos</t>
        </is>
      </c>
      <c r="G726" s="2162" t="inlineStr">
        <is>
          <t>Rodapé</t>
        </is>
      </c>
      <c r="H726" s="2162" t="n"/>
      <c r="I726" s="4" t="inlineStr">
        <is>
          <t>Revestimentos</t>
        </is>
      </c>
    </row>
    <row r="727" ht="15.75" customHeight="1">
      <c r="A727" s="10">
        <f>COUNTIFS($B$2:$B$996,B727)</f>
        <v/>
      </c>
      <c r="B727" s="10" t="inlineStr">
        <is>
          <t>Rodape Em Poliestireno, H = 10cm</t>
        </is>
      </c>
      <c r="C727" s="11" t="inlineStr">
        <is>
          <t>M</t>
        </is>
      </c>
      <c r="D727" s="2162">
        <f>E727*$D$1</f>
        <v/>
      </c>
      <c r="E727" s="2162" t="n">
        <v>21.53</v>
      </c>
      <c r="F727" s="2162" t="inlineStr">
        <is>
          <t>Revestimentos</t>
        </is>
      </c>
      <c r="G727" s="2162" t="inlineStr">
        <is>
          <t>Rodapé</t>
        </is>
      </c>
      <c r="H727" s="2162" t="n"/>
      <c r="I727" s="4" t="inlineStr">
        <is>
          <t>Revestimentos</t>
        </is>
      </c>
    </row>
    <row r="728" ht="15.75" customHeight="1">
      <c r="A728" s="10">
        <f>COUNTIFS($B$2:$B$996,B728)</f>
        <v/>
      </c>
      <c r="B728" s="10" t="inlineStr">
        <is>
          <t>Rodape Em Poliestireno, H = 7cm</t>
        </is>
      </c>
      <c r="C728" s="11" t="inlineStr">
        <is>
          <t>UN</t>
        </is>
      </c>
      <c r="D728" s="2162">
        <f>E728*$D$1</f>
        <v/>
      </c>
      <c r="E728" s="2162" t="n">
        <v>17.0928</v>
      </c>
      <c r="F728" s="2162" t="inlineStr">
        <is>
          <t>Revestimentos</t>
        </is>
      </c>
      <c r="G728" s="2162" t="inlineStr">
        <is>
          <t>Rodapé</t>
        </is>
      </c>
      <c r="H728" s="2162" t="n"/>
      <c r="I728" s="4" t="inlineStr">
        <is>
          <t>Revestimentos</t>
        </is>
      </c>
    </row>
    <row r="729" ht="15.75" customHeight="1">
      <c r="A729" s="10">
        <f>COUNTIFS($B$2:$B$996,B729)</f>
        <v/>
      </c>
      <c r="B729" s="10" t="inlineStr">
        <is>
          <t>Rodape Em Porcelanato, H = 10cm</t>
        </is>
      </c>
      <c r="C729" s="11" t="inlineStr">
        <is>
          <t>M</t>
        </is>
      </c>
      <c r="D729" s="2162">
        <f>E729*$D$1</f>
        <v/>
      </c>
      <c r="E729" s="2162" t="n">
        <v>35.55555555555556</v>
      </c>
      <c r="F729" s="2162" t="inlineStr">
        <is>
          <t>Revestimentos</t>
        </is>
      </c>
      <c r="G729" s="2162" t="inlineStr">
        <is>
          <t>Rodapé</t>
        </is>
      </c>
      <c r="H729" s="2162" t="n"/>
      <c r="I729" s="4" t="inlineStr">
        <is>
          <t>Revestimentos</t>
        </is>
      </c>
    </row>
    <row r="730" ht="15.75" customHeight="1">
      <c r="A730" s="10">
        <f>COUNTIFS($B$2:$B$996,B730)</f>
        <v/>
      </c>
      <c r="B730" s="10" t="inlineStr">
        <is>
          <t>Rodape Em Porcelanato, H = 15cm</t>
        </is>
      </c>
      <c r="C730" s="11" t="inlineStr">
        <is>
          <t>M</t>
        </is>
      </c>
      <c r="D730" s="2162">
        <f>E730*$D$1</f>
        <v/>
      </c>
      <c r="E730" s="2162" t="n">
        <v>53.33333333333333</v>
      </c>
      <c r="F730" s="2162" t="inlineStr">
        <is>
          <t>Revestimentos</t>
        </is>
      </c>
      <c r="G730" s="2162" t="inlineStr">
        <is>
          <t>Rodapé</t>
        </is>
      </c>
      <c r="H730" s="2162" t="n"/>
      <c r="I730" s="4" t="inlineStr">
        <is>
          <t>Revestimentos</t>
        </is>
      </c>
    </row>
    <row r="731" ht="15.75" customHeight="1">
      <c r="A731" s="10">
        <f>COUNTIFS($B$2:$B$996,B731)</f>
        <v/>
      </c>
      <c r="B731" s="10" t="inlineStr">
        <is>
          <t>Rodape Em Porcelanato, H = 16,5cm</t>
        </is>
      </c>
      <c r="C731" s="11" t="inlineStr">
        <is>
          <t>M</t>
        </is>
      </c>
      <c r="D731" s="2162">
        <f>E731*$D$1</f>
        <v/>
      </c>
      <c r="E731" s="2162" t="n">
        <v>58.66666666666666</v>
      </c>
      <c r="F731" s="2162" t="inlineStr">
        <is>
          <t>Revestimentos</t>
        </is>
      </c>
      <c r="G731" s="2162" t="inlineStr">
        <is>
          <t>Rodapé</t>
        </is>
      </c>
      <c r="H731" s="2162" t="n"/>
      <c r="I731" s="4" t="inlineStr">
        <is>
          <t>Revestimentos</t>
        </is>
      </c>
    </row>
    <row r="732" ht="15.75" customHeight="1">
      <c r="A732" s="10">
        <f>COUNTIFS($B$2:$B$996,B732)</f>
        <v/>
      </c>
      <c r="B732" s="10" t="inlineStr">
        <is>
          <t>Escavação e Carga Mecanizada em Corte - Desaterro Solo</t>
        </is>
      </c>
      <c r="C732" s="11" t="inlineStr">
        <is>
          <t>M3</t>
        </is>
      </c>
      <c r="D732" s="2162">
        <f>E732*$D$1</f>
        <v/>
      </c>
      <c r="E732" s="2162" t="n">
        <v>2.7132</v>
      </c>
      <c r="F732" s="2162" t="inlineStr">
        <is>
          <t>Serviço Terceiros</t>
        </is>
      </c>
      <c r="G732" s="2162" t="inlineStr">
        <is>
          <t>Serviço Terceiros</t>
        </is>
      </c>
      <c r="H732" s="2162" t="n"/>
      <c r="I732" s="4" t="inlineStr">
        <is>
          <t>Mão de obra de Terceiros</t>
        </is>
      </c>
    </row>
    <row r="733" ht="15.75" customHeight="1">
      <c r="A733" s="10">
        <f>COUNTIFS($B$2:$B$996,B733)</f>
        <v/>
      </c>
      <c r="B733" s="10" t="inlineStr">
        <is>
          <t>Escavação e Carga Mecanizada em Corte - Desaterro Rocha</t>
        </is>
      </c>
      <c r="C733" s="11" t="inlineStr">
        <is>
          <t>M3</t>
        </is>
      </c>
      <c r="D733" s="2162">
        <f>E733*$D$1</f>
        <v/>
      </c>
      <c r="E733" s="2162" t="n">
        <v>4.498200000000001</v>
      </c>
      <c r="F733" s="2162" t="inlineStr">
        <is>
          <t>Serviço Terceiros</t>
        </is>
      </c>
      <c r="G733" s="2162" t="inlineStr">
        <is>
          <t>Serviço Terceiros</t>
        </is>
      </c>
      <c r="H733" s="2162" t="n"/>
      <c r="I733" s="4" t="inlineStr">
        <is>
          <t>Mão de obra de Terceiros</t>
        </is>
      </c>
    </row>
    <row r="734" ht="15.75" customHeight="1">
      <c r="A734" s="10">
        <f>COUNTIFS($B$2:$B$996,B734)</f>
        <v/>
      </c>
      <c r="B734" s="10" t="inlineStr">
        <is>
          <t>Espalhamento / Umedecimento / Compactação em Material de 1ª Categoria - 95% PN - Aterro</t>
        </is>
      </c>
      <c r="C734" s="11" t="inlineStr">
        <is>
          <t>M3</t>
        </is>
      </c>
      <c r="D734" s="2162">
        <f>E734*$D$1</f>
        <v/>
      </c>
      <c r="E734" s="2162" t="n">
        <v>9.271800000000001</v>
      </c>
      <c r="F734" s="2162" t="inlineStr">
        <is>
          <t>Serviço Terceiros</t>
        </is>
      </c>
      <c r="G734" s="2162" t="inlineStr">
        <is>
          <t>Serviço Terceiros</t>
        </is>
      </c>
      <c r="H734" s="2162" t="n"/>
      <c r="I734" s="4" t="inlineStr">
        <is>
          <t>Mão de obra de Terceiros</t>
        </is>
      </c>
    </row>
    <row r="735" ht="15.75" customHeight="1">
      <c r="A735" s="10">
        <f>COUNTIFS($B$2:$B$996,B735)</f>
        <v/>
      </c>
      <c r="B735" s="10" t="inlineStr">
        <is>
          <t>Escavação mecanizada com retroescavadeira</t>
        </is>
      </c>
      <c r="C735" s="11" t="inlineStr">
        <is>
          <t>M3</t>
        </is>
      </c>
      <c r="D735" s="2162">
        <f>E735*$D$1</f>
        <v/>
      </c>
      <c r="E735" s="2162" t="n">
        <v>36.36</v>
      </c>
      <c r="F735" s="2162" t="inlineStr">
        <is>
          <t>Serviço Terceiros</t>
        </is>
      </c>
      <c r="G735" s="2162" t="inlineStr">
        <is>
          <t>Serviço Terceiros</t>
        </is>
      </c>
      <c r="H735" s="2162" t="n"/>
      <c r="I735" s="4" t="inlineStr">
        <is>
          <t>Mão de obra de Terceiros</t>
        </is>
      </c>
    </row>
    <row r="736" ht="15.75" customHeight="1">
      <c r="A736" s="10">
        <f>COUNTIFS($B$2:$B$996,B736)</f>
        <v/>
      </c>
      <c r="B736" s="10" t="inlineStr">
        <is>
          <t>Serviço de Limpeza permanete de Terreno</t>
        </is>
      </c>
      <c r="C736" s="11" t="inlineStr">
        <is>
          <t>m2</t>
        </is>
      </c>
      <c r="D736" s="2162">
        <f>E736*$D$1</f>
        <v/>
      </c>
      <c r="E736" s="2162" t="n">
        <v>1.64</v>
      </c>
      <c r="F736" s="2162" t="inlineStr">
        <is>
          <t>Serviço Terceiros</t>
        </is>
      </c>
      <c r="G736" s="2162" t="inlineStr">
        <is>
          <t>Serviço Terceiros</t>
        </is>
      </c>
      <c r="H736" s="2162" t="n"/>
      <c r="I736" s="4" t="inlineStr">
        <is>
          <t>Mão de obra de Terceiros</t>
        </is>
      </c>
    </row>
    <row r="737" ht="15.75" customHeight="1">
      <c r="A737" s="10">
        <f>COUNTIFS($B$2:$B$996,B737)</f>
        <v/>
      </c>
      <c r="B737" s="10" t="inlineStr">
        <is>
          <t>Detonação de rochas</t>
        </is>
      </c>
      <c r="C737" s="11" t="inlineStr">
        <is>
          <t>M3</t>
        </is>
      </c>
      <c r="D737" s="2162">
        <f>E737*$D$1</f>
        <v/>
      </c>
      <c r="E737" s="2162" t="n">
        <v>320</v>
      </c>
      <c r="F737" s="2162" t="inlineStr">
        <is>
          <t>Serviço Terceiros</t>
        </is>
      </c>
      <c r="G737" s="2162" t="inlineStr">
        <is>
          <t>Serviço Terceiros</t>
        </is>
      </c>
      <c r="H737" s="2162" t="n"/>
      <c r="I737" s="4" t="inlineStr">
        <is>
          <t>Mão de obra de Terceiros</t>
        </is>
      </c>
    </row>
    <row r="738" ht="15.75" customHeight="1">
      <c r="A738" s="10">
        <f>COUNTIFS($B$2:$B$996,B738)</f>
        <v/>
      </c>
      <c r="B738" s="10" t="inlineStr">
        <is>
          <t>Diária de topógrafo</t>
        </is>
      </c>
      <c r="C738" s="11" t="inlineStr">
        <is>
          <t>DIA</t>
        </is>
      </c>
      <c r="D738" s="2162">
        <f>E738*$D$1</f>
        <v/>
      </c>
      <c r="E738" s="2162" t="n">
        <v>1300</v>
      </c>
      <c r="F738" s="2162" t="inlineStr">
        <is>
          <t>Serviço Terceiros</t>
        </is>
      </c>
      <c r="G738" s="2162" t="inlineStr">
        <is>
          <t>Serviço Terceiros</t>
        </is>
      </c>
      <c r="H738" s="2162" t="n"/>
      <c r="I738" s="4" t="inlineStr">
        <is>
          <t>Mão de obra de Terceiros</t>
        </is>
      </c>
    </row>
    <row r="739" ht="15.75" customHeight="1">
      <c r="A739" s="10">
        <f>COUNTIFS($B$2:$B$996,B739)</f>
        <v/>
      </c>
      <c r="B739" s="10" t="inlineStr">
        <is>
          <t>Serviço de Perfuração de vigas e lajes</t>
        </is>
      </c>
      <c r="C739" s="11" t="inlineStr">
        <is>
          <t>VB</t>
        </is>
      </c>
      <c r="D739" s="2162">
        <f>E739*$D$1</f>
        <v/>
      </c>
      <c r="E739" s="2162" t="n">
        <v>93981.53050000001</v>
      </c>
      <c r="F739" s="2162" t="inlineStr">
        <is>
          <t>Serviço Terceiros</t>
        </is>
      </c>
      <c r="G739" s="2162" t="inlineStr">
        <is>
          <t>Serviço Terceiros</t>
        </is>
      </c>
      <c r="H739" s="2162" t="n"/>
      <c r="I739" s="4" t="inlineStr">
        <is>
          <t>Mão de obra de Terceiros</t>
        </is>
      </c>
    </row>
    <row r="740" ht="15.75" customHeight="1">
      <c r="A740" s="10">
        <f>COUNTIFS($B$2:$B$996,B740)</f>
        <v/>
      </c>
      <c r="B740" s="10" t="inlineStr">
        <is>
          <t>Execucao Estaca Escavada 025Cm</t>
        </is>
      </c>
      <c r="C740" s="11" t="inlineStr">
        <is>
          <t>M</t>
        </is>
      </c>
      <c r="D740" s="2162">
        <f>E740*$D$1</f>
        <v/>
      </c>
      <c r="E740" s="2162" t="n">
        <v>33</v>
      </c>
      <c r="F740" s="2162" t="inlineStr">
        <is>
          <t>Serviço Terceiros</t>
        </is>
      </c>
      <c r="G740" s="2162" t="inlineStr">
        <is>
          <t>Serviço Terceiros</t>
        </is>
      </c>
      <c r="H740" s="2162" t="n"/>
      <c r="I740" s="4" t="inlineStr">
        <is>
          <t>Mão de obra de Terceiros</t>
        </is>
      </c>
    </row>
    <row r="741" ht="15.75" customHeight="1">
      <c r="A741" s="10">
        <f>COUNTIFS($B$2:$B$996,B741)</f>
        <v/>
      </c>
      <c r="B741" s="10" t="inlineStr">
        <is>
          <t>Execucao Estaca Escavada 030Cm</t>
        </is>
      </c>
      <c r="C741" s="11" t="inlineStr">
        <is>
          <t>M</t>
        </is>
      </c>
      <c r="D741" s="2162">
        <f>E741*$D$1</f>
        <v/>
      </c>
      <c r="E741" s="2162" t="n">
        <v>39</v>
      </c>
      <c r="F741" s="2162" t="inlineStr">
        <is>
          <t>Serviço Terceiros</t>
        </is>
      </c>
      <c r="G741" s="2162" t="inlineStr">
        <is>
          <t>Serviço Terceiros</t>
        </is>
      </c>
      <c r="H741" s="2162" t="n"/>
      <c r="I741" s="4" t="inlineStr">
        <is>
          <t>Mão de obra de Terceiros</t>
        </is>
      </c>
    </row>
    <row r="742" ht="14.25" customHeight="1">
      <c r="A742" s="10">
        <f>COUNTIFS($B$2:$B$996,B742)</f>
        <v/>
      </c>
      <c r="B742" s="82" t="inlineStr">
        <is>
          <t>Execucao Estaca Escavada 040Cm</t>
        </is>
      </c>
      <c r="C742" s="83" t="inlineStr">
        <is>
          <t>M</t>
        </is>
      </c>
      <c r="D742" s="2165">
        <f>E742*$D$1</f>
        <v/>
      </c>
      <c r="E742" s="2165">
        <f>40*1.32</f>
        <v/>
      </c>
      <c r="F742" s="2165" t="inlineStr">
        <is>
          <t>Serviço Terceiros</t>
        </is>
      </c>
      <c r="G742" s="2165" t="inlineStr">
        <is>
          <t>Serviço Terceiros</t>
        </is>
      </c>
      <c r="H742" s="2165" t="n"/>
      <c r="I742" s="85" t="inlineStr">
        <is>
          <t>Mão de obra de Terceiros</t>
        </is>
      </c>
    </row>
    <row r="743" ht="14.25" customHeight="1">
      <c r="A743" s="10">
        <f>COUNTIFS($B$2:$B$996,B743)</f>
        <v/>
      </c>
      <c r="B743" s="82" t="inlineStr">
        <is>
          <t>Execucao Estaca Escavada 050Cm</t>
        </is>
      </c>
      <c r="C743" s="83" t="inlineStr">
        <is>
          <t>M</t>
        </is>
      </c>
      <c r="D743" s="2165">
        <f>E743*$D$1</f>
        <v/>
      </c>
      <c r="E743" s="2165">
        <f>50*1.32</f>
        <v/>
      </c>
      <c r="F743" s="2165" t="inlineStr">
        <is>
          <t>Serviço Terceiros</t>
        </is>
      </c>
      <c r="G743" s="2165" t="inlineStr">
        <is>
          <t>Serviço Terceiros</t>
        </is>
      </c>
      <c r="H743" s="2165" t="n"/>
      <c r="I743" s="85" t="inlineStr">
        <is>
          <t>Mão de obra de Terceiros</t>
        </is>
      </c>
    </row>
    <row r="744" ht="14.25" customHeight="1">
      <c r="A744" s="10">
        <f>COUNTIFS($B$2:$B$996,B744)</f>
        <v/>
      </c>
      <c r="B744" s="82" t="inlineStr">
        <is>
          <t>Execucao Estaca Escavada 060Cm</t>
        </is>
      </c>
      <c r="C744" s="83" t="inlineStr">
        <is>
          <t>M</t>
        </is>
      </c>
      <c r="D744" s="2165">
        <f>E744*$D$1</f>
        <v/>
      </c>
      <c r="E744" s="2165">
        <f>60*1.32</f>
        <v/>
      </c>
      <c r="F744" s="2165" t="inlineStr">
        <is>
          <t>Serviço Terceiros</t>
        </is>
      </c>
      <c r="G744" s="2165" t="inlineStr">
        <is>
          <t>Serviço Terceiros</t>
        </is>
      </c>
      <c r="H744" s="2165" t="n"/>
      <c r="I744" s="85" t="inlineStr">
        <is>
          <t>Mão de obra de Terceiros</t>
        </is>
      </c>
    </row>
    <row r="745" ht="14.25" customHeight="1">
      <c r="A745" s="10">
        <f>COUNTIFS($B$2:$B$996,B745)</f>
        <v/>
      </c>
      <c r="B745" s="82" t="inlineStr">
        <is>
          <t>Execucao Estaca Escavada 070Cm</t>
        </is>
      </c>
      <c r="C745" s="83" t="inlineStr">
        <is>
          <t>M</t>
        </is>
      </c>
      <c r="D745" s="2165">
        <f>E745*$D$1</f>
        <v/>
      </c>
      <c r="E745" s="2165">
        <f>70*1.32</f>
        <v/>
      </c>
      <c r="F745" s="2165" t="inlineStr">
        <is>
          <t>Serviço Terceiros</t>
        </is>
      </c>
      <c r="G745" s="2165" t="inlineStr">
        <is>
          <t>Serviço Terceiros</t>
        </is>
      </c>
      <c r="H745" s="2165" t="n"/>
      <c r="I745" s="85" t="inlineStr">
        <is>
          <t>Mão de obra de Terceiros</t>
        </is>
      </c>
    </row>
    <row r="746" ht="14.25" customHeight="1">
      <c r="A746" s="10">
        <f>COUNTIFS($B$2:$B$996,B746)</f>
        <v/>
      </c>
      <c r="B746" s="82" t="inlineStr">
        <is>
          <t>Execucao Estaca Escavada 080Cm</t>
        </is>
      </c>
      <c r="C746" s="83" t="inlineStr">
        <is>
          <t>M</t>
        </is>
      </c>
      <c r="D746" s="2165">
        <f>E746*$D$1</f>
        <v/>
      </c>
      <c r="E746" s="2165">
        <f>80*1.32</f>
        <v/>
      </c>
      <c r="F746" s="2165" t="inlineStr">
        <is>
          <t>Serviço Terceiros</t>
        </is>
      </c>
      <c r="G746" s="2165" t="inlineStr">
        <is>
          <t>Serviço Terceiros</t>
        </is>
      </c>
      <c r="H746" s="2165" t="n"/>
      <c r="I746" s="85" t="inlineStr">
        <is>
          <t>Mão de obra de Terceiros</t>
        </is>
      </c>
    </row>
    <row r="747" ht="14.25" customHeight="1">
      <c r="A747" s="10">
        <f>COUNTIFS($B$2:$B$996,B747)</f>
        <v/>
      </c>
      <c r="B747" s="82" t="inlineStr">
        <is>
          <t>Execucao Estaca Helice Continua Monitorada 050Cm</t>
        </is>
      </c>
      <c r="C747" s="83" t="inlineStr">
        <is>
          <t>M</t>
        </is>
      </c>
      <c r="D747" s="2165">
        <f>E747*$D$1</f>
        <v/>
      </c>
      <c r="E747" s="2165" t="n">
        <v>150</v>
      </c>
      <c r="F747" s="2165" t="inlineStr">
        <is>
          <t>Serviço Terceiros</t>
        </is>
      </c>
      <c r="G747" s="2165" t="inlineStr">
        <is>
          <t>Serviço Terceiros</t>
        </is>
      </c>
      <c r="H747" s="2165" t="n"/>
      <c r="I747" s="85" t="inlineStr">
        <is>
          <t>Mão de obra de Terceiros</t>
        </is>
      </c>
    </row>
    <row r="748" ht="14.25" customHeight="1">
      <c r="A748" s="10">
        <f>COUNTIFS($B$2:$B$996,B748)</f>
        <v/>
      </c>
      <c r="B748" s="82" t="inlineStr">
        <is>
          <t>Execucao Estaca Helice Continua Monitorada 060Cm</t>
        </is>
      </c>
      <c r="C748" s="83" t="inlineStr">
        <is>
          <t>M</t>
        </is>
      </c>
      <c r="D748" s="2165">
        <f>E748*$D$1</f>
        <v/>
      </c>
      <c r="E748" s="2165" t="n">
        <v>180</v>
      </c>
      <c r="F748" s="2165" t="inlineStr">
        <is>
          <t>Serviço Terceiros</t>
        </is>
      </c>
      <c r="G748" s="2165" t="inlineStr">
        <is>
          <t>Serviço Terceiros</t>
        </is>
      </c>
      <c r="H748" s="2165" t="n"/>
      <c r="I748" s="85" t="inlineStr">
        <is>
          <t>Mão de obra de Terceiros</t>
        </is>
      </c>
    </row>
    <row r="749" ht="15.75" customHeight="1">
      <c r="A749" s="10">
        <f>COUNTIFS($B$2:$B$996,B749)</f>
        <v/>
      </c>
      <c r="B749" s="10" t="inlineStr">
        <is>
          <t>Execucao Estaca Helice Continua 030Cm</t>
        </is>
      </c>
      <c r="C749" s="11" t="inlineStr">
        <is>
          <t>M</t>
        </is>
      </c>
      <c r="D749" s="2162">
        <f>E749*$D$1</f>
        <v/>
      </c>
      <c r="E749" s="2162" t="n">
        <v>60</v>
      </c>
      <c r="F749" s="2162" t="inlineStr">
        <is>
          <t>Serviço Terceiros</t>
        </is>
      </c>
      <c r="G749" s="2162" t="inlineStr">
        <is>
          <t>Serviço Terceiros</t>
        </is>
      </c>
      <c r="H749" s="2162" t="n"/>
      <c r="I749" s="4" t="inlineStr">
        <is>
          <t>Mão de obra de Terceiros</t>
        </is>
      </c>
    </row>
    <row r="750" ht="15.75" customHeight="1">
      <c r="A750" s="10">
        <f>COUNTIFS($B$2:$B$996,B750)</f>
        <v/>
      </c>
      <c r="B750" s="10" t="inlineStr">
        <is>
          <t>Execucao Estaca Helice Continua 040Cm</t>
        </is>
      </c>
      <c r="C750" s="11" t="inlineStr">
        <is>
          <t>M</t>
        </is>
      </c>
      <c r="D750" s="2162">
        <f>E750*$D$1</f>
        <v/>
      </c>
      <c r="E750" s="2162" t="n">
        <v>75</v>
      </c>
      <c r="F750" s="2162" t="inlineStr">
        <is>
          <t>Serviço Terceiros</t>
        </is>
      </c>
      <c r="G750" s="2162" t="inlineStr">
        <is>
          <t>Serviço Terceiros</t>
        </is>
      </c>
      <c r="H750" s="2162" t="n"/>
      <c r="I750" s="4" t="inlineStr">
        <is>
          <t>Mão de obra de Terceiros</t>
        </is>
      </c>
    </row>
    <row r="751" ht="15.75" customHeight="1">
      <c r="A751" s="10">
        <f>COUNTIFS($B$2:$B$996,B751)</f>
        <v/>
      </c>
      <c r="B751" s="10" t="inlineStr">
        <is>
          <t>Execucao Estaca Helice Continua 050Cm</t>
        </is>
      </c>
      <c r="C751" s="11" t="inlineStr">
        <is>
          <t>M</t>
        </is>
      </c>
      <c r="D751" s="2162">
        <f>E751*$D$1</f>
        <v/>
      </c>
      <c r="E751" s="2162" t="n">
        <v>150</v>
      </c>
      <c r="F751" s="2162" t="inlineStr">
        <is>
          <t>Serviço Terceiros</t>
        </is>
      </c>
      <c r="G751" s="2162" t="inlineStr">
        <is>
          <t>Serviço Terceiros</t>
        </is>
      </c>
      <c r="H751" s="2162" t="n"/>
      <c r="I751" s="4" t="inlineStr">
        <is>
          <t>Mão de obra de Terceiros</t>
        </is>
      </c>
    </row>
    <row r="752" ht="15.75" customHeight="1">
      <c r="A752" s="10">
        <f>COUNTIFS($B$2:$B$996,B752)</f>
        <v/>
      </c>
      <c r="B752" s="10" t="inlineStr">
        <is>
          <t>Execucao Estaca Helice Continua 060Cm</t>
        </is>
      </c>
      <c r="C752" s="11" t="inlineStr">
        <is>
          <t>M</t>
        </is>
      </c>
      <c r="D752" s="2162">
        <f>E752*$D$1</f>
        <v/>
      </c>
      <c r="E752" s="2162">
        <f>(950000*0.974271563645719)/6732</f>
        <v/>
      </c>
      <c r="F752" s="2162" t="inlineStr">
        <is>
          <t>Serviço Terceiros</t>
        </is>
      </c>
      <c r="G752" s="2162" t="inlineStr">
        <is>
          <t>Serviço Terceiros</t>
        </is>
      </c>
      <c r="H752" s="2162" t="inlineStr">
        <is>
          <t>Custo repassado por eles</t>
        </is>
      </c>
      <c r="I752" s="4" t="inlineStr">
        <is>
          <t>Mão de obra de Terceiros</t>
        </is>
      </c>
    </row>
    <row r="753" ht="15.75" customHeight="1">
      <c r="A753" s="10">
        <f>COUNTIFS($B$2:$B$996,B753)</f>
        <v/>
      </c>
      <c r="B753" s="10" t="inlineStr">
        <is>
          <t>Execucao Estaca Helice Continua 070Cm</t>
        </is>
      </c>
      <c r="C753" s="11" t="inlineStr">
        <is>
          <t>M</t>
        </is>
      </c>
      <c r="D753" s="2162">
        <f>E753*$D$1</f>
        <v/>
      </c>
      <c r="E753" s="2162" t="n">
        <v>120</v>
      </c>
      <c r="F753" s="2162" t="inlineStr">
        <is>
          <t>Serviço Terceiros</t>
        </is>
      </c>
      <c r="G753" s="2162" t="inlineStr">
        <is>
          <t>Serviço Terceiros</t>
        </is>
      </c>
      <c r="H753" s="2162" t="n"/>
      <c r="I753" s="4" t="inlineStr">
        <is>
          <t>Mão de obra de Terceiros</t>
        </is>
      </c>
    </row>
    <row r="754" ht="15.75" customHeight="1">
      <c r="A754" s="10">
        <f>COUNTIFS($B$2:$B$996,B754)</f>
        <v/>
      </c>
      <c r="B754" s="10" t="inlineStr">
        <is>
          <t>Execucao Estaca Helice Continua 080Cm</t>
        </is>
      </c>
      <c r="C754" s="11" t="inlineStr">
        <is>
          <t>M</t>
        </is>
      </c>
      <c r="D754" s="2162">
        <f>E754*$D$1</f>
        <v/>
      </c>
      <c r="E754" s="2162" t="n">
        <v>135</v>
      </c>
      <c r="F754" s="2162" t="inlineStr">
        <is>
          <t>Serviço Terceiros</t>
        </is>
      </c>
      <c r="G754" s="2162" t="inlineStr">
        <is>
          <t>Serviço Terceiros</t>
        </is>
      </c>
      <c r="H754" s="2162" t="n"/>
      <c r="I754" s="4" t="inlineStr">
        <is>
          <t>Mão de obra de Terceiros</t>
        </is>
      </c>
    </row>
    <row r="755" ht="15.75" customHeight="1">
      <c r="A755" s="10">
        <f>COUNTIFS($B$2:$B$996,B755)</f>
        <v/>
      </c>
      <c r="B755" s="10" t="inlineStr">
        <is>
          <t>Execucao Estaca Helice Continua 090Cm</t>
        </is>
      </c>
      <c r="C755" s="11" t="inlineStr">
        <is>
          <t>M</t>
        </is>
      </c>
      <c r="D755" s="2162">
        <f>E755*$D$1</f>
        <v/>
      </c>
      <c r="E755" s="2162" t="n">
        <v>150</v>
      </c>
      <c r="F755" s="2162" t="inlineStr">
        <is>
          <t>Serviço Terceiros</t>
        </is>
      </c>
      <c r="G755" s="2162" t="inlineStr">
        <is>
          <t>Serviço Terceiros</t>
        </is>
      </c>
      <c r="H755" s="2162" t="n"/>
      <c r="I755" s="4" t="inlineStr">
        <is>
          <t>Mão de obra de Terceiros</t>
        </is>
      </c>
    </row>
    <row r="756" ht="15.75" customHeight="1">
      <c r="A756" s="10">
        <f>COUNTIFS($B$2:$B$996,B756)</f>
        <v/>
      </c>
      <c r="B756" s="10" t="inlineStr">
        <is>
          <t>Execucao Estaca Helice Continua 100Cm</t>
        </is>
      </c>
      <c r="C756" s="11" t="inlineStr">
        <is>
          <t>M</t>
        </is>
      </c>
      <c r="D756" s="2162">
        <f>E756*$D$1</f>
        <v/>
      </c>
      <c r="E756" s="2162" t="n">
        <v>166.6666666666667</v>
      </c>
      <c r="F756" s="2162" t="inlineStr">
        <is>
          <t>Serviço Terceiros</t>
        </is>
      </c>
      <c r="G756" s="2162" t="inlineStr">
        <is>
          <t>Serviço Terceiros</t>
        </is>
      </c>
      <c r="H756" s="2162" t="n"/>
      <c r="I756" s="4" t="inlineStr">
        <is>
          <t>Mão de obra de Terceiros</t>
        </is>
      </c>
    </row>
    <row r="757" ht="15.75" customHeight="1">
      <c r="A757" s="10">
        <f>COUNTIFS($B$2:$B$996,B757)</f>
        <v/>
      </c>
      <c r="B757" s="10" t="inlineStr">
        <is>
          <t>Mão de obra para execução de fundação</t>
        </is>
      </c>
      <c r="C757" s="11" t="inlineStr">
        <is>
          <t>M2</t>
        </is>
      </c>
      <c r="D757" s="2162">
        <f>E757*$D$1</f>
        <v/>
      </c>
      <c r="E757" s="2162">
        <f>290*1.5</f>
        <v/>
      </c>
      <c r="F757" s="2162" t="inlineStr">
        <is>
          <t>Serviço Terceiros</t>
        </is>
      </c>
      <c r="G757" s="2162" t="inlineStr">
        <is>
          <t>Serviço Terceiros</t>
        </is>
      </c>
      <c r="H757" s="2162" t="n"/>
      <c r="I757" s="4" t="inlineStr">
        <is>
          <t>Mão de obra de Terceiros</t>
        </is>
      </c>
    </row>
    <row r="758" ht="15.75" customHeight="1">
      <c r="A758" s="10">
        <f>COUNTIFS($B$2:$B$996,B758)</f>
        <v/>
      </c>
      <c r="B758" s="10" t="inlineStr">
        <is>
          <t>Mão de obra de obra execução de contenção em cortina de concreto</t>
        </is>
      </c>
      <c r="C758" s="11" t="inlineStr">
        <is>
          <t>M2</t>
        </is>
      </c>
      <c r="D758" s="2162">
        <f>E758*$D$1</f>
        <v/>
      </c>
      <c r="E758" s="2162" t="n">
        <v>166.3442050970874</v>
      </c>
      <c r="F758" s="2162" t="inlineStr">
        <is>
          <t>Serviço Terceiros</t>
        </is>
      </c>
      <c r="G758" s="2162" t="inlineStr">
        <is>
          <t>Serviço Terceiros</t>
        </is>
      </c>
      <c r="H758" s="2162" t="inlineStr">
        <is>
          <t>Custo Incorrido</t>
        </is>
      </c>
      <c r="I758" s="4" t="inlineStr">
        <is>
          <t>Mão de obra de Terceiros</t>
        </is>
      </c>
    </row>
    <row r="759" ht="15.75" customHeight="1">
      <c r="A759" s="10">
        <f>COUNTIFS($B$2:$B$996,B759)</f>
        <v/>
      </c>
      <c r="B759" s="10" t="inlineStr">
        <is>
          <t>Forro Tensoflex - Tela tensionada Iluminada - Material e Mão de Obra</t>
        </is>
      </c>
      <c r="C759" s="11" t="inlineStr">
        <is>
          <t>M2</t>
        </is>
      </c>
      <c r="D759" s="2162">
        <f>E759*$D$1</f>
        <v/>
      </c>
      <c r="E759" s="2162">
        <f>((6992/(3.22*2.6))+150)</f>
        <v/>
      </c>
      <c r="F759" s="2162" t="inlineStr">
        <is>
          <t>Serviço Terceiros</t>
        </is>
      </c>
      <c r="G759" s="2162" t="inlineStr">
        <is>
          <t>Serviço Terceiros</t>
        </is>
      </c>
      <c r="H759" s="2162" t="n"/>
      <c r="I759" s="4" t="inlineStr">
        <is>
          <t>Mão de obra de Terceiros</t>
        </is>
      </c>
    </row>
    <row r="760" ht="14.25" customHeight="1">
      <c r="A760" s="10">
        <f>COUNTIFS($B$2:$B$996,B760)</f>
        <v/>
      </c>
      <c r="B760" s="471" t="inlineStr">
        <is>
          <t>FITA DE LED 1 M</t>
        </is>
      </c>
      <c r="C760" s="472" t="inlineStr">
        <is>
          <t>M</t>
        </is>
      </c>
      <c r="D760" s="2165">
        <f>E760*$D$1</f>
        <v/>
      </c>
      <c r="E760" s="2165" t="n">
        <v>11.3</v>
      </c>
      <c r="F760" s="2165" t="inlineStr">
        <is>
          <t>Drywall/Shaft/Forro</t>
        </is>
      </c>
      <c r="G760" s="2165" t="inlineStr">
        <is>
          <t>Diversos</t>
        </is>
      </c>
      <c r="H760" s="2162" t="n"/>
      <c r="I760" s="85" t="inlineStr">
        <is>
          <t>Diversos</t>
        </is>
      </c>
    </row>
    <row r="761" ht="14.25" customHeight="1">
      <c r="A761" s="10">
        <f>COUNTIFS($B$2:$B$996,B761)</f>
        <v/>
      </c>
      <c r="B761" s="471" t="inlineStr">
        <is>
          <t>Forro de gesso acartonado - Resistente à umidade - Material e Mão de Obra</t>
        </is>
      </c>
      <c r="C761" s="472" t="inlineStr">
        <is>
          <t>M2</t>
        </is>
      </c>
      <c r="D761" s="2165">
        <f>E761*$D$1</f>
        <v/>
      </c>
      <c r="E761" s="2165" t="n">
        <v>198.02</v>
      </c>
      <c r="F761" s="2165" t="inlineStr">
        <is>
          <t>Agregados</t>
        </is>
      </c>
      <c r="G761" s="2165" t="inlineStr">
        <is>
          <t>Gesso</t>
        </is>
      </c>
      <c r="H761" s="2162" t="n"/>
      <c r="I761" s="85" t="inlineStr">
        <is>
          <t>Revestimentos</t>
        </is>
      </c>
    </row>
    <row r="762" ht="14.25" customHeight="1">
      <c r="A762" s="10">
        <f>COUNTIFS($B$2:$B$996,B762)</f>
        <v/>
      </c>
      <c r="B762" s="471" t="inlineStr">
        <is>
          <t>Forro de gesso mineral - convencional (forro, negativo e cortineiro)</t>
        </is>
      </c>
      <c r="C762" s="472" t="inlineStr">
        <is>
          <t>M2</t>
        </is>
      </c>
      <c r="D762" s="2165">
        <f>E762*$D$1</f>
        <v/>
      </c>
      <c r="E762" s="2165">
        <f>508105.35/5977.71</f>
        <v/>
      </c>
      <c r="F762" s="2165" t="inlineStr">
        <is>
          <t>Agregados</t>
        </is>
      </c>
      <c r="G762" s="2165" t="inlineStr">
        <is>
          <t>Gesso</t>
        </is>
      </c>
      <c r="H762" s="2162" t="n"/>
      <c r="I762" s="85" t="inlineStr">
        <is>
          <t>Revestimentos</t>
        </is>
      </c>
    </row>
    <row r="763" ht="14.25" customHeight="1">
      <c r="A763" s="10">
        <f>COUNTIFS($B$2:$B$996,B763)</f>
        <v/>
      </c>
      <c r="B763" s="471" t="inlineStr">
        <is>
          <t>Painel Formato Muxarabi - Madeira Peroba Mica - Modelo 16.20/20 - (Ripas, Parafusos, Buchas, vernis e instalação)</t>
        </is>
      </c>
      <c r="C763" s="472" t="inlineStr">
        <is>
          <t>M2</t>
        </is>
      </c>
      <c r="D763" s="2165">
        <f>E763*$D$1</f>
        <v/>
      </c>
      <c r="E763" s="2165" t="n">
        <v>2315.855031267766</v>
      </c>
      <c r="F763" s="2165" t="inlineStr">
        <is>
          <t>Agregados</t>
        </is>
      </c>
      <c r="G763" s="2165" t="inlineStr">
        <is>
          <t>Gesso</t>
        </is>
      </c>
      <c r="H763" s="2162" t="n"/>
      <c r="I763" s="85" t="inlineStr">
        <is>
          <t>Revestimentos</t>
        </is>
      </c>
    </row>
    <row r="764" ht="15.75" customHeight="1">
      <c r="A764" s="10">
        <f>COUNTIFS($B$2:$B$996,B764)</f>
        <v/>
      </c>
      <c r="B764" s="10" t="inlineStr">
        <is>
          <t>Forro de gesso modular - material e mão de obra</t>
        </is>
      </c>
      <c r="C764" s="11" t="inlineStr">
        <is>
          <t>M2</t>
        </is>
      </c>
      <c r="D764" s="2162">
        <f>E764*$D$1</f>
        <v/>
      </c>
      <c r="E764" s="2162" t="n">
        <v>160</v>
      </c>
      <c r="F764" s="2162" t="inlineStr">
        <is>
          <t>Serviço Terceiros</t>
        </is>
      </c>
      <c r="G764" s="2162" t="inlineStr">
        <is>
          <t>Serviço Terceiros</t>
        </is>
      </c>
      <c r="H764" s="2162" t="n"/>
      <c r="I764" s="4" t="inlineStr">
        <is>
          <t>Mão de obra de Terceiros</t>
        </is>
      </c>
    </row>
    <row r="765" ht="15.75" customHeight="1">
      <c r="A765" s="10">
        <f>COUNTIFS($B$2:$B$996,B765)</f>
        <v/>
      </c>
      <c r="B765" s="10" t="inlineStr">
        <is>
          <t>Forro de gesso acartonado RF - anti chamas - Material e Mão de Obra</t>
        </is>
      </c>
      <c r="C765" s="11" t="inlineStr">
        <is>
          <t>M2</t>
        </is>
      </c>
      <c r="D765" s="2162">
        <f>E765*$D$1</f>
        <v/>
      </c>
      <c r="E765" s="2162" t="n">
        <v>170</v>
      </c>
      <c r="F765" s="2162" t="inlineStr">
        <is>
          <t>Serviço Terceiros</t>
        </is>
      </c>
      <c r="G765" s="2162" t="inlineStr">
        <is>
          <t>Serviço Terceiros</t>
        </is>
      </c>
      <c r="H765" s="2162" t="n"/>
      <c r="I765" s="4" t="inlineStr">
        <is>
          <t>Mão de obra de Terceiros</t>
        </is>
      </c>
    </row>
    <row r="766" ht="15.75" customHeight="1">
      <c r="A766" s="10">
        <f>COUNTIFS($B$2:$B$996,B766)</f>
        <v/>
      </c>
      <c r="B766" s="10" t="inlineStr">
        <is>
          <t>Forro de gesso acartonado - áreas secas - Material e Mão de Obra</t>
        </is>
      </c>
      <c r="C766" s="11" t="inlineStr">
        <is>
          <t>M2</t>
        </is>
      </c>
      <c r="D766" s="2162">
        <f>E766*$D$1</f>
        <v/>
      </c>
      <c r="E766" s="2162" t="n">
        <v>100</v>
      </c>
      <c r="F766" s="2162" t="inlineStr">
        <is>
          <t>Serviço Terceiros</t>
        </is>
      </c>
      <c r="G766" s="2162" t="inlineStr">
        <is>
          <t>Serviço Terceiros</t>
        </is>
      </c>
      <c r="H766" s="2162" t="n"/>
      <c r="I766" s="4" t="inlineStr">
        <is>
          <t>Mão de obra de Terceiros</t>
        </is>
      </c>
    </row>
    <row r="767" ht="15.75" customHeight="1">
      <c r="A767" s="10">
        <f>COUNTIFS($B$2:$B$996,B767)</f>
        <v/>
      </c>
      <c r="B767" s="10" t="inlineStr">
        <is>
          <t>Forro de gesso em forma de vigotas, imitando madeira - áreas úmidas - Material e Mão de Obra - incluso estrutura metálica + placa ru + fechamento de caixa + pintura efeito amdeira + instalação</t>
        </is>
      </c>
      <c r="C767" s="11" t="inlineStr">
        <is>
          <t>M</t>
        </is>
      </c>
      <c r="D767" s="2162">
        <f>E767*$D$1</f>
        <v/>
      </c>
      <c r="E767" s="2162" t="n">
        <v>250</v>
      </c>
      <c r="F767" s="2162" t="inlineStr">
        <is>
          <t>Serviço Terceiros</t>
        </is>
      </c>
      <c r="G767" s="2162" t="inlineStr">
        <is>
          <t>Serviço Terceiros</t>
        </is>
      </c>
      <c r="H767" s="2162" t="n"/>
      <c r="I767" s="4" t="inlineStr">
        <is>
          <t>Mão de obra de Terceiros</t>
        </is>
      </c>
    </row>
    <row r="768" ht="15.75" customHeight="1">
      <c r="A768" s="10">
        <f>COUNTIFS($B$2:$B$996,B768)</f>
        <v/>
      </c>
      <c r="B768" s="10" t="inlineStr">
        <is>
          <t>Forro de gesso acartonado - áreas úmidas - Material e Mão de Obra</t>
        </is>
      </c>
      <c r="C768" s="11" t="inlineStr">
        <is>
          <t>M2</t>
        </is>
      </c>
      <c r="D768" s="2162">
        <f>E768*$D$1</f>
        <v/>
      </c>
      <c r="E768" s="2162" t="n">
        <v>120</v>
      </c>
      <c r="F768" s="2162" t="inlineStr">
        <is>
          <t>Serviço Terceiros</t>
        </is>
      </c>
      <c r="G768" s="2162" t="inlineStr">
        <is>
          <t>Serviço Terceiros</t>
        </is>
      </c>
      <c r="H768" s="2162" t="n"/>
      <c r="I768" s="4" t="inlineStr">
        <is>
          <t>Mão de obra de Terceiros</t>
        </is>
      </c>
    </row>
    <row r="769" ht="15.75" customHeight="1">
      <c r="A769" s="10">
        <f>COUNTIFS($B$2:$B$996,B769)</f>
        <v/>
      </c>
      <c r="B769" s="10" t="inlineStr">
        <is>
          <t>Forro Removível - Material e Mão de Obra</t>
        </is>
      </c>
      <c r="C769" s="11" t="inlineStr">
        <is>
          <t>M2</t>
        </is>
      </c>
      <c r="D769" s="2162">
        <f>E769*$D$1</f>
        <v/>
      </c>
      <c r="E769" s="2162" t="n">
        <v>219.2004611014502</v>
      </c>
      <c r="F769" s="2162" t="inlineStr">
        <is>
          <t>Serviço Terceiros</t>
        </is>
      </c>
      <c r="G769" s="2162" t="inlineStr">
        <is>
          <t>Serviço Terceiros</t>
        </is>
      </c>
      <c r="H769" s="2162" t="n"/>
      <c r="I769" s="4" t="inlineStr">
        <is>
          <t>Mão de obra de Terceiros</t>
        </is>
      </c>
    </row>
    <row r="770" ht="15.75" customHeight="1">
      <c r="A770" s="10">
        <f>COUNTIFS($B$2:$B$996,B770)</f>
        <v/>
      </c>
      <c r="B770" s="10" t="inlineStr">
        <is>
          <t>Forro de gesso mineral em tetos - Material e Mão de Obra</t>
        </is>
      </c>
      <c r="C770" s="11" t="inlineStr">
        <is>
          <t>M2</t>
        </is>
      </c>
      <c r="D770" s="2162">
        <f>E770*$D$1</f>
        <v/>
      </c>
      <c r="E770" s="2162" t="n">
        <v>55</v>
      </c>
      <c r="F770" s="2162" t="inlineStr">
        <is>
          <t>Serviço Terceiros</t>
        </is>
      </c>
      <c r="G770" s="2162" t="inlineStr">
        <is>
          <t>Serviço Terceiros</t>
        </is>
      </c>
      <c r="H770" s="2162" t="n"/>
      <c r="I770" s="4" t="inlineStr">
        <is>
          <t>Mão de obra de Terceiros</t>
        </is>
      </c>
    </row>
    <row r="771" ht="15.75" customHeight="1">
      <c r="A771" s="10">
        <f>COUNTIFS($B$2:$B$996,B771)</f>
        <v/>
      </c>
      <c r="B771" s="10" t="inlineStr">
        <is>
          <t>Forro de MDF Liso  - Material e Mão de Obra</t>
        </is>
      </c>
      <c r="C771" s="11" t="inlineStr">
        <is>
          <t>M2</t>
        </is>
      </c>
      <c r="D771" s="2162">
        <f>E771*$D$1</f>
        <v/>
      </c>
      <c r="E771" s="2162" t="n">
        <v>300</v>
      </c>
      <c r="F771" s="2162" t="inlineStr">
        <is>
          <t>Serviço Terceiros</t>
        </is>
      </c>
      <c r="G771" s="2162" t="inlineStr">
        <is>
          <t>Serviço Terceiros</t>
        </is>
      </c>
      <c r="H771" s="2162" t="n"/>
      <c r="I771" s="4" t="inlineStr">
        <is>
          <t>Mão de obra de Terceiros</t>
        </is>
      </c>
    </row>
    <row r="772" ht="15.75" customHeight="1">
      <c r="A772" s="10">
        <f>COUNTIFS($B$2:$B$996,B772)</f>
        <v/>
      </c>
      <c r="B772" s="10" t="inlineStr">
        <is>
          <t>Forro de MDF Liso e pintura laca verde - Material e Mão de Obra - incluso estrutura metálica + mdf 15mm + peças em CNC + colagem e fixação + massa + lixamento + pintura laca verde</t>
        </is>
      </c>
      <c r="C772" s="11" t="inlineStr">
        <is>
          <t>M2</t>
        </is>
      </c>
      <c r="D772" s="2162">
        <f>E772*$D$1</f>
        <v/>
      </c>
      <c r="E772" s="2162" t="n">
        <v>360</v>
      </c>
      <c r="F772" s="2162" t="inlineStr">
        <is>
          <t>Serviço Terceiros</t>
        </is>
      </c>
      <c r="G772" s="2162" t="inlineStr">
        <is>
          <t>Serviço Terceiros</t>
        </is>
      </c>
      <c r="H772" s="2162" t="n"/>
      <c r="I772" s="4" t="inlineStr">
        <is>
          <t>Mão de obra de Terceiros</t>
        </is>
      </c>
    </row>
    <row r="773" ht="15.75" customHeight="1">
      <c r="A773" s="10">
        <f>COUNTIFS($B$2:$B$996,B773)</f>
        <v/>
      </c>
      <c r="B773" s="10" t="inlineStr">
        <is>
          <t>Forro de MDF Alto relevo personalizado e pintura laca verde - Material e Mão de Obra - peças em CNC + montagem modular + pintura laca verde em multiplas faces</t>
        </is>
      </c>
      <c r="C773" s="11" t="inlineStr">
        <is>
          <t>M2</t>
        </is>
      </c>
      <c r="D773" s="2162">
        <f>E773*$D$1</f>
        <v/>
      </c>
      <c r="E773" s="2162" t="n">
        <v>600</v>
      </c>
      <c r="F773" s="2162" t="inlineStr">
        <is>
          <t>Serviço Terceiros</t>
        </is>
      </c>
      <c r="G773" s="2162" t="inlineStr">
        <is>
          <t>Serviço Terceiros</t>
        </is>
      </c>
      <c r="H773" s="2162" t="n"/>
      <c r="I773" s="4" t="inlineStr">
        <is>
          <t>Mão de obra de Terceiros</t>
        </is>
      </c>
    </row>
    <row r="774" ht="15.75" customHeight="1">
      <c r="A774" s="10">
        <f>COUNTIFS($B$2:$B$996,B774)</f>
        <v/>
      </c>
      <c r="B774" s="10" t="inlineStr">
        <is>
          <t>Forro de MDF Régua e pintura azul - Material e Mão de Obra - Forro MDF em régua</t>
        </is>
      </c>
      <c r="C774" s="11" t="inlineStr">
        <is>
          <t>M2</t>
        </is>
      </c>
      <c r="D774" s="2162">
        <f>E774*$D$1</f>
        <v/>
      </c>
      <c r="E774" s="2162" t="n">
        <v>350</v>
      </c>
      <c r="F774" s="2162" t="inlineStr">
        <is>
          <t>Serviço Terceiros</t>
        </is>
      </c>
      <c r="G774" s="2162" t="inlineStr">
        <is>
          <t>Serviço Terceiros</t>
        </is>
      </c>
      <c r="H774" s="2162" t="n"/>
      <c r="I774" s="4" t="inlineStr">
        <is>
          <t>Mão de obra de Terceiros</t>
        </is>
      </c>
    </row>
    <row r="775" ht="15.75" customHeight="1">
      <c r="A775" s="10">
        <f>COUNTIFS($B$2:$B$996,B775)</f>
        <v/>
      </c>
      <c r="B775" s="10" t="inlineStr">
        <is>
          <t>Nuvens em MDF em alto relevo personalizado e pintura azul - Material e Mão de Obra - + peças recortadas em CNC + 2 tipologias de nuvens + pintura PU em azul + montagem suspensa</t>
        </is>
      </c>
      <c r="C775" s="11" t="inlineStr">
        <is>
          <t>M2</t>
        </is>
      </c>
      <c r="D775" s="2162">
        <f>E775*$D$1</f>
        <v/>
      </c>
      <c r="E775" s="2162" t="n">
        <v>320</v>
      </c>
      <c r="F775" s="2162" t="inlineStr">
        <is>
          <t>Serviço Terceiros</t>
        </is>
      </c>
      <c r="G775" s="2162" t="inlineStr">
        <is>
          <t>Serviço Terceiros</t>
        </is>
      </c>
      <c r="H775" s="2162" t="n"/>
      <c r="I775" s="4" t="inlineStr">
        <is>
          <t>Mão de obra de Terceiros</t>
        </is>
      </c>
    </row>
    <row r="776" ht="15.75" customHeight="1">
      <c r="A776" s="10">
        <f>COUNTIFS($B$2:$B$996,B776)</f>
        <v/>
      </c>
      <c r="B776" s="10" t="inlineStr">
        <is>
          <t>Forro de gesso corrido - Material e Mão de Obra</t>
        </is>
      </c>
      <c r="C776" s="11" t="inlineStr">
        <is>
          <t>M2</t>
        </is>
      </c>
      <c r="D776" s="2162">
        <f>E776*$D$1</f>
        <v/>
      </c>
      <c r="E776" s="2162" t="n">
        <v>60</v>
      </c>
      <c r="F776" s="2162" t="inlineStr">
        <is>
          <t>Serviço Terceiros</t>
        </is>
      </c>
      <c r="G776" s="2162" t="inlineStr">
        <is>
          <t>Serviço Terceiros</t>
        </is>
      </c>
      <c r="H776" s="2162" t="n"/>
      <c r="I776" s="4" t="inlineStr">
        <is>
          <t>Mão de obra de Terceiros</t>
        </is>
      </c>
    </row>
    <row r="777" ht="15.75" customHeight="1">
      <c r="A777" s="10">
        <f>COUNTIFS($B$2:$B$996,B777)</f>
        <v/>
      </c>
      <c r="B777" s="10" t="inlineStr">
        <is>
          <t>Forro de placa cimenticia - Material e Mão de Obra</t>
        </is>
      </c>
      <c r="C777" s="11" t="inlineStr">
        <is>
          <t>M2</t>
        </is>
      </c>
      <c r="D777" s="2162">
        <f>E777*$D$1</f>
        <v/>
      </c>
      <c r="E777" s="2162" t="n">
        <v>275</v>
      </c>
      <c r="F777" s="2162" t="inlineStr">
        <is>
          <t>Serviço Terceiros</t>
        </is>
      </c>
      <c r="G777" s="2162" t="inlineStr">
        <is>
          <t>Serviço Terceiros</t>
        </is>
      </c>
      <c r="H777" s="2162" t="n"/>
      <c r="I777" s="4" t="inlineStr">
        <is>
          <t>Mão de obra de Terceiros</t>
        </is>
      </c>
    </row>
    <row r="778" ht="15.75" customHeight="1">
      <c r="A778" s="10">
        <f>COUNTIFS($B$2:$B$996,B778)</f>
        <v/>
      </c>
      <c r="B778" s="10" t="inlineStr">
        <is>
          <t>Negativo de forro de gesso mineral</t>
        </is>
      </c>
      <c r="C778" s="11" t="inlineStr">
        <is>
          <t>M2</t>
        </is>
      </c>
      <c r="D778" s="2162">
        <f>E778*$D$1</f>
        <v/>
      </c>
      <c r="E778" s="2162" t="n">
        <v>35</v>
      </c>
      <c r="F778" s="2162" t="inlineStr">
        <is>
          <t>Serviço Terceiros</t>
        </is>
      </c>
      <c r="G778" s="2162" t="inlineStr">
        <is>
          <t>Serviço Terceiros</t>
        </is>
      </c>
      <c r="H778" s="2162" t="n"/>
      <c r="I778" s="4" t="inlineStr">
        <is>
          <t>Mão de obra de Terceiros</t>
        </is>
      </c>
    </row>
    <row r="779" ht="15.75" customHeight="1">
      <c r="A779" s="10">
        <f>COUNTIFS($B$2:$B$996,B779)</f>
        <v/>
      </c>
      <c r="B779" s="10" t="inlineStr">
        <is>
          <t>Negativo de forro de gesso acartonado - área umida</t>
        </is>
      </c>
      <c r="C779" s="11" t="inlineStr">
        <is>
          <t>M2</t>
        </is>
      </c>
      <c r="D779" s="2162">
        <f>E779*$D$1</f>
        <v/>
      </c>
      <c r="E779" s="2162" t="n">
        <v>36</v>
      </c>
      <c r="F779" s="2162" t="inlineStr">
        <is>
          <t>Serviço Terceiros</t>
        </is>
      </c>
      <c r="G779" s="2162" t="inlineStr">
        <is>
          <t>Serviço Terceiros</t>
        </is>
      </c>
      <c r="H779" s="2162" t="n"/>
      <c r="I779" s="4" t="inlineStr">
        <is>
          <t>Mão de obra de Terceiros</t>
        </is>
      </c>
    </row>
    <row r="780" ht="15.75" customHeight="1">
      <c r="A780" s="10">
        <f>COUNTIFS($B$2:$B$996,B780)</f>
        <v/>
      </c>
      <c r="B780" s="10" t="inlineStr">
        <is>
          <t>Negativo de forro de gesso acartonado - área seca</t>
        </is>
      </c>
      <c r="C780" s="11" t="inlineStr">
        <is>
          <t>M2</t>
        </is>
      </c>
      <c r="D780" s="2162">
        <f>E780*$D$1</f>
        <v/>
      </c>
      <c r="E780" s="2162" t="n">
        <v>36</v>
      </c>
      <c r="F780" s="2162" t="inlineStr">
        <is>
          <t>Serviço Terceiros</t>
        </is>
      </c>
      <c r="G780" s="2162" t="inlineStr">
        <is>
          <t>Serviço Terceiros</t>
        </is>
      </c>
      <c r="H780" s="2162" t="n"/>
      <c r="I780" s="4" t="inlineStr">
        <is>
          <t>Mão de obra de Terceiros</t>
        </is>
      </c>
    </row>
    <row r="781" ht="15.75" customHeight="1">
      <c r="A781" s="10">
        <f>COUNTIFS($B$2:$B$996,B781)</f>
        <v/>
      </c>
      <c r="B781" s="10" t="inlineStr">
        <is>
          <t>Revestimento de piso carpet - Material e Mão de Obra</t>
        </is>
      </c>
      <c r="C781" s="11" t="inlineStr">
        <is>
          <t>M2</t>
        </is>
      </c>
      <c r="D781" s="2162">
        <f>E781*$D$1</f>
        <v/>
      </c>
      <c r="E781" s="2162">
        <f>5687.82/16.6</f>
        <v/>
      </c>
      <c r="F781" s="2162" t="inlineStr">
        <is>
          <t>Serviço Terceiros</t>
        </is>
      </c>
      <c r="G781" s="2162" t="inlineStr">
        <is>
          <t>Serviço Terceiros</t>
        </is>
      </c>
      <c r="H781" s="2162" t="n"/>
      <c r="I781" s="4" t="inlineStr">
        <is>
          <t>Mão de obra de Terceiros</t>
        </is>
      </c>
    </row>
    <row r="782" ht="15.75" customHeight="1">
      <c r="A782" s="10">
        <f>COUNTIFS($B$2:$B$996,B782)</f>
        <v/>
      </c>
      <c r="B782" s="10" t="inlineStr">
        <is>
          <t>Instalação de piso emborrachado</t>
        </is>
      </c>
      <c r="C782" s="11" t="inlineStr">
        <is>
          <t>M2</t>
        </is>
      </c>
      <c r="D782" s="2162">
        <f>E782*$D$1</f>
        <v/>
      </c>
      <c r="E782" s="2162" t="n">
        <v>25.5</v>
      </c>
      <c r="F782" s="2162" t="inlineStr">
        <is>
          <t>Serviço Terceiros</t>
        </is>
      </c>
      <c r="G782" s="2162" t="inlineStr">
        <is>
          <t>Serviço Terceiros</t>
        </is>
      </c>
      <c r="H782" s="2162" t="n"/>
      <c r="I782" s="4" t="inlineStr">
        <is>
          <t>Mão de obra de Terceiros</t>
        </is>
      </c>
    </row>
    <row r="783" ht="15.75" customHeight="1">
      <c r="A783" s="10">
        <f>COUNTIFS($B$2:$B$996,B783)</f>
        <v/>
      </c>
      <c r="B783" s="10" t="inlineStr">
        <is>
          <t>Instalação de piso vinilico</t>
        </is>
      </c>
      <c r="C783" s="11" t="inlineStr">
        <is>
          <t>M2</t>
        </is>
      </c>
      <c r="D783" s="2162">
        <f>E783*$D$1</f>
        <v/>
      </c>
      <c r="E783" s="2162" t="n">
        <v>25.5</v>
      </c>
      <c r="F783" s="2162" t="inlineStr">
        <is>
          <t>Serviço Terceiros</t>
        </is>
      </c>
      <c r="G783" s="2162" t="inlineStr">
        <is>
          <t>Serviço Terceiros</t>
        </is>
      </c>
      <c r="H783" s="2162" t="n"/>
      <c r="I783" s="4" t="inlineStr">
        <is>
          <t>Mão de obra de Terceiros</t>
        </is>
      </c>
    </row>
    <row r="784" ht="15.75" customHeight="1">
      <c r="A784" s="10">
        <f>COUNTIFS($B$2:$B$996,B784)</f>
        <v/>
      </c>
      <c r="B784" s="10" t="inlineStr">
        <is>
          <t>Instalação de Churrasqueiras</t>
        </is>
      </c>
      <c r="C784" s="11" t="inlineStr">
        <is>
          <t>UN</t>
        </is>
      </c>
      <c r="D784" s="2162">
        <f>E784*$D$1</f>
        <v/>
      </c>
      <c r="E784" s="2162" t="n">
        <v>400</v>
      </c>
      <c r="F784" s="2162" t="inlineStr">
        <is>
          <t>Serviço Terceiros</t>
        </is>
      </c>
      <c r="G784" s="2162" t="inlineStr">
        <is>
          <t>Serviço Terceiros</t>
        </is>
      </c>
      <c r="H784" s="2162" t="n"/>
      <c r="I784" s="4" t="inlineStr">
        <is>
          <t>Mão de obra de Terceiros</t>
        </is>
      </c>
    </row>
    <row r="785" ht="15.75" customHeight="1">
      <c r="A785" s="10">
        <f>COUNTIFS($B$2:$B$996,B785)</f>
        <v/>
      </c>
      <c r="B785" s="10" t="inlineStr">
        <is>
          <t>Mão de obra aplicação de gesso liso em teto</t>
        </is>
      </c>
      <c r="C785" s="11" t="inlineStr">
        <is>
          <t>M2</t>
        </is>
      </c>
      <c r="D785" s="2162">
        <f>E785*$D$1</f>
        <v/>
      </c>
      <c r="E785" s="2162" t="n">
        <v>25</v>
      </c>
      <c r="F785" s="2162" t="inlineStr">
        <is>
          <t>Serviço Terceiros</t>
        </is>
      </c>
      <c r="G785" s="2162" t="inlineStr">
        <is>
          <t>Serviço Terceiros</t>
        </is>
      </c>
      <c r="H785" s="2162" t="n"/>
      <c r="I785" s="4" t="inlineStr">
        <is>
          <t>Mão de obra de Terceiros</t>
        </is>
      </c>
    </row>
    <row r="786" ht="15.75" customHeight="1">
      <c r="A786" s="10">
        <f>COUNTIFS($B$2:$B$996,B786)</f>
        <v/>
      </c>
      <c r="B786" s="10" t="inlineStr">
        <is>
          <t>Mão de obra coberturas</t>
        </is>
      </c>
      <c r="C786" s="11" t="inlineStr">
        <is>
          <t>M2</t>
        </is>
      </c>
      <c r="D786" s="2162">
        <f>E786*$D$1</f>
        <v/>
      </c>
      <c r="E786" s="2162" t="n">
        <v>220</v>
      </c>
      <c r="F786" s="2162" t="inlineStr">
        <is>
          <t>Serviço Terceiros</t>
        </is>
      </c>
      <c r="G786" s="2162" t="inlineStr">
        <is>
          <t>Serviço Terceiros</t>
        </is>
      </c>
      <c r="H786" s="2162" t="n"/>
      <c r="I786" s="4" t="inlineStr">
        <is>
          <t>Mão de obra de Terceiros</t>
        </is>
      </c>
    </row>
    <row r="787" ht="15.75" customHeight="1">
      <c r="A787" s="10">
        <f>COUNTIFS($B$2:$B$996,B787)</f>
        <v/>
      </c>
      <c r="B787" s="10" t="inlineStr">
        <is>
          <t>Mão de obra execução Piso drenantes</t>
        </is>
      </c>
      <c r="C787" s="11" t="inlineStr">
        <is>
          <t>UN</t>
        </is>
      </c>
      <c r="D787" s="2162">
        <f>E787*$D$1</f>
        <v/>
      </c>
      <c r="E787" s="2162" t="n">
        <v>25</v>
      </c>
      <c r="F787" s="2162" t="inlineStr">
        <is>
          <t>Serviço Terceiros</t>
        </is>
      </c>
      <c r="G787" s="2162" t="inlineStr">
        <is>
          <t>Serviço Terceiros</t>
        </is>
      </c>
      <c r="H787" s="2162" t="n"/>
      <c r="I787" s="4" t="inlineStr">
        <is>
          <t>Mão de obra de Terceiros</t>
        </is>
      </c>
    </row>
    <row r="788" ht="15.75" customHeight="1">
      <c r="A788" s="10">
        <f>COUNTIFS($B$2:$B$996,B788)</f>
        <v/>
      </c>
      <c r="B788" s="10" t="inlineStr">
        <is>
          <t>Mão de obra de rodapé Pedra</t>
        </is>
      </c>
      <c r="C788" s="11" t="inlineStr">
        <is>
          <t>M</t>
        </is>
      </c>
      <c r="D788" s="2162">
        <f>E788*$D$1</f>
        <v/>
      </c>
      <c r="E788" s="2162" t="n">
        <v>24</v>
      </c>
      <c r="F788" s="2162" t="inlineStr">
        <is>
          <t>Serviço Terceiros</t>
        </is>
      </c>
      <c r="G788" s="2162" t="inlineStr">
        <is>
          <t>Serviço Terceiros</t>
        </is>
      </c>
      <c r="H788" s="2162" t="n"/>
      <c r="I788" s="4" t="inlineStr">
        <is>
          <t>Mão de obra de Terceiros</t>
        </is>
      </c>
    </row>
    <row r="789" ht="15.75" customHeight="1">
      <c r="A789" s="10">
        <f>COUNTIFS($B$2:$B$996,B789)</f>
        <v/>
      </c>
      <c r="B789" s="10" t="inlineStr">
        <is>
          <t>Mão de obra de rodapé Pedra Natural</t>
        </is>
      </c>
      <c r="C789" s="11" t="inlineStr">
        <is>
          <t>UN</t>
        </is>
      </c>
      <c r="D789" s="2162">
        <f>E789*$D$1</f>
        <v/>
      </c>
      <c r="E789" s="2162" t="n">
        <v>22</v>
      </c>
      <c r="F789" s="2162" t="inlineStr">
        <is>
          <t>Serviço Terceiros</t>
        </is>
      </c>
      <c r="G789" s="2162" t="inlineStr">
        <is>
          <t>Serviço Terceiros</t>
        </is>
      </c>
      <c r="H789" s="2162" t="n"/>
      <c r="I789" s="4" t="inlineStr">
        <is>
          <t>Mão de obra de Terceiros</t>
        </is>
      </c>
    </row>
    <row r="790" ht="15.75" customHeight="1">
      <c r="A790" s="10">
        <f>COUNTIFS($B$2:$B$996,B790)</f>
        <v/>
      </c>
      <c r="B790" s="10" t="inlineStr">
        <is>
          <t>Mão de obra de colocação de soleira em porcelanato</t>
        </is>
      </c>
      <c r="C790" s="11" t="inlineStr">
        <is>
          <t>UN</t>
        </is>
      </c>
      <c r="D790" s="2162">
        <f>E790*$D$1</f>
        <v/>
      </c>
      <c r="E790" s="2162" t="n">
        <v>50</v>
      </c>
      <c r="F790" s="2162" t="inlineStr">
        <is>
          <t>Serviço Terceiros</t>
        </is>
      </c>
      <c r="G790" s="2162" t="inlineStr">
        <is>
          <t>Serviço Terceiros</t>
        </is>
      </c>
      <c r="H790" s="2162" t="n"/>
      <c r="I790" s="4" t="inlineStr">
        <is>
          <t>Mão de obra de Terceiros</t>
        </is>
      </c>
    </row>
    <row r="791" ht="15.75" customHeight="1">
      <c r="A791" s="10">
        <f>COUNTIFS($B$2:$B$996,B791)</f>
        <v/>
      </c>
      <c r="B791" s="10" t="inlineStr">
        <is>
          <t>Mão de obra de colocação de soleira em granito</t>
        </is>
      </c>
      <c r="C791" s="11" t="inlineStr">
        <is>
          <t>UN</t>
        </is>
      </c>
      <c r="D791" s="2162">
        <f>E791*$D$1</f>
        <v/>
      </c>
      <c r="E791" s="2162" t="n">
        <v>22</v>
      </c>
      <c r="F791" s="2162" t="inlineStr">
        <is>
          <t>Serviço Terceiros</t>
        </is>
      </c>
      <c r="G791" s="2162" t="inlineStr">
        <is>
          <t>Serviço Terceiros</t>
        </is>
      </c>
      <c r="H791" s="2162" t="n"/>
      <c r="I791" s="4" t="inlineStr">
        <is>
          <t>Mão de obra de Terceiros</t>
        </is>
      </c>
    </row>
    <row r="792" ht="15.75" customHeight="1">
      <c r="A792" s="10">
        <f>COUNTIFS($B$2:$B$996,B792)</f>
        <v/>
      </c>
      <c r="B792" s="10" t="inlineStr">
        <is>
          <t>Mão de obra de colocação de soleira em pedra natural</t>
        </is>
      </c>
      <c r="C792" s="11" t="inlineStr">
        <is>
          <t>UN</t>
        </is>
      </c>
      <c r="D792" s="2162">
        <f>E792*$D$1</f>
        <v/>
      </c>
      <c r="E792" s="2162" t="n">
        <v>22</v>
      </c>
      <c r="F792" s="2162" t="inlineStr">
        <is>
          <t>Serviço Terceiros</t>
        </is>
      </c>
      <c r="G792" s="2162" t="inlineStr">
        <is>
          <t>Serviço Terceiros</t>
        </is>
      </c>
      <c r="H792" s="2162" t="n"/>
      <c r="I792" s="4" t="inlineStr">
        <is>
          <t>Mão de obra de Terceiros</t>
        </is>
      </c>
    </row>
    <row r="793" ht="15.75" customHeight="1">
      <c r="A793" s="10">
        <f>COUNTIFS($B$2:$B$996,B793)</f>
        <v/>
      </c>
      <c r="B793" s="10" t="inlineStr">
        <is>
          <t>Mão de obra para pintura epóxi em paredes internas, 2 demãos</t>
        </is>
      </c>
      <c r="C793" s="11" t="inlineStr">
        <is>
          <t>M2</t>
        </is>
      </c>
      <c r="D793" s="2162">
        <f>E793*$D$1</f>
        <v/>
      </c>
      <c r="E793" s="2162" t="n">
        <v>42</v>
      </c>
      <c r="F793" s="2162" t="inlineStr">
        <is>
          <t>Serviço Terceiros</t>
        </is>
      </c>
      <c r="G793" s="2162" t="inlineStr">
        <is>
          <t>Serviço Terceiros</t>
        </is>
      </c>
      <c r="H793" s="2162" t="n"/>
      <c r="I793" s="4" t="inlineStr">
        <is>
          <t>Mão de obra de Terceiros</t>
        </is>
      </c>
    </row>
    <row r="794" ht="15.75" customHeight="1">
      <c r="A794" s="10">
        <f>COUNTIFS($B$2:$B$996,B794)</f>
        <v/>
      </c>
      <c r="B794" s="10" t="inlineStr">
        <is>
          <t>Mão de obra de enchimento de piso</t>
        </is>
      </c>
      <c r="C794" s="11" t="inlineStr">
        <is>
          <t>M2</t>
        </is>
      </c>
      <c r="D794" s="2162">
        <f>E794*$D$1</f>
        <v/>
      </c>
      <c r="E794" s="2162" t="n">
        <v>16.75</v>
      </c>
      <c r="F794" s="2162" t="inlineStr">
        <is>
          <t>Serviço Terceiros</t>
        </is>
      </c>
      <c r="G794" s="2162" t="inlineStr">
        <is>
          <t>Serviço Terceiros</t>
        </is>
      </c>
      <c r="H794" s="2162" t="n"/>
      <c r="I794" s="4" t="inlineStr">
        <is>
          <t>Mão de obra de Terceiros</t>
        </is>
      </c>
    </row>
    <row r="795" ht="15.75" customHeight="1">
      <c r="A795" s="10">
        <f>COUNTIFS($B$2:$B$996,B795)</f>
        <v/>
      </c>
      <c r="B795" s="10" t="inlineStr">
        <is>
          <t>Mão de obra de instalação de deck de madeira</t>
        </is>
      </c>
      <c r="C795" s="11" t="inlineStr">
        <is>
          <t>M2</t>
        </is>
      </c>
      <c r="D795" s="2162">
        <f>E795*$D$1</f>
        <v/>
      </c>
      <c r="E795" s="2162" t="n">
        <v>210</v>
      </c>
      <c r="F795" s="2162" t="inlineStr">
        <is>
          <t>Serviço Terceiros</t>
        </is>
      </c>
      <c r="G795" s="2162" t="inlineStr">
        <is>
          <t>Serviço Terceiros</t>
        </is>
      </c>
      <c r="H795" s="2162" t="n"/>
      <c r="I795" s="4" t="inlineStr">
        <is>
          <t>Mão de obra de Terceiros</t>
        </is>
      </c>
    </row>
    <row r="796" ht="15.75" customHeight="1">
      <c r="A796" s="10">
        <f>COUNTIFS($B$2:$B$996,B796)</f>
        <v/>
      </c>
      <c r="B796" s="10" t="inlineStr">
        <is>
          <t>Mão de obra de rodapé Poliestireno</t>
        </is>
      </c>
      <c r="C796" s="11" t="inlineStr">
        <is>
          <t>UN</t>
        </is>
      </c>
      <c r="D796" s="2162">
        <f>E796*$D$1</f>
        <v/>
      </c>
      <c r="E796" s="2162" t="n">
        <v>28</v>
      </c>
      <c r="F796" s="2162" t="inlineStr">
        <is>
          <t>Serviço Terceiros</t>
        </is>
      </c>
      <c r="G796" s="2162" t="inlineStr">
        <is>
          <t>Serviço Terceiros</t>
        </is>
      </c>
      <c r="H796" s="2162" t="n"/>
      <c r="I796" s="4" t="inlineStr">
        <is>
          <t>Mão de obra de Terceiros</t>
        </is>
      </c>
    </row>
    <row r="797" ht="15.75" customHeight="1">
      <c r="A797" s="10">
        <f>COUNTIFS($B$2:$B$996,B797)</f>
        <v/>
      </c>
      <c r="B797" s="10" t="inlineStr">
        <is>
          <t>Mão de obra de rodapé Porcelanato</t>
        </is>
      </c>
      <c r="C797" s="11" t="inlineStr">
        <is>
          <t>UN</t>
        </is>
      </c>
      <c r="D797" s="2162">
        <f>E797*$D$1</f>
        <v/>
      </c>
      <c r="E797" s="2162" t="n">
        <v>24</v>
      </c>
      <c r="F797" s="2162" t="inlineStr">
        <is>
          <t>Serviço Terceiros</t>
        </is>
      </c>
      <c r="G797" s="2162" t="inlineStr">
        <is>
          <t>Serviço Terceiros</t>
        </is>
      </c>
      <c r="H797" s="2162" t="inlineStr">
        <is>
          <t>Valor encarrecido pois o piso é grande e recortado do piso</t>
        </is>
      </c>
      <c r="I797" s="4" t="inlineStr">
        <is>
          <t>Mão de obra de Terceiros</t>
        </is>
      </c>
    </row>
    <row r="798" ht="15.75" customHeight="1">
      <c r="A798" s="10">
        <f>COUNTIFS($B$2:$B$996,B798)</f>
        <v/>
      </c>
      <c r="B798" s="10" t="inlineStr">
        <is>
          <t>Mão de obra de rodapé Madeira/MDF</t>
        </is>
      </c>
      <c r="C798" s="11" t="inlineStr">
        <is>
          <t>UN</t>
        </is>
      </c>
      <c r="D798" s="2162">
        <f>E798*$D$1</f>
        <v/>
      </c>
      <c r="E798" s="2162" t="n">
        <v>24.5</v>
      </c>
      <c r="F798" s="2162" t="inlineStr">
        <is>
          <t>Serviço Terceiros</t>
        </is>
      </c>
      <c r="G798" s="2162" t="inlineStr">
        <is>
          <t>Serviço Terceiros</t>
        </is>
      </c>
      <c r="H798" s="2162" t="n"/>
      <c r="I798" s="4" t="inlineStr">
        <is>
          <t>Mão de obra de Terceiros</t>
        </is>
      </c>
    </row>
    <row r="799" ht="15.75" customHeight="1">
      <c r="A799" s="10">
        <f>COUNTIFS($B$2:$B$996,B799)</f>
        <v/>
      </c>
      <c r="B799" s="10" t="inlineStr">
        <is>
          <t>Mão de obra de rodapé Pedra/Granito</t>
        </is>
      </c>
      <c r="C799" s="11" t="inlineStr">
        <is>
          <t>UN</t>
        </is>
      </c>
      <c r="D799" s="2162">
        <f>E799*$D$1</f>
        <v/>
      </c>
      <c r="E799" s="2162" t="n">
        <v>22</v>
      </c>
      <c r="F799" s="2162" t="inlineStr">
        <is>
          <t>Serviço Terceiros</t>
        </is>
      </c>
      <c r="G799" s="2162" t="inlineStr">
        <is>
          <t>Serviço Terceiros</t>
        </is>
      </c>
      <c r="H799" s="2162" t="n"/>
      <c r="I799" s="4" t="inlineStr">
        <is>
          <t>Mão de obra de Terceiros</t>
        </is>
      </c>
    </row>
    <row r="800" ht="15.75" customHeight="1">
      <c r="A800" s="10">
        <f>COUNTIFS($B$2:$B$996,B800)</f>
        <v/>
      </c>
      <c r="B800" s="10" t="inlineStr">
        <is>
          <t>Mão de obra estucamento de paredes</t>
        </is>
      </c>
      <c r="C800" s="11" t="inlineStr">
        <is>
          <t>M2</t>
        </is>
      </c>
      <c r="D800" s="2162">
        <f>E800*$D$1</f>
        <v/>
      </c>
      <c r="E800" s="2162" t="n">
        <v>30</v>
      </c>
      <c r="F800" s="2162" t="inlineStr">
        <is>
          <t>Serviço Terceiros</t>
        </is>
      </c>
      <c r="G800" s="2162" t="inlineStr">
        <is>
          <t>Serviço Terceiros</t>
        </is>
      </c>
      <c r="H800" s="2162" t="inlineStr">
        <is>
          <t>COTAÇÃO GESSELE</t>
        </is>
      </c>
      <c r="I800" s="4" t="inlineStr">
        <is>
          <t>Mão de obra de Terceiros</t>
        </is>
      </c>
    </row>
    <row r="801" ht="15.75" customHeight="1">
      <c r="A801" s="10">
        <f>COUNTIFS($B$2:$B$996,B801)</f>
        <v/>
      </c>
      <c r="B801" s="10" t="inlineStr">
        <is>
          <t>Mão de obra execução de contrapiso comum e Acústico</t>
        </is>
      </c>
      <c r="C801" s="11" t="inlineStr">
        <is>
          <t>M2</t>
        </is>
      </c>
      <c r="D801" s="2162">
        <f>E801*$D$1</f>
        <v/>
      </c>
      <c r="E801" s="2162" t="n">
        <v>40</v>
      </c>
      <c r="F801" s="2162" t="inlineStr">
        <is>
          <t>Serviço Terceiros</t>
        </is>
      </c>
      <c r="G801" s="2162" t="inlineStr">
        <is>
          <t>Serviço Terceiros</t>
        </is>
      </c>
      <c r="H801" s="2162" t="n"/>
      <c r="I801" s="4" t="inlineStr">
        <is>
          <t>Mão de obra de Terceiros</t>
        </is>
      </c>
    </row>
    <row r="802" ht="15.75" customHeight="1">
      <c r="A802" s="10">
        <f>COUNTIFS($B$2:$B$996,B802)</f>
        <v/>
      </c>
      <c r="B802" s="10" t="inlineStr">
        <is>
          <t>Mão de obra execução Piso de concreto polido</t>
        </is>
      </c>
      <c r="C802" s="11" t="inlineStr">
        <is>
          <t>M2</t>
        </is>
      </c>
      <c r="D802" s="2162">
        <f>E802*$D$1</f>
        <v/>
      </c>
      <c r="E802" s="2162" t="n">
        <v>40</v>
      </c>
      <c r="F802" s="2162" t="inlineStr">
        <is>
          <t>Serviço Terceiros</t>
        </is>
      </c>
      <c r="G802" s="2162" t="inlineStr">
        <is>
          <t>Serviço Terceiros</t>
        </is>
      </c>
      <c r="H802" s="2162" t="n"/>
      <c r="I802" s="4" t="inlineStr">
        <is>
          <t>Mão de obra de Terceiros</t>
        </is>
      </c>
    </row>
    <row r="803" ht="15.75" customHeight="1">
      <c r="A803" s="10">
        <f>COUNTIFS($B$2:$B$996,B803)</f>
        <v/>
      </c>
      <c r="B803" s="10" t="inlineStr">
        <is>
          <t>Mão de obra execução Piso cimentado</t>
        </is>
      </c>
      <c r="C803" s="11" t="inlineStr">
        <is>
          <t>M2</t>
        </is>
      </c>
      <c r="D803" s="2162">
        <f>E803*$D$1</f>
        <v/>
      </c>
      <c r="E803" s="2162" t="n">
        <v>40</v>
      </c>
      <c r="F803" s="2162" t="inlineStr">
        <is>
          <t>Serviço Terceiros</t>
        </is>
      </c>
      <c r="G803" s="2162" t="inlineStr">
        <is>
          <t>Serviço Terceiros</t>
        </is>
      </c>
      <c r="H803" s="2162" t="n"/>
      <c r="I803" s="4" t="inlineStr">
        <is>
          <t>Mão de obra de Terceiros</t>
        </is>
      </c>
    </row>
    <row r="804" ht="15.75" customHeight="1">
      <c r="A804" s="10">
        <f>COUNTIFS($B$2:$B$996,B804)</f>
        <v/>
      </c>
      <c r="B804" s="10" t="inlineStr">
        <is>
          <t>Mão de obra para textura em teto, 1 demão</t>
        </is>
      </c>
      <c r="C804" s="11" t="inlineStr">
        <is>
          <t>M2</t>
        </is>
      </c>
      <c r="D804" s="2162">
        <f>E804*$D$1</f>
        <v/>
      </c>
      <c r="E804" s="2162" t="n">
        <v>40</v>
      </c>
      <c r="F804" s="2162" t="inlineStr">
        <is>
          <t>Serviço Terceiros</t>
        </is>
      </c>
      <c r="G804" s="2162" t="inlineStr">
        <is>
          <t>Serviço Terceiros</t>
        </is>
      </c>
      <c r="H804" s="2162" t="n"/>
      <c r="I804" s="4" t="inlineStr">
        <is>
          <t>Mão de obra de Terceiros</t>
        </is>
      </c>
    </row>
    <row r="805" ht="15.75" customHeight="1">
      <c r="A805" s="10">
        <f>COUNTIFS($B$2:$B$996,B805)</f>
        <v/>
      </c>
      <c r="B805" s="10" t="inlineStr">
        <is>
          <t>Mão de obra para pintura em pisos , 2 demãos</t>
        </is>
      </c>
      <c r="C805" s="11" t="inlineStr">
        <is>
          <t>M2</t>
        </is>
      </c>
      <c r="D805" s="2162">
        <f>E805*$D$1</f>
        <v/>
      </c>
      <c r="E805" s="2162" t="n">
        <v>41</v>
      </c>
      <c r="F805" s="2162" t="inlineStr">
        <is>
          <t>Serviço Terceiros</t>
        </is>
      </c>
      <c r="G805" s="2162" t="inlineStr">
        <is>
          <t>Serviço Terceiros</t>
        </is>
      </c>
      <c r="H805" s="2162" t="n"/>
      <c r="I805" s="4" t="inlineStr">
        <is>
          <t>Mão de obra de Terceiros</t>
        </is>
      </c>
    </row>
    <row r="806" ht="15.75" customHeight="1">
      <c r="A806" s="10">
        <f>COUNTIFS($B$2:$B$996,B806)</f>
        <v/>
      </c>
      <c r="B806" s="10" t="inlineStr">
        <is>
          <t>Mão de obra para pintura em rodapés, 3 demãos</t>
        </is>
      </c>
      <c r="C806" s="11" t="inlineStr">
        <is>
          <t>M2</t>
        </is>
      </c>
      <c r="D806" s="2162">
        <f>E806*$D$1</f>
        <v/>
      </c>
      <c r="E806" s="2162" t="n">
        <v>55</v>
      </c>
      <c r="F806" s="2162" t="inlineStr">
        <is>
          <t>Serviço Terceiros</t>
        </is>
      </c>
      <c r="G806" s="2162" t="inlineStr">
        <is>
          <t>Serviço Terceiros</t>
        </is>
      </c>
      <c r="H806" s="2162" t="n"/>
      <c r="I806" s="4" t="inlineStr">
        <is>
          <t>Mão de obra de Terceiros</t>
        </is>
      </c>
    </row>
    <row r="807" ht="15.75" customHeight="1">
      <c r="A807" s="10">
        <f>COUNTIFS($B$2:$B$996,B807)</f>
        <v/>
      </c>
      <c r="B807" s="10" t="inlineStr">
        <is>
          <t>Mão de obra para demarcação de vagas epoxi</t>
        </is>
      </c>
      <c r="C807" s="11" t="inlineStr">
        <is>
          <t>M2</t>
        </is>
      </c>
      <c r="D807" s="2162">
        <f>E807*$D$1</f>
        <v/>
      </c>
      <c r="E807" s="2162" t="n">
        <v>40</v>
      </c>
      <c r="F807" s="2162" t="inlineStr">
        <is>
          <t>Serviço Terceiros</t>
        </is>
      </c>
      <c r="G807" s="2162" t="inlineStr">
        <is>
          <t>Serviço Terceiros</t>
        </is>
      </c>
      <c r="H807" s="2162" t="n"/>
      <c r="I807" s="4" t="inlineStr">
        <is>
          <t>Mão de obra de Terceiros</t>
        </is>
      </c>
    </row>
    <row r="808" ht="15.75" customHeight="1">
      <c r="A808" s="10">
        <f>COUNTIFS($B$2:$B$996,B808)</f>
        <v/>
      </c>
      <c r="B808" s="10" t="inlineStr">
        <is>
          <t>Mão de obra para demarcação de vagas, 3 demãos</t>
        </is>
      </c>
      <c r="C808" s="11" t="inlineStr">
        <is>
          <t>M2</t>
        </is>
      </c>
      <c r="D808" s="2162">
        <f>E808*$D$1</f>
        <v/>
      </c>
      <c r="E808" s="2162" t="n">
        <v>20</v>
      </c>
      <c r="F808" s="2162" t="inlineStr">
        <is>
          <t>Serviço Terceiros</t>
        </is>
      </c>
      <c r="G808" s="2162" t="inlineStr">
        <is>
          <t>Serviço Terceiros</t>
        </is>
      </c>
      <c r="H808" s="2162" t="n"/>
      <c r="I808" s="4" t="inlineStr">
        <is>
          <t>Mão de obra de Terceiros</t>
        </is>
      </c>
    </row>
    <row r="809" ht="15.75" customHeight="1">
      <c r="A809" s="10">
        <f>COUNTIFS($B$2:$B$996,B809)</f>
        <v/>
      </c>
      <c r="B809" s="10" t="inlineStr">
        <is>
          <t>Mão de obra para Textura em paredes internas, 1 demãos</t>
        </is>
      </c>
      <c r="C809" s="11" t="inlineStr">
        <is>
          <t>M2</t>
        </is>
      </c>
      <c r="D809" s="2162">
        <f>E809*$D$1</f>
        <v/>
      </c>
      <c r="E809" s="2162" t="n">
        <v>40</v>
      </c>
      <c r="F809" s="2162" t="inlineStr">
        <is>
          <t>Serviço Terceiros</t>
        </is>
      </c>
      <c r="G809" s="2162" t="inlineStr">
        <is>
          <t>Serviço Terceiros</t>
        </is>
      </c>
      <c r="H809" s="2162" t="n"/>
      <c r="I809" s="4" t="inlineStr">
        <is>
          <t>Mão de obra de Terceiros</t>
        </is>
      </c>
    </row>
    <row r="810" ht="15.75" customHeight="1">
      <c r="A810" s="10">
        <f>COUNTIFS($B$2:$B$996,B810)</f>
        <v/>
      </c>
      <c r="B810" s="10" t="inlineStr">
        <is>
          <t>Mão de obra execução de estucamento em teto</t>
        </is>
      </c>
      <c r="C810" s="11" t="inlineStr">
        <is>
          <t>M2</t>
        </is>
      </c>
      <c r="D810" s="2162">
        <f>E810*$D$1</f>
        <v/>
      </c>
      <c r="E810" s="2162" t="n">
        <v>25</v>
      </c>
      <c r="F810" s="2162" t="inlineStr">
        <is>
          <t>Serviço Terceiros</t>
        </is>
      </c>
      <c r="G810" s="2162" t="inlineStr">
        <is>
          <t>Serviço Terceiros</t>
        </is>
      </c>
      <c r="H810" s="2162" t="n"/>
      <c r="I810" s="4" t="inlineStr">
        <is>
          <t>Mão de obra de Terceiros</t>
        </is>
      </c>
    </row>
    <row r="811" ht="15.75" customHeight="1">
      <c r="A811" s="10">
        <f>COUNTIFS($B$2:$B$996,B811)</f>
        <v/>
      </c>
      <c r="B811" s="10" t="inlineStr">
        <is>
          <t>Mão de obra execução de Reboco em teto</t>
        </is>
      </c>
      <c r="C811" s="11" t="inlineStr">
        <is>
          <t>M2</t>
        </is>
      </c>
      <c r="D811" s="2162">
        <f>E811*$D$1</f>
        <v/>
      </c>
      <c r="E811" s="2162" t="n">
        <v>40</v>
      </c>
      <c r="F811" s="2162" t="inlineStr">
        <is>
          <t>Serviço Terceiros</t>
        </is>
      </c>
      <c r="G811" s="2162" t="inlineStr">
        <is>
          <t>Serviço Terceiros</t>
        </is>
      </c>
      <c r="H811" s="2162" t="n"/>
      <c r="I811" s="4" t="inlineStr">
        <is>
          <t>Mão de obra de Terceiros</t>
        </is>
      </c>
    </row>
    <row r="812" ht="15.75" customHeight="1">
      <c r="A812" s="10">
        <f>COUNTIFS($B$2:$B$996,B812)</f>
        <v/>
      </c>
      <c r="B812" s="10" t="inlineStr">
        <is>
          <t>Revestimento cerâmico em tetos</t>
        </is>
      </c>
      <c r="C812" s="11" t="inlineStr">
        <is>
          <t>M2</t>
        </is>
      </c>
      <c r="D812" s="2162">
        <f>E812*$D$1</f>
        <v/>
      </c>
      <c r="E812" s="2162" t="n">
        <v>75</v>
      </c>
      <c r="F812" s="2162" t="inlineStr">
        <is>
          <t>Serviço Terceiros</t>
        </is>
      </c>
      <c r="G812" s="2162" t="inlineStr">
        <is>
          <t>Serviço Terceiros</t>
        </is>
      </c>
      <c r="H812" s="2162" t="n"/>
      <c r="I812" s="4" t="inlineStr">
        <is>
          <t>Mão de obra de Terceiros</t>
        </is>
      </c>
    </row>
    <row r="813" ht="15.75" customHeight="1">
      <c r="A813" s="10">
        <f>COUNTIFS($B$2:$B$996,B813)</f>
        <v/>
      </c>
      <c r="B813" s="10" t="inlineStr">
        <is>
          <t>Mão de obra execução Piso de concreto</t>
        </is>
      </c>
      <c r="C813" s="11" t="inlineStr">
        <is>
          <t>M2</t>
        </is>
      </c>
      <c r="D813" s="2162">
        <f>E813*$D$1</f>
        <v/>
      </c>
      <c r="E813" s="2162" t="n">
        <v>25</v>
      </c>
      <c r="F813" s="2162" t="inlineStr">
        <is>
          <t>Serviço Terceiros</t>
        </is>
      </c>
      <c r="G813" s="2162" t="inlineStr">
        <is>
          <t>Serviço Terceiros</t>
        </is>
      </c>
      <c r="H813" s="2162" t="n"/>
      <c r="I813" s="4" t="inlineStr">
        <is>
          <t>Mão de obra de Terceiros</t>
        </is>
      </c>
    </row>
    <row r="814" ht="15.75" customHeight="1">
      <c r="A814" s="10">
        <f>COUNTIFS($B$2:$B$996,B814)</f>
        <v/>
      </c>
      <c r="B814" s="10" t="inlineStr">
        <is>
          <t>Mão de obra execução regularização de Piso</t>
        </is>
      </c>
      <c r="C814" s="11" t="inlineStr">
        <is>
          <t>M2</t>
        </is>
      </c>
      <c r="D814" s="2162">
        <f>E814*$D$1</f>
        <v/>
      </c>
      <c r="E814" s="2162" t="n">
        <v>40</v>
      </c>
      <c r="F814" s="2162" t="inlineStr">
        <is>
          <t>Serviço Terceiros</t>
        </is>
      </c>
      <c r="G814" s="2162" t="inlineStr">
        <is>
          <t>Serviço Terceiros</t>
        </is>
      </c>
      <c r="H814" s="2162" t="n"/>
      <c r="I814" s="4" t="inlineStr">
        <is>
          <t>Mão de obra de Terceiros</t>
        </is>
      </c>
    </row>
    <row r="815" ht="15.75" customHeight="1">
      <c r="A815" s="10">
        <f>COUNTIFS($B$2:$B$996,B815)</f>
        <v/>
      </c>
      <c r="B815" s="10" t="inlineStr">
        <is>
          <t>Mão de obra execução de massa para Drywall em paredes</t>
        </is>
      </c>
      <c r="C815" s="11" t="inlineStr">
        <is>
          <t>UN</t>
        </is>
      </c>
      <c r="D815" s="2162">
        <f>E815*$D$1</f>
        <v/>
      </c>
      <c r="E815" s="2162" t="n">
        <v>15</v>
      </c>
      <c r="F815" s="2162" t="inlineStr">
        <is>
          <t>Serviço Terceiros</t>
        </is>
      </c>
      <c r="G815" s="2162" t="inlineStr">
        <is>
          <t>Serviço Terceiros</t>
        </is>
      </c>
      <c r="H815" s="2162" t="n"/>
      <c r="I815" s="4" t="inlineStr">
        <is>
          <t>Mão de obra de Terceiros</t>
        </is>
      </c>
    </row>
    <row r="816" ht="15.75" customHeight="1">
      <c r="A816" s="10">
        <f>COUNTIFS($B$2:$B$996,B816)</f>
        <v/>
      </c>
      <c r="B816" s="10" t="inlineStr">
        <is>
          <t>Mão de obra aplicação de papel de parede em paredes</t>
        </is>
      </c>
      <c r="C816" s="11" t="inlineStr">
        <is>
          <t>M2</t>
        </is>
      </c>
      <c r="D816" s="2162">
        <f>E816*$D$1</f>
        <v/>
      </c>
      <c r="E816" s="2162" t="n">
        <v>50</v>
      </c>
      <c r="F816" s="2162" t="inlineStr">
        <is>
          <t>Serviço Terceiros</t>
        </is>
      </c>
      <c r="G816" s="2162" t="inlineStr">
        <is>
          <t>Serviço Terceiros</t>
        </is>
      </c>
      <c r="H816" s="2162" t="n"/>
      <c r="I816" s="4" t="inlineStr">
        <is>
          <t>Mão de obra de Terceiros</t>
        </is>
      </c>
    </row>
    <row r="817" ht="15.75" customHeight="1">
      <c r="A817" s="10">
        <f>COUNTIFS($B$2:$B$996,B817)</f>
        <v/>
      </c>
      <c r="B817" s="10" t="inlineStr">
        <is>
          <t>Mão de obra execução de massa de gesso em paredes</t>
        </is>
      </c>
      <c r="C817" s="11" t="inlineStr">
        <is>
          <t>UN</t>
        </is>
      </c>
      <c r="D817" s="2162">
        <f>E817*$D$1</f>
        <v/>
      </c>
      <c r="E817" s="2162" t="n">
        <v>15</v>
      </c>
      <c r="F817" s="2162" t="inlineStr">
        <is>
          <t>Serviço Terceiros</t>
        </is>
      </c>
      <c r="G817" s="2162" t="inlineStr">
        <is>
          <t>Serviço Terceiros</t>
        </is>
      </c>
      <c r="H817" s="2162" t="n"/>
      <c r="I817" s="4" t="inlineStr">
        <is>
          <t>Mão de obra de Terceiros</t>
        </is>
      </c>
    </row>
    <row r="818" ht="15.75" customHeight="1">
      <c r="A818" s="10">
        <f>COUNTIFS($B$2:$B$996,B818)</f>
        <v/>
      </c>
      <c r="B818" s="10" t="inlineStr">
        <is>
          <t>Mão de obra execução de massa única em paredes interna, incluindo chapisco</t>
        </is>
      </c>
      <c r="C818" s="11" t="inlineStr">
        <is>
          <t>UN</t>
        </is>
      </c>
      <c r="D818" s="2162">
        <f>E818*$D$1</f>
        <v/>
      </c>
      <c r="E818" s="2162" t="n">
        <v>42</v>
      </c>
      <c r="F818" s="2162" t="inlineStr">
        <is>
          <t>Serviço Terceiros</t>
        </is>
      </c>
      <c r="G818" s="2162" t="inlineStr">
        <is>
          <t>Serviço Terceiros</t>
        </is>
      </c>
      <c r="H818" s="2162" t="inlineStr">
        <is>
          <t>COTAÇÃO GESSELE</t>
        </is>
      </c>
      <c r="I818" s="4" t="inlineStr">
        <is>
          <t>Mão de obra de Terceiros</t>
        </is>
      </c>
    </row>
    <row r="819" ht="15.75" customHeight="1">
      <c r="A819" s="10">
        <f>COUNTIFS($B$2:$B$996,B819)</f>
        <v/>
      </c>
      <c r="B819" s="10" t="inlineStr">
        <is>
          <t>Mão de obra de facahda ventilada</t>
        </is>
      </c>
      <c r="C819" s="11" t="inlineStr">
        <is>
          <t>M2</t>
        </is>
      </c>
      <c r="D819" s="2162">
        <f>E819*$D$1</f>
        <v/>
      </c>
      <c r="E819" s="2162">
        <f>18+239+20+30</f>
        <v/>
      </c>
      <c r="F819" s="2162" t="inlineStr">
        <is>
          <t>Serviço Terceiros</t>
        </is>
      </c>
      <c r="G819" s="2162" t="inlineStr">
        <is>
          <t>Serviço Terceiros</t>
        </is>
      </c>
      <c r="H819" s="2162" t="n"/>
      <c r="I819" s="4" t="inlineStr">
        <is>
          <t>Mão de obra de Terceiros</t>
        </is>
      </c>
    </row>
    <row r="820" ht="15.75" customHeight="1">
      <c r="A820" s="10">
        <f>COUNTIFS($B$2:$B$996,B820)</f>
        <v/>
      </c>
      <c r="B820" s="10" t="inlineStr">
        <is>
          <t>Mão de obra execução de piso elevado</t>
        </is>
      </c>
      <c r="C820" s="11" t="inlineStr">
        <is>
          <t>M2</t>
        </is>
      </c>
      <c r="D820" s="2162">
        <f>E820*$D$1</f>
        <v/>
      </c>
      <c r="E820" s="2162" t="n">
        <v>150</v>
      </c>
      <c r="F820" s="2162" t="inlineStr">
        <is>
          <t>Serviço Terceiros</t>
        </is>
      </c>
      <c r="G820" s="2162" t="inlineStr">
        <is>
          <t>Serviço Terceiros</t>
        </is>
      </c>
      <c r="H820" s="2162" t="n"/>
      <c r="I820" s="4" t="inlineStr">
        <is>
          <t>Mão de obra de Terceiros</t>
        </is>
      </c>
    </row>
    <row r="821" ht="15.75" customHeight="1">
      <c r="A821" s="10">
        <f>COUNTIFS($B$2:$B$996,B821)</f>
        <v/>
      </c>
      <c r="B821" s="10" t="inlineStr">
        <is>
          <t>Mão de obra execução de piso Lajota</t>
        </is>
      </c>
      <c r="C821" s="11" t="inlineStr">
        <is>
          <t>M2</t>
        </is>
      </c>
      <c r="D821" s="2162">
        <f>E821*$D$1</f>
        <v/>
      </c>
      <c r="E821" s="2162" t="n">
        <v>80</v>
      </c>
      <c r="F821" s="2162" t="inlineStr">
        <is>
          <t>Serviço Terceiros</t>
        </is>
      </c>
      <c r="G821" s="2162" t="inlineStr">
        <is>
          <t>Serviço Terceiros</t>
        </is>
      </c>
      <c r="H821" s="2162" t="n"/>
      <c r="I821" s="4" t="inlineStr">
        <is>
          <t>Mão de obra de Terceiros</t>
        </is>
      </c>
    </row>
    <row r="822" ht="15.75" customHeight="1">
      <c r="A822" s="10">
        <f>COUNTIFS($B$2:$B$996,B822)</f>
        <v/>
      </c>
      <c r="B822" s="10" t="inlineStr">
        <is>
          <t>Mão de obra para assentamento de Travertino em piso</t>
        </is>
      </c>
      <c r="C822" s="11" t="inlineStr">
        <is>
          <t>M2</t>
        </is>
      </c>
      <c r="D822" s="2162">
        <f>E822*$D$1</f>
        <v/>
      </c>
      <c r="E822" s="2162" t="n">
        <v>85</v>
      </c>
      <c r="F822" s="2162" t="inlineStr">
        <is>
          <t>Serviço Terceiros</t>
        </is>
      </c>
      <c r="G822" s="2162" t="inlineStr">
        <is>
          <t>Serviço Terceiros</t>
        </is>
      </c>
      <c r="H822" s="2162" t="n"/>
      <c r="I822" s="4" t="inlineStr">
        <is>
          <t>Mão de obra de Terceiros</t>
        </is>
      </c>
    </row>
    <row r="823" ht="15.75" customHeight="1">
      <c r="A823" s="10">
        <f>COUNTIFS($B$2:$B$996,B823)</f>
        <v/>
      </c>
      <c r="B823" s="10" t="inlineStr">
        <is>
          <t>Mão de obra para assentamento de Pedras Naturais em piso</t>
        </is>
      </c>
      <c r="C823" s="11" t="inlineStr">
        <is>
          <t>M2</t>
        </is>
      </c>
      <c r="D823" s="2162">
        <f>E823*$D$1</f>
        <v/>
      </c>
      <c r="E823" s="2162" t="n">
        <v>85</v>
      </c>
      <c r="F823" s="2162" t="inlineStr">
        <is>
          <t>Serviço Terceiros</t>
        </is>
      </c>
      <c r="G823" s="2162" t="inlineStr">
        <is>
          <t>Serviço Terceiros</t>
        </is>
      </c>
      <c r="H823" s="2162" t="n"/>
      <c r="I823" s="4" t="inlineStr">
        <is>
          <t>Mão de obra de Terceiros</t>
        </is>
      </c>
    </row>
    <row r="824" ht="15.75" customHeight="1">
      <c r="A824" s="10">
        <f>COUNTIFS($B$2:$B$996,B824)</f>
        <v/>
      </c>
      <c r="B824" s="10" t="inlineStr">
        <is>
          <t>Mão de obra execução Piso Intertravado</t>
        </is>
      </c>
      <c r="C824" s="11" t="inlineStr">
        <is>
          <t>UN</t>
        </is>
      </c>
      <c r="D824" s="2162">
        <f>E824*$D$1</f>
        <v/>
      </c>
      <c r="E824" s="2162" t="n">
        <v>25</v>
      </c>
      <c r="F824" s="2162" t="inlineStr">
        <is>
          <t>Serviço Terceiros</t>
        </is>
      </c>
      <c r="G824" s="2162" t="inlineStr">
        <is>
          <t>Serviço Terceiros</t>
        </is>
      </c>
      <c r="H824" s="2162" t="n"/>
      <c r="I824" s="4" t="inlineStr">
        <is>
          <t>Mão de obra de Terceiros</t>
        </is>
      </c>
    </row>
    <row r="825" ht="15.75" customHeight="1">
      <c r="A825" s="10">
        <f>COUNTIFS($B$2:$B$996,B825)</f>
        <v/>
      </c>
      <c r="B825" s="10" t="inlineStr">
        <is>
          <t>Mão de obra impermeabilização com emulsão Asfaltica</t>
        </is>
      </c>
      <c r="C825" s="11" t="inlineStr">
        <is>
          <t>M2</t>
        </is>
      </c>
      <c r="D825" s="2162">
        <f>E825*$D$1</f>
        <v/>
      </c>
      <c r="E825" s="2162" t="n">
        <v>28</v>
      </c>
      <c r="F825" s="2162" t="inlineStr">
        <is>
          <t>Serviço Terceiros</t>
        </is>
      </c>
      <c r="G825" s="2162" t="inlineStr">
        <is>
          <t>Serviço Terceiros</t>
        </is>
      </c>
      <c r="H825" s="2162" t="n"/>
      <c r="I825" s="4" t="inlineStr">
        <is>
          <t>Mão de obra de Terceiros</t>
        </is>
      </c>
    </row>
    <row r="826" ht="15.75" customHeight="1">
      <c r="A826" s="10">
        <f>COUNTIFS($B$2:$B$996,B826)</f>
        <v/>
      </c>
      <c r="B826" s="10" t="inlineStr">
        <is>
          <t>Mão de obra massa de gesso de paredes externas</t>
        </is>
      </c>
      <c r="C826" s="11" t="inlineStr">
        <is>
          <t>M2</t>
        </is>
      </c>
      <c r="D826" s="2162">
        <f>E826*$D$1</f>
        <v/>
      </c>
      <c r="E826" s="2162" t="n">
        <v>25</v>
      </c>
      <c r="F826" s="2162" t="inlineStr">
        <is>
          <t>Serviço Terceiros</t>
        </is>
      </c>
      <c r="G826" s="2162" t="inlineStr">
        <is>
          <t>Serviço Terceiros</t>
        </is>
      </c>
      <c r="H826" s="2162" t="n"/>
      <c r="I826" s="4" t="inlineStr">
        <is>
          <t>Mão de obra de Terceiros</t>
        </is>
      </c>
    </row>
    <row r="827" ht="15.75" customHeight="1">
      <c r="A827" s="10">
        <f>COUNTIFS($B$2:$B$996,B827)</f>
        <v/>
      </c>
      <c r="B827" s="10" t="inlineStr">
        <is>
          <t>Mão de obra para aplicação de molduras em paredes externas</t>
        </is>
      </c>
      <c r="C827" s="11" t="inlineStr">
        <is>
          <t>M2</t>
        </is>
      </c>
      <c r="D827" s="2162">
        <f>E827*$D$1</f>
        <v/>
      </c>
      <c r="E827" s="2162" t="n">
        <v>120</v>
      </c>
      <c r="F827" s="2162" t="inlineStr">
        <is>
          <t>Serviço Terceiros</t>
        </is>
      </c>
      <c r="G827" s="2162" t="inlineStr">
        <is>
          <t>Serviço Terceiros</t>
        </is>
      </c>
      <c r="H827" s="2162" t="n"/>
      <c r="I827" s="4" t="inlineStr">
        <is>
          <t>Mão de obra de Terceiros</t>
        </is>
      </c>
    </row>
    <row r="828" ht="15.75" customHeight="1">
      <c r="A828" s="10">
        <f>COUNTIFS($B$2:$B$996,B828)</f>
        <v/>
      </c>
      <c r="B828" s="10" t="inlineStr">
        <is>
          <t>Mão de obra impermeabilização com manta liquida em Fachadas</t>
        </is>
      </c>
      <c r="C828" s="11" t="inlineStr">
        <is>
          <t>UN</t>
        </is>
      </c>
      <c r="D828" s="2162">
        <f>E828*$D$1</f>
        <v/>
      </c>
      <c r="E828" s="2162" t="n">
        <v>30</v>
      </c>
      <c r="F828" s="2162" t="inlineStr">
        <is>
          <t>Serviço Terceiros</t>
        </is>
      </c>
      <c r="G828" s="2162" t="inlineStr">
        <is>
          <t>Serviço Terceiros</t>
        </is>
      </c>
      <c r="H828" s="2162" t="n"/>
      <c r="I828" s="4" t="inlineStr">
        <is>
          <t>Mão de obra de Terceiros</t>
        </is>
      </c>
    </row>
    <row r="829" ht="15.75" customHeight="1">
      <c r="A829" s="10">
        <f>COUNTIFS($B$2:$B$996,B829)</f>
        <v/>
      </c>
      <c r="B829" s="10" t="inlineStr">
        <is>
          <t>Mão de obra impermeabilização com manta liquida em peitoris</t>
        </is>
      </c>
      <c r="C829" s="11" t="inlineStr">
        <is>
          <t>UN</t>
        </is>
      </c>
      <c r="D829" s="2162">
        <f>E829*$D$1</f>
        <v/>
      </c>
      <c r="E829" s="2162" t="n">
        <v>30</v>
      </c>
      <c r="F829" s="2162" t="inlineStr">
        <is>
          <t>Serviço Terceiros</t>
        </is>
      </c>
      <c r="G829" s="2162" t="inlineStr">
        <is>
          <t>Serviço Terceiros</t>
        </is>
      </c>
      <c r="H829" s="2162" t="n"/>
      <c r="I829" s="4" t="inlineStr">
        <is>
          <t>Mão de obra de Terceiros</t>
        </is>
      </c>
    </row>
    <row r="830" ht="15.75" customHeight="1">
      <c r="A830" s="10">
        <f>COUNTIFS($B$2:$B$996,B830)</f>
        <v/>
      </c>
      <c r="B830" s="10" t="inlineStr">
        <is>
          <t>Mão de obra impermeabilização de argamassa polimérica</t>
        </is>
      </c>
      <c r="C830" s="11" t="inlineStr">
        <is>
          <t>UN</t>
        </is>
      </c>
      <c r="D830" s="2162">
        <f>E830*$D$1</f>
        <v/>
      </c>
      <c r="E830" s="2162" t="n">
        <v>30</v>
      </c>
      <c r="F830" s="2162" t="inlineStr">
        <is>
          <t>Serviço Terceiros</t>
        </is>
      </c>
      <c r="G830" s="2162" t="inlineStr">
        <is>
          <t>Serviço Terceiros</t>
        </is>
      </c>
      <c r="H830" s="2162" t="n"/>
      <c r="I830" s="4" t="inlineStr">
        <is>
          <t>Mão de obra de Terceiros</t>
        </is>
      </c>
    </row>
    <row r="831" ht="15.75" customHeight="1">
      <c r="A831" s="10">
        <f>COUNTIFS($B$2:$B$996,B831)</f>
        <v/>
      </c>
      <c r="B831" s="10" t="inlineStr">
        <is>
          <t>Mão de obra impermeabilização com membrana de polimero</t>
        </is>
      </c>
      <c r="C831" s="11" t="inlineStr">
        <is>
          <t>UN</t>
        </is>
      </c>
      <c r="D831" s="2162">
        <f>E831*$D$1</f>
        <v/>
      </c>
      <c r="E831" s="2162" t="n">
        <v>30</v>
      </c>
      <c r="F831" s="2162" t="inlineStr">
        <is>
          <t>Serviço Terceiros</t>
        </is>
      </c>
      <c r="G831" s="2162" t="inlineStr">
        <is>
          <t>Serviço Terceiros</t>
        </is>
      </c>
      <c r="H831" s="2162" t="n"/>
      <c r="I831" s="4" t="inlineStr">
        <is>
          <t>Mão de obra de Terceiros</t>
        </is>
      </c>
    </row>
    <row r="832" ht="15.75" customHeight="1">
      <c r="A832" s="10">
        <f>COUNTIFS($B$2:$B$996,B832)</f>
        <v/>
      </c>
      <c r="B832" s="10" t="inlineStr">
        <is>
          <t>Mão de obra para assentamento de Ladrilhos</t>
        </is>
      </c>
      <c r="C832" s="11" t="inlineStr">
        <is>
          <t>M2</t>
        </is>
      </c>
      <c r="D832" s="2162">
        <f>E832*$D$1</f>
        <v/>
      </c>
      <c r="E832" s="2162" t="n">
        <v>75</v>
      </c>
      <c r="F832" s="2162" t="inlineStr">
        <is>
          <t>Serviço Terceiros</t>
        </is>
      </c>
      <c r="G832" s="2162" t="inlineStr">
        <is>
          <t>Serviço Terceiros</t>
        </is>
      </c>
      <c r="H832" s="2162" t="n"/>
      <c r="I832" s="4" t="inlineStr">
        <is>
          <t>Mão de obra de Terceiros</t>
        </is>
      </c>
    </row>
    <row r="833" ht="15.75" customHeight="1">
      <c r="A833" s="10">
        <f>COUNTIFS($B$2:$B$996,B833)</f>
        <v/>
      </c>
      <c r="B833" s="10" t="inlineStr">
        <is>
          <t xml:space="preserve">Mão de obra para Sistema de vedação em drywall </t>
        </is>
      </c>
      <c r="C833" s="11" t="inlineStr">
        <is>
          <t>M2</t>
        </is>
      </c>
      <c r="D833" s="2162">
        <f>E833*$D$1</f>
        <v/>
      </c>
      <c r="E833" s="2162">
        <f>(1311885.4+1252929.229)/CPU!I2153</f>
        <v/>
      </c>
      <c r="F833" s="2162" t="inlineStr">
        <is>
          <t>Serviço Terceiros</t>
        </is>
      </c>
      <c r="G833" s="2162" t="inlineStr">
        <is>
          <t>Serviço Terceiros</t>
        </is>
      </c>
      <c r="H833" s="2162" t="n"/>
      <c r="I833" s="4" t="inlineStr">
        <is>
          <t>Mão de obra de Terceiros</t>
        </is>
      </c>
    </row>
    <row r="834" ht="15.75" customHeight="1">
      <c r="A834" s="10">
        <f>COUNTIFS($B$2:$B$996,B834)</f>
        <v/>
      </c>
      <c r="B834" s="10" t="inlineStr">
        <is>
          <t>Mão de obra impermeabilização de superfície com manta líquida</t>
        </is>
      </c>
      <c r="C834" s="11" t="inlineStr">
        <is>
          <t>UN</t>
        </is>
      </c>
      <c r="D834" s="2162">
        <f>E834*$D$1</f>
        <v/>
      </c>
      <c r="E834" s="2162" t="n">
        <v>30</v>
      </c>
      <c r="F834" s="2162" t="inlineStr">
        <is>
          <t>Serviço Terceiros</t>
        </is>
      </c>
      <c r="G834" s="2162" t="inlineStr">
        <is>
          <t>Serviço Terceiros</t>
        </is>
      </c>
      <c r="H834" s="2162" t="n"/>
      <c r="I834" s="4" t="inlineStr">
        <is>
          <t>Mão de obra de Terceiros</t>
        </is>
      </c>
    </row>
    <row r="835" ht="15.75" customHeight="1">
      <c r="A835" s="10">
        <f>COUNTIFS($B$2:$B$996,B835)</f>
        <v/>
      </c>
      <c r="B835" s="10" t="inlineStr">
        <is>
          <t>Mão de obra impermeabilização de superfície com manta asfáltica</t>
        </is>
      </c>
      <c r="C835" s="11" t="inlineStr">
        <is>
          <t>UN</t>
        </is>
      </c>
      <c r="D835" s="2162">
        <f>E835*$D$1</f>
        <v/>
      </c>
      <c r="E835" s="2162" t="n">
        <v>45</v>
      </c>
      <c r="F835" s="2162" t="inlineStr">
        <is>
          <t>Serviço Terceiros</t>
        </is>
      </c>
      <c r="G835" s="2162" t="inlineStr">
        <is>
          <t>Serviço Terceiros</t>
        </is>
      </c>
      <c r="H835" s="2162" t="n"/>
      <c r="I835" s="4" t="inlineStr">
        <is>
          <t>Mão de obra de Terceiros</t>
        </is>
      </c>
    </row>
    <row r="836" ht="15.75" customHeight="1">
      <c r="A836" s="10">
        <f>COUNTIFS($B$2:$B$996,B836)</f>
        <v/>
      </c>
      <c r="B836" s="10" t="inlineStr">
        <is>
          <t>Mão de obra impermeabilização sistema 2.1.4</t>
        </is>
      </c>
      <c r="C836" s="11" t="inlineStr">
        <is>
          <t>M2</t>
        </is>
      </c>
      <c r="D836" s="2162">
        <f>E836*$D$1</f>
        <v/>
      </c>
      <c r="E836" s="2162" t="n">
        <v>30</v>
      </c>
      <c r="F836" s="2162" t="inlineStr">
        <is>
          <t>Serviço Terceiros</t>
        </is>
      </c>
      <c r="G836" s="2162" t="inlineStr">
        <is>
          <t>Serviço Terceiros</t>
        </is>
      </c>
      <c r="H836" s="2178" t="inlineStr">
        <is>
          <t>-</t>
        </is>
      </c>
      <c r="I836" s="4" t="inlineStr">
        <is>
          <t>Mão de obra de Terceiros</t>
        </is>
      </c>
    </row>
    <row r="837" ht="15.75" customHeight="1">
      <c r="A837" s="10">
        <f>COUNTIFS($B$2:$B$996,B837)</f>
        <v/>
      </c>
      <c r="B837" s="10" t="inlineStr">
        <is>
          <t>Mão de obra impermeabilização sistema 2.5.3</t>
        </is>
      </c>
      <c r="C837" s="11" t="inlineStr">
        <is>
          <t>M2</t>
        </is>
      </c>
      <c r="D837" s="2162">
        <f>E837*$D$1</f>
        <v/>
      </c>
      <c r="E837" s="2162" t="n">
        <v>32</v>
      </c>
      <c r="F837" s="2162" t="inlineStr">
        <is>
          <t>Serviço Terceiros</t>
        </is>
      </c>
      <c r="G837" s="2162" t="inlineStr">
        <is>
          <t>Serviço Terceiros</t>
        </is>
      </c>
      <c r="H837" s="2162" t="inlineStr">
        <is>
          <t>Mão de obra aplicação (2 demãos + reforço pontos críticos)</t>
        </is>
      </c>
      <c r="I837" s="4" t="inlineStr">
        <is>
          <t>Mão de obra de Terceiros</t>
        </is>
      </c>
    </row>
    <row r="838" ht="15.75" customHeight="1">
      <c r="A838" s="10">
        <f>COUNTIFS($B$2:$B$996,B838)</f>
        <v/>
      </c>
      <c r="B838" s="10" t="inlineStr">
        <is>
          <t>Mão de obra impermeabilização sistema 2.8.6</t>
        </is>
      </c>
      <c r="C838" s="11" t="inlineStr">
        <is>
          <t>M2</t>
        </is>
      </c>
      <c r="D838" s="2162">
        <f>E838*$D$1</f>
        <v/>
      </c>
      <c r="E838" s="2162" t="n">
        <v>38</v>
      </c>
      <c r="F838" s="2162" t="inlineStr">
        <is>
          <t>Serviço Terceiros</t>
        </is>
      </c>
      <c r="G838" s="2162" t="inlineStr">
        <is>
          <t>Serviço Terceiros</t>
        </is>
      </c>
      <c r="H838" s="2162" t="inlineStr">
        <is>
          <t>Mão de obra reforçada (3 demãos totais)</t>
        </is>
      </c>
      <c r="I838" s="4" t="inlineStr">
        <is>
          <t>Mão de obra de Terceiros</t>
        </is>
      </c>
    </row>
    <row r="839" ht="15.75" customHeight="1">
      <c r="A839" s="10">
        <f>COUNTIFS($B$2:$B$996,B839)</f>
        <v/>
      </c>
      <c r="B839" s="10" t="inlineStr">
        <is>
          <t>Mão de obra impermeabilização sistema 4.2.4</t>
        </is>
      </c>
      <c r="C839" s="11" t="inlineStr">
        <is>
          <t>M2</t>
        </is>
      </c>
      <c r="D839" s="2162">
        <f>E839*$D$1</f>
        <v/>
      </c>
      <c r="E839" s="2162" t="n">
        <v>45</v>
      </c>
      <c r="F839" s="2162" t="inlineStr">
        <is>
          <t>Serviço Terceiros</t>
        </is>
      </c>
      <c r="G839" s="2162" t="inlineStr">
        <is>
          <t>Serviço Terceiros</t>
        </is>
      </c>
      <c r="H839" s="2178" t="inlineStr">
        <is>
          <t>-</t>
        </is>
      </c>
      <c r="I839" s="4" t="inlineStr">
        <is>
          <t>Mão de obra de Terceiros</t>
        </is>
      </c>
    </row>
    <row r="840" ht="15.75" customHeight="1">
      <c r="A840" s="10">
        <f>COUNTIFS($B$2:$B$996,B840)</f>
        <v/>
      </c>
      <c r="B840" s="10" t="inlineStr">
        <is>
          <t>Mão de obra impermeabilização sistema 4.5.3</t>
        </is>
      </c>
      <c r="C840" s="11" t="inlineStr">
        <is>
          <t>M2</t>
        </is>
      </c>
      <c r="D840" s="2162">
        <f>E840*$D$1</f>
        <v/>
      </c>
      <c r="E840" s="2162" t="n">
        <v>45</v>
      </c>
      <c r="F840" s="2162" t="inlineStr">
        <is>
          <t>Serviço Terceiros</t>
        </is>
      </c>
      <c r="G840" s="2162" t="inlineStr">
        <is>
          <t>Serviço Terceiros</t>
        </is>
      </c>
      <c r="H840" s="2162" t="inlineStr">
        <is>
          <t>Mão de obra maçarico + sobreposição</t>
        </is>
      </c>
      <c r="I840" s="4" t="inlineStr">
        <is>
          <t>Mão de obra de Terceiros</t>
        </is>
      </c>
    </row>
    <row r="841" ht="15.75" customHeight="1">
      <c r="A841" s="10">
        <f>COUNTIFS($B$2:$B$996,B841)</f>
        <v/>
      </c>
      <c r="B841" s="10" t="inlineStr">
        <is>
          <t>Mão de obra impermeabilização sistema 4.9.2</t>
        </is>
      </c>
      <c r="C841" s="11" t="inlineStr">
        <is>
          <t>M2</t>
        </is>
      </c>
      <c r="D841" s="2162">
        <f>E841*$D$1</f>
        <v/>
      </c>
      <c r="E841" s="2162" t="n">
        <v>62</v>
      </c>
      <c r="F841" s="2162" t="inlineStr">
        <is>
          <t>Serviço Terceiros</t>
        </is>
      </c>
      <c r="G841" s="2162" t="inlineStr">
        <is>
          <t>Serviço Terceiros</t>
        </is>
      </c>
      <c r="H841" s="2162" t="inlineStr">
        <is>
          <t>Mão de obra dupla manta</t>
        </is>
      </c>
      <c r="I841" s="4" t="inlineStr">
        <is>
          <t>Mão de obra de Terceiros</t>
        </is>
      </c>
    </row>
    <row r="842" ht="15.75" customHeight="1">
      <c r="A842" s="10">
        <f>COUNTIFS($B$2:$B$996,B842)</f>
        <v/>
      </c>
      <c r="B842" s="10" t="inlineStr">
        <is>
          <t>Mão de obra impermeabilização sistema 7.1.2</t>
        </is>
      </c>
      <c r="C842" s="11" t="inlineStr">
        <is>
          <t>M2</t>
        </is>
      </c>
      <c r="D842" s="2162">
        <f>E842*$D$1</f>
        <v/>
      </c>
      <c r="E842" s="2162" t="n">
        <v>35</v>
      </c>
      <c r="F842" s="2162" t="inlineStr">
        <is>
          <t>Serviço Terceiros</t>
        </is>
      </c>
      <c r="G842" s="2162" t="inlineStr">
        <is>
          <t>Serviço Terceiros</t>
        </is>
      </c>
      <c r="H842" s="2162" t="inlineStr">
        <is>
          <t>Mão de obra especializada</t>
        </is>
      </c>
      <c r="I842" s="4" t="inlineStr">
        <is>
          <t>Mão de obra de Terceiros</t>
        </is>
      </c>
    </row>
    <row r="843" ht="15.75" customHeight="1">
      <c r="A843" s="10">
        <f>COUNTIFS($B$2:$B$996,B843)</f>
        <v/>
      </c>
      <c r="B843" s="10" t="inlineStr">
        <is>
          <t>Mão de obra impermeabilização sistema 7.1.6</t>
        </is>
      </c>
      <c r="C843" s="11" t="inlineStr">
        <is>
          <t>M2</t>
        </is>
      </c>
      <c r="D843" s="2162">
        <f>E843*$D$1</f>
        <v/>
      </c>
      <c r="E843" s="2162" t="n">
        <v>42</v>
      </c>
      <c r="F843" s="2162" t="inlineStr">
        <is>
          <t>Serviço Terceiros</t>
        </is>
      </c>
      <c r="G843" s="2162" t="inlineStr">
        <is>
          <t>Serviço Terceiros</t>
        </is>
      </c>
      <c r="H843" s="2162" t="inlineStr">
        <is>
          <t>Mão de obra especializada</t>
        </is>
      </c>
      <c r="I843" s="4" t="inlineStr">
        <is>
          <t>Mão de obra de Terceiros</t>
        </is>
      </c>
    </row>
    <row r="844" ht="15.75" customHeight="1">
      <c r="A844" s="10">
        <f>COUNTIFS($B$2:$B$996,B844)</f>
        <v/>
      </c>
      <c r="B844" s="10" t="inlineStr">
        <is>
          <t>Mão de obra instalação de forro de madeira</t>
        </is>
      </c>
      <c r="C844" s="11" t="inlineStr">
        <is>
          <t>M2</t>
        </is>
      </c>
      <c r="D844" s="2162">
        <f>E844*$D$1</f>
        <v/>
      </c>
      <c r="E844" s="2162" t="n">
        <v>150</v>
      </c>
      <c r="F844" s="2162" t="inlineStr">
        <is>
          <t>Serviço Terceiros</t>
        </is>
      </c>
      <c r="G844" s="2162" t="inlineStr">
        <is>
          <t>Serviço Terceiros</t>
        </is>
      </c>
      <c r="H844" s="2162" t="n"/>
      <c r="I844" s="4" t="inlineStr">
        <is>
          <t>Mão de obra de Terceiros</t>
        </is>
      </c>
    </row>
    <row r="845" ht="15.75" customHeight="1">
      <c r="A845" s="10">
        <f>COUNTIFS($B$2:$B$996,B845)</f>
        <v/>
      </c>
      <c r="B845" s="10" t="inlineStr">
        <is>
          <t>Mão de obra instalação de Porcelanato no teto</t>
        </is>
      </c>
      <c r="C845" s="11" t="inlineStr">
        <is>
          <t>M2</t>
        </is>
      </c>
      <c r="D845" s="2162">
        <f>E845*$D$1</f>
        <v/>
      </c>
      <c r="E845" s="2162" t="n">
        <v>150</v>
      </c>
      <c r="F845" s="2162" t="inlineStr">
        <is>
          <t>Serviço Terceiros</t>
        </is>
      </c>
      <c r="G845" s="2162" t="inlineStr">
        <is>
          <t>Serviço Terceiros</t>
        </is>
      </c>
      <c r="H845" s="2162" t="n"/>
      <c r="I845" s="4" t="inlineStr">
        <is>
          <t>Mão de obra de Terceiros</t>
        </is>
      </c>
    </row>
    <row r="846" ht="15.75" customHeight="1">
      <c r="A846" s="10">
        <f>COUNTIFS($B$2:$B$996,B846)</f>
        <v/>
      </c>
      <c r="B846" s="10" t="inlineStr">
        <is>
          <t>Mão de obra para aplicação de Pastilhas em paredes externas</t>
        </is>
      </c>
      <c r="C846" s="11" t="inlineStr">
        <is>
          <t>UN</t>
        </is>
      </c>
      <c r="D846" s="2162">
        <f>E846*$D$1</f>
        <v/>
      </c>
      <c r="E846" s="2162" t="n">
        <v>95</v>
      </c>
      <c r="F846" s="2162" t="inlineStr">
        <is>
          <t>Serviço Terceiros</t>
        </is>
      </c>
      <c r="G846" s="2162" t="inlineStr">
        <is>
          <t>Serviço Terceiros</t>
        </is>
      </c>
      <c r="H846" s="2162" t="n"/>
      <c r="I846" s="4" t="inlineStr">
        <is>
          <t>Mão de obra de Terceiros</t>
        </is>
      </c>
    </row>
    <row r="847" ht="15.75" customHeight="1">
      <c r="A847" s="10">
        <f>COUNTIFS($B$2:$B$996,B847)</f>
        <v/>
      </c>
      <c r="B847" s="10" t="inlineStr">
        <is>
          <t>Mão de obra para execução de pedra natural em piso áreas externas</t>
        </is>
      </c>
      <c r="C847" s="11" t="inlineStr">
        <is>
          <t>M2</t>
        </is>
      </c>
      <c r="D847" s="2162">
        <f>E847*$D$1</f>
        <v/>
      </c>
      <c r="E847" s="2162" t="n">
        <v>150</v>
      </c>
      <c r="F847" s="2162" t="inlineStr">
        <is>
          <t>Serviço Terceiros</t>
        </is>
      </c>
      <c r="G847" s="2162" t="inlineStr">
        <is>
          <t>Serviço Terceiros</t>
        </is>
      </c>
      <c r="H847" s="2162" t="n"/>
      <c r="I847" s="4" t="inlineStr">
        <is>
          <t>Mão de obra de Terceiros</t>
        </is>
      </c>
    </row>
    <row r="848" ht="15.75" customHeight="1">
      <c r="A848" s="10">
        <f>COUNTIFS($B$2:$B$996,B848)</f>
        <v/>
      </c>
      <c r="B848" s="10" t="inlineStr">
        <is>
          <t>Mão de obra para aplicação de Pedra Natural em paredes externas</t>
        </is>
      </c>
      <c r="C848" s="11" t="inlineStr">
        <is>
          <t>M2</t>
        </is>
      </c>
      <c r="D848" s="2162">
        <f>E848*$D$1</f>
        <v/>
      </c>
      <c r="E848" s="2162" t="n">
        <v>95</v>
      </c>
      <c r="F848" s="2162" t="inlineStr">
        <is>
          <t>Serviço Terceiros</t>
        </is>
      </c>
      <c r="G848" s="2162" t="inlineStr">
        <is>
          <t>Serviço Terceiros</t>
        </is>
      </c>
      <c r="H848" s="2162" t="n"/>
      <c r="I848" s="4" t="inlineStr">
        <is>
          <t>Mão de obra de Terceiros</t>
        </is>
      </c>
    </row>
    <row r="849" ht="15.75" customHeight="1">
      <c r="A849" s="10">
        <f>COUNTIFS($B$2:$B$996,B849)</f>
        <v/>
      </c>
      <c r="B849" s="10" t="inlineStr">
        <is>
          <t>Mão de obra para aplicação de Pintura em paredes externas - 3 demãos</t>
        </is>
      </c>
      <c r="C849" s="11" t="inlineStr">
        <is>
          <t>UN</t>
        </is>
      </c>
      <c r="D849" s="2162">
        <f>E849*$D$1</f>
        <v/>
      </c>
      <c r="E849" s="2162" t="n">
        <v>58</v>
      </c>
      <c r="F849" s="2162" t="inlineStr">
        <is>
          <t>Serviço Terceiros</t>
        </is>
      </c>
      <c r="G849" s="2162" t="inlineStr">
        <is>
          <t>Serviço Terceiros</t>
        </is>
      </c>
      <c r="H849" s="2162" t="n"/>
      <c r="I849" s="4" t="inlineStr">
        <is>
          <t>Mão de obra de Terceiros</t>
        </is>
      </c>
    </row>
    <row r="850" ht="15.75" customHeight="1">
      <c r="A850" s="10">
        <f>COUNTIFS($B$2:$B$996,B850)</f>
        <v/>
      </c>
      <c r="B850" s="10" t="inlineStr">
        <is>
          <t>Mão de obra para aplicação de Mármore em teto</t>
        </is>
      </c>
      <c r="C850" s="11" t="inlineStr">
        <is>
          <t>UN</t>
        </is>
      </c>
      <c r="D850" s="2162">
        <f>E850*$D$1</f>
        <v/>
      </c>
      <c r="E850" s="2162" t="n">
        <v>200</v>
      </c>
      <c r="F850" s="2162" t="inlineStr">
        <is>
          <t>Serviço Terceiros</t>
        </is>
      </c>
      <c r="G850" s="2162" t="inlineStr">
        <is>
          <t>Serviço Terceiros</t>
        </is>
      </c>
      <c r="H850" s="2162" t="n"/>
      <c r="I850" s="4" t="inlineStr">
        <is>
          <t>Mão de obra de Terceiros</t>
        </is>
      </c>
    </row>
    <row r="851" ht="15.75" customHeight="1">
      <c r="A851" s="10">
        <f>COUNTIFS($B$2:$B$996,B851)</f>
        <v/>
      </c>
      <c r="B851" s="10" t="inlineStr">
        <is>
          <t>Mão de obra para aplicação de Porcelanato em paredes externas</t>
        </is>
      </c>
      <c r="C851" s="11" t="inlineStr">
        <is>
          <t>UN</t>
        </is>
      </c>
      <c r="D851" s="2162">
        <f>E851*$D$1</f>
        <v/>
      </c>
      <c r="E851" s="2162" t="n">
        <v>85</v>
      </c>
      <c r="F851" s="2162" t="inlineStr">
        <is>
          <t>Serviço Terceiros</t>
        </is>
      </c>
      <c r="G851" s="2162" t="inlineStr">
        <is>
          <t>Serviço Terceiros</t>
        </is>
      </c>
      <c r="H851" s="2162" t="n"/>
      <c r="I851" s="4" t="inlineStr">
        <is>
          <t>Mão de obra de Terceiros</t>
        </is>
      </c>
    </row>
    <row r="852" ht="15.75" customHeight="1">
      <c r="A852" s="10">
        <f>COUNTIFS($B$2:$B$996,B852)</f>
        <v/>
      </c>
      <c r="B852" s="10" t="inlineStr">
        <is>
          <t>Mão de Obra Aplicação de Revestimento Monolítico</t>
        </is>
      </c>
      <c r="C852" s="11" t="inlineStr">
        <is>
          <t>m2</t>
        </is>
      </c>
      <c r="D852" s="2162">
        <f>E852*$D$1</f>
        <v/>
      </c>
      <c r="E852" s="2162" t="n">
        <v>80</v>
      </c>
      <c r="F852" s="2162" t="inlineStr">
        <is>
          <t>Serviço Terceiros</t>
        </is>
      </c>
      <c r="G852" s="2162" t="inlineStr">
        <is>
          <t>Serviço Terceiros</t>
        </is>
      </c>
      <c r="H852" s="2162" t="n"/>
      <c r="I852" s="4" t="inlineStr">
        <is>
          <t>Mão de obra de Terceiros</t>
        </is>
      </c>
    </row>
    <row r="853" ht="15.75" customHeight="1">
      <c r="A853" s="10">
        <f>COUNTIFS($B$2:$B$996,B853)</f>
        <v/>
      </c>
      <c r="B853" s="10" t="inlineStr">
        <is>
          <t>Mão de obra para execução de m2 de moldura de eps</t>
        </is>
      </c>
      <c r="C853" s="11" t="inlineStr">
        <is>
          <t>m2</t>
        </is>
      </c>
      <c r="D853" s="2162">
        <f>E853*$D$1</f>
        <v/>
      </c>
      <c r="E853" s="2162" t="n">
        <v>150</v>
      </c>
      <c r="F853" s="2162" t="inlineStr">
        <is>
          <t>Serviço Terceiros</t>
        </is>
      </c>
      <c r="G853" s="2162" t="inlineStr">
        <is>
          <t>Serviço Terceiros</t>
        </is>
      </c>
      <c r="H853" s="2162" t="n"/>
      <c r="I853" s="4" t="inlineStr">
        <is>
          <t>Mão de obra de Terceiros</t>
        </is>
      </c>
    </row>
    <row r="854" ht="15.75" customHeight="1">
      <c r="A854" s="10">
        <f>COUNTIFS($B$2:$B$996,B854)</f>
        <v/>
      </c>
      <c r="B854" s="10" t="inlineStr">
        <is>
          <t>Mão de obra para execução de fachada ventilada</t>
        </is>
      </c>
      <c r="C854" s="11" t="inlineStr">
        <is>
          <t>m2</t>
        </is>
      </c>
      <c r="D854" s="2162">
        <f>E854*$D$1</f>
        <v/>
      </c>
      <c r="E854" s="2162" t="n">
        <v>175</v>
      </c>
      <c r="F854" s="2162" t="inlineStr">
        <is>
          <t>Serviço Terceiros</t>
        </is>
      </c>
      <c r="G854" s="2162" t="inlineStr">
        <is>
          <t>Serviço Terceiros</t>
        </is>
      </c>
      <c r="H854" s="2162" t="n"/>
      <c r="I854" s="4" t="inlineStr">
        <is>
          <t>Mão de obra de Terceiros</t>
        </is>
      </c>
    </row>
    <row r="855" ht="15.75" customHeight="1">
      <c r="A855" s="10">
        <f>COUNTIFS($B$2:$B$996,B855)</f>
        <v/>
      </c>
      <c r="B855" s="10" t="inlineStr">
        <is>
          <t>Mão de obra para aplicação de textura em paredes externas - 1 demão</t>
        </is>
      </c>
      <c r="C855" s="11" t="inlineStr">
        <is>
          <t>UN</t>
        </is>
      </c>
      <c r="D855" s="2162">
        <f>E855*$D$1</f>
        <v/>
      </c>
      <c r="E855" s="2162" t="n">
        <v>58</v>
      </c>
      <c r="F855" s="2162" t="inlineStr">
        <is>
          <t>Serviço Terceiros</t>
        </is>
      </c>
      <c r="G855" s="2162" t="inlineStr">
        <is>
          <t>Serviço Terceiros</t>
        </is>
      </c>
      <c r="H855" s="2162" t="n"/>
      <c r="I855" s="4" t="inlineStr">
        <is>
          <t>Mão de obra de Terceiros</t>
        </is>
      </c>
    </row>
    <row r="856" ht="15.75" customHeight="1">
      <c r="A856" s="10">
        <f>COUNTIFS($B$2:$B$996,B856)</f>
        <v/>
      </c>
      <c r="B856" s="10" t="inlineStr">
        <is>
          <t>Mão de obra para assentamento de blocos cerâmicos</t>
        </is>
      </c>
      <c r="C856" s="11" t="inlineStr">
        <is>
          <t>M2</t>
        </is>
      </c>
      <c r="D856" s="2162">
        <f>E856*$D$1</f>
        <v/>
      </c>
      <c r="E856" s="2162" t="n">
        <v>47</v>
      </c>
      <c r="F856" s="2162" t="inlineStr">
        <is>
          <t>Serviço Terceiros</t>
        </is>
      </c>
      <c r="G856" s="2162" t="inlineStr">
        <is>
          <t>Serviço Terceiros</t>
        </is>
      </c>
      <c r="H856" s="2162" t="inlineStr">
        <is>
          <t>COTAÇÃO GESSELE</t>
        </is>
      </c>
      <c r="I856" s="4" t="inlineStr">
        <is>
          <t>Mão de obra de Terceiros</t>
        </is>
      </c>
    </row>
    <row r="857" ht="15.75" customHeight="1">
      <c r="A857" s="10">
        <f>COUNTIFS($B$2:$B$996,B857)</f>
        <v/>
      </c>
      <c r="B857" s="10" t="inlineStr">
        <is>
          <t>Mão de obra para assentamento de blocos concreto</t>
        </is>
      </c>
      <c r="C857" s="11" t="inlineStr">
        <is>
          <t>UN</t>
        </is>
      </c>
      <c r="D857" s="2162">
        <f>E857*$D$1</f>
        <v/>
      </c>
      <c r="E857" s="2162" t="n">
        <v>47</v>
      </c>
      <c r="F857" s="2162" t="inlineStr">
        <is>
          <t>Serviço Terceiros</t>
        </is>
      </c>
      <c r="G857" s="2162" t="inlineStr">
        <is>
          <t>Serviço Terceiros</t>
        </is>
      </c>
      <c r="H857" s="2162" t="inlineStr">
        <is>
          <t>COTAÇÃO GESSELE</t>
        </is>
      </c>
      <c r="I857" s="4" t="inlineStr">
        <is>
          <t>Mão de obra de Terceiros</t>
        </is>
      </c>
    </row>
    <row r="858" ht="15.75" customHeight="1">
      <c r="A858" s="10">
        <f>COUNTIFS($B$2:$B$996,B858)</f>
        <v/>
      </c>
      <c r="B858" s="10" t="inlineStr">
        <is>
          <t>Mão de obra para assentamento de blocos concreto Estrutural</t>
        </is>
      </c>
      <c r="C858" s="11" t="inlineStr">
        <is>
          <t>UN</t>
        </is>
      </c>
      <c r="D858" s="2162">
        <f>E858*$D$1</f>
        <v/>
      </c>
      <c r="E858" s="2162" t="n">
        <v>48</v>
      </c>
      <c r="F858" s="2162" t="inlineStr">
        <is>
          <t>Serviço Terceiros</t>
        </is>
      </c>
      <c r="G858" s="2162" t="inlineStr">
        <is>
          <t>Serviço Terceiros</t>
        </is>
      </c>
      <c r="H858" s="2162" t="n"/>
      <c r="I858" s="4" t="inlineStr">
        <is>
          <t>Mão de obra de Terceiros</t>
        </is>
      </c>
    </row>
    <row r="859" ht="15.75" customHeight="1">
      <c r="A859" s="10">
        <f>COUNTIFS($B$2:$B$996,B859)</f>
        <v/>
      </c>
      <c r="B859" s="10" t="inlineStr">
        <is>
          <t xml:space="preserve">Mão de obra para assentamento de blocos de Refratário </t>
        </is>
      </c>
      <c r="C859" s="11" t="inlineStr">
        <is>
          <t>UN</t>
        </is>
      </c>
      <c r="D859" s="2162">
        <f>E859*$D$1</f>
        <v/>
      </c>
      <c r="E859" s="2162" t="n">
        <v>48</v>
      </c>
      <c r="F859" s="2162" t="inlineStr">
        <is>
          <t>Serviço Terceiros</t>
        </is>
      </c>
      <c r="G859" s="2162" t="inlineStr">
        <is>
          <t>Serviço Terceiros</t>
        </is>
      </c>
      <c r="H859" s="2162" t="n"/>
      <c r="I859" s="4" t="inlineStr">
        <is>
          <t>Mão de obra de Terceiros</t>
        </is>
      </c>
    </row>
    <row r="860" ht="15.75" customHeight="1">
      <c r="A860" s="10">
        <f>COUNTIFS($B$2:$B$996,B860)</f>
        <v/>
      </c>
      <c r="B860" s="10" t="inlineStr">
        <is>
          <t>Mão de obra para assentamento de blocos de silico calcarios</t>
        </is>
      </c>
      <c r="C860" s="11" t="inlineStr">
        <is>
          <t>UN</t>
        </is>
      </c>
      <c r="D860" s="2162">
        <f>E860*$D$1</f>
        <v/>
      </c>
      <c r="E860" s="2162" t="n">
        <v>47</v>
      </c>
      <c r="F860" s="2162" t="inlineStr">
        <is>
          <t>Serviço Terceiros</t>
        </is>
      </c>
      <c r="G860" s="2162" t="inlineStr">
        <is>
          <t>Serviço Terceiros</t>
        </is>
      </c>
      <c r="H860" s="2162" t="inlineStr">
        <is>
          <t>COTAÇÃO GESSELE</t>
        </is>
      </c>
      <c r="I860" s="4" t="inlineStr">
        <is>
          <t>Mão de obra de Terceiros</t>
        </is>
      </c>
    </row>
    <row r="861" ht="15.75" customHeight="1">
      <c r="A861" s="10">
        <f>COUNTIFS($B$2:$B$996,B861)</f>
        <v/>
      </c>
      <c r="B861" s="10" t="inlineStr">
        <is>
          <t>Mão de obra para assentamento de Pastilhas em Piscina</t>
        </is>
      </c>
      <c r="C861" s="11" t="inlineStr">
        <is>
          <t>UN</t>
        </is>
      </c>
      <c r="D861" s="2162">
        <f>E861*$D$1</f>
        <v/>
      </c>
      <c r="E861" s="2162" t="n">
        <v>55</v>
      </c>
      <c r="F861" s="2162" t="inlineStr">
        <is>
          <t>Serviço Terceiros</t>
        </is>
      </c>
      <c r="G861" s="2162" t="inlineStr">
        <is>
          <t>Serviço Terceiros</t>
        </is>
      </c>
      <c r="H861" s="2162" t="n"/>
      <c r="I861" s="4" t="inlineStr">
        <is>
          <t>Mão de obra de Terceiros</t>
        </is>
      </c>
    </row>
    <row r="862" ht="15.75" customHeight="1">
      <c r="A862" s="10">
        <f>COUNTIFS($B$2:$B$996,B862)</f>
        <v/>
      </c>
      <c r="B862" s="10" t="inlineStr">
        <is>
          <t>Mão de obra para assentamento de Pedras Naturais em parede</t>
        </is>
      </c>
      <c r="C862" s="11" t="inlineStr">
        <is>
          <t>UN</t>
        </is>
      </c>
      <c r="D862" s="2162">
        <f>E862*$D$1</f>
        <v/>
      </c>
      <c r="E862" s="2162" t="n">
        <v>75</v>
      </c>
      <c r="F862" s="2162" t="inlineStr">
        <is>
          <t>Serviço Terceiros</t>
        </is>
      </c>
      <c r="G862" s="2162" t="inlineStr">
        <is>
          <t>Serviço Terceiros</t>
        </is>
      </c>
      <c r="H862" s="2162" t="n"/>
      <c r="I862" s="4" t="inlineStr">
        <is>
          <t>Mão de obra de Terceiros</t>
        </is>
      </c>
    </row>
    <row r="863" ht="15.75" customHeight="1">
      <c r="A863" s="10">
        <f>COUNTIFS($B$2:$B$996,B863)</f>
        <v/>
      </c>
      <c r="B863" s="10" t="inlineStr">
        <is>
          <t>Mão de obra para assentamento de revestimento cerâmico em parede</t>
        </is>
      </c>
      <c r="C863" s="11" t="inlineStr">
        <is>
          <t>UN</t>
        </is>
      </c>
      <c r="D863" s="2162">
        <f>E863*$D$1</f>
        <v/>
      </c>
      <c r="E863" s="2162" t="n">
        <v>75</v>
      </c>
      <c r="F863" s="2162" t="inlineStr">
        <is>
          <t>Serviço Terceiros</t>
        </is>
      </c>
      <c r="G863" s="2162" t="inlineStr">
        <is>
          <t>Serviço Terceiros</t>
        </is>
      </c>
      <c r="H863" s="2162" t="n"/>
      <c r="I863" s="4" t="inlineStr">
        <is>
          <t>Mão de obra de Terceiros</t>
        </is>
      </c>
    </row>
    <row r="864" ht="15.75" customHeight="1">
      <c r="A864" s="10">
        <f>COUNTIFS($B$2:$B$996,B864)</f>
        <v/>
      </c>
      <c r="B864" s="10" t="inlineStr">
        <is>
          <t>Mão de obra para assentamento de requadros em portas de elevador</t>
        </is>
      </c>
      <c r="C864" s="11" t="inlineStr">
        <is>
          <t>UN</t>
        </is>
      </c>
      <c r="D864" s="2162">
        <f>E864*$D$1</f>
        <v/>
      </c>
      <c r="E864" s="2162" t="n">
        <v>50</v>
      </c>
      <c r="F864" s="2162" t="inlineStr">
        <is>
          <t>Serviço Terceiros</t>
        </is>
      </c>
      <c r="G864" s="2162" t="inlineStr">
        <is>
          <t>Serviço Terceiros</t>
        </is>
      </c>
      <c r="H864" s="2162" t="n"/>
      <c r="I864" s="4" t="inlineStr">
        <is>
          <t>Mão de obra de Terceiros</t>
        </is>
      </c>
    </row>
    <row r="865" ht="15.75" customHeight="1">
      <c r="A865" s="10">
        <f>COUNTIFS($B$2:$B$996,B865)</f>
        <v/>
      </c>
      <c r="B865" s="10" t="inlineStr">
        <is>
          <t>Mão de obra para enchimento de EPS em piso</t>
        </is>
      </c>
      <c r="C865" s="11" t="inlineStr">
        <is>
          <t>UN</t>
        </is>
      </c>
      <c r="D865" s="2162">
        <f>E865*$D$1</f>
        <v/>
      </c>
      <c r="E865" s="2162" t="n">
        <v>60</v>
      </c>
      <c r="F865" s="2162" t="inlineStr">
        <is>
          <t>Serviço Terceiros</t>
        </is>
      </c>
      <c r="G865" s="2162" t="inlineStr">
        <is>
          <t>Serviço Terceiros</t>
        </is>
      </c>
      <c r="H865" s="2162" t="n"/>
      <c r="I865" s="4" t="inlineStr">
        <is>
          <t>Mão de obra de Terceiros</t>
        </is>
      </c>
    </row>
    <row r="866" ht="15.75" customHeight="1">
      <c r="A866" s="10">
        <f>COUNTIFS($B$2:$B$996,B866)</f>
        <v/>
      </c>
      <c r="B866" s="10" t="inlineStr">
        <is>
          <t>Mão de obra para colocação de peitoril e pingadeira</t>
        </is>
      </c>
      <c r="C866" s="11" t="inlineStr">
        <is>
          <t>UN</t>
        </is>
      </c>
      <c r="D866" s="2162">
        <f>E866*$D$1</f>
        <v/>
      </c>
      <c r="E866" s="2162" t="n">
        <v>50</v>
      </c>
      <c r="F866" s="2162" t="inlineStr">
        <is>
          <t>Serviço Terceiros</t>
        </is>
      </c>
      <c r="G866" s="2162" t="inlineStr">
        <is>
          <t>Serviço Terceiros</t>
        </is>
      </c>
      <c r="H866" s="2162" t="n"/>
      <c r="I866" s="4" t="inlineStr">
        <is>
          <t>Mão de obra de Terceiros</t>
        </is>
      </c>
    </row>
    <row r="867" ht="15.75" customHeight="1">
      <c r="A867" s="10">
        <f>COUNTIFS($B$2:$B$996,B867)</f>
        <v/>
      </c>
      <c r="B867" s="10" t="inlineStr">
        <is>
          <t>Mão de obra para pintura artistica em teto</t>
        </is>
      </c>
      <c r="C867" s="11" t="inlineStr">
        <is>
          <t>M2</t>
        </is>
      </c>
      <c r="D867" s="2162">
        <f>E867*$D$1</f>
        <v/>
      </c>
      <c r="E867" s="2162" t="n">
        <v>400</v>
      </c>
      <c r="F867" s="2162" t="inlineStr">
        <is>
          <t>Serviço Terceiros</t>
        </is>
      </c>
      <c r="G867" s="2162" t="inlineStr">
        <is>
          <t>Serviço Terceiros</t>
        </is>
      </c>
      <c r="H867" s="2162" t="n"/>
      <c r="I867" s="4" t="inlineStr">
        <is>
          <t>Mão de obra de Terceiros</t>
        </is>
      </c>
    </row>
    <row r="868" ht="15.75" customHeight="1">
      <c r="A868" s="10">
        <f>COUNTIFS($B$2:$B$996,B868)</f>
        <v/>
      </c>
      <c r="B868" s="10" t="inlineStr">
        <is>
          <t>Mão de obra para instalação de portas de madeira</t>
        </is>
      </c>
      <c r="C868" s="11" t="inlineStr">
        <is>
          <t>UN</t>
        </is>
      </c>
      <c r="D868" s="2162">
        <f>E868*$D$1</f>
        <v/>
      </c>
      <c r="E868" s="2162" t="n">
        <v>300</v>
      </c>
      <c r="F868" s="2162" t="inlineStr">
        <is>
          <t>Serviço Terceiros</t>
        </is>
      </c>
      <c r="G868" s="2162" t="inlineStr">
        <is>
          <t>Serviço Terceiros</t>
        </is>
      </c>
      <c r="H868" s="2162" t="n"/>
      <c r="I868" s="4" t="inlineStr">
        <is>
          <t>Mão de obra de Terceiros</t>
        </is>
      </c>
    </row>
    <row r="869" ht="15.75" customHeight="1">
      <c r="A869" s="10">
        <f>COUNTIFS($B$2:$B$996,B869)</f>
        <v/>
      </c>
      <c r="B869" s="10" t="inlineStr">
        <is>
          <t>Mão de obra para faixa de garagem em paredes internas, 1 demãos</t>
        </is>
      </c>
      <c r="C869" s="11" t="inlineStr">
        <is>
          <t>UN</t>
        </is>
      </c>
      <c r="D869" s="2162">
        <f>E869*$D$1</f>
        <v/>
      </c>
      <c r="E869" s="2162" t="n">
        <v>20</v>
      </c>
      <c r="F869" s="2162" t="inlineStr">
        <is>
          <t>Serviço Terceiros</t>
        </is>
      </c>
      <c r="G869" s="2162" t="inlineStr">
        <is>
          <t>Serviço Terceiros</t>
        </is>
      </c>
      <c r="H869" s="2162" t="n"/>
      <c r="I869" s="4" t="inlineStr">
        <is>
          <t>Mão de obra de Terceiros</t>
        </is>
      </c>
    </row>
    <row r="870" ht="15.75" customHeight="1">
      <c r="A870" s="10">
        <f>COUNTIFS($B$2:$B$996,B870)</f>
        <v/>
      </c>
      <c r="B870" s="10" t="inlineStr">
        <is>
          <t>Mão de obra para pintura em paredes internas, 3 demãos</t>
        </is>
      </c>
      <c r="C870" s="11" t="inlineStr">
        <is>
          <t>UN</t>
        </is>
      </c>
      <c r="D870" s="2162">
        <f>E870*$D$1</f>
        <v/>
      </c>
      <c r="E870" s="2162" t="n">
        <v>40</v>
      </c>
      <c r="F870" s="2162" t="inlineStr">
        <is>
          <t>Serviço Terceiros</t>
        </is>
      </c>
      <c r="G870" s="2162" t="inlineStr">
        <is>
          <t>Serviço Terceiros</t>
        </is>
      </c>
      <c r="H870" s="2162" t="n"/>
      <c r="I870" s="4" t="inlineStr">
        <is>
          <t>Mão de obra de Terceiros</t>
        </is>
      </c>
    </row>
    <row r="871" ht="15.75" customHeight="1">
      <c r="A871" s="10">
        <f>COUNTIFS($B$2:$B$996,B871)</f>
        <v/>
      </c>
      <c r="B871" s="10" t="inlineStr">
        <is>
          <t>Mão de obra para pintura em teto, 3 demãos</t>
        </is>
      </c>
      <c r="C871" s="11" t="inlineStr">
        <is>
          <t>UN</t>
        </is>
      </c>
      <c r="D871" s="2162">
        <f>E871*$D$1</f>
        <v/>
      </c>
      <c r="E871" s="2162" t="n">
        <v>40</v>
      </c>
      <c r="F871" s="2162" t="inlineStr">
        <is>
          <t>Serviço Terceiros</t>
        </is>
      </c>
      <c r="G871" s="2162" t="inlineStr">
        <is>
          <t>Serviço Terceiros</t>
        </is>
      </c>
      <c r="H871" s="2162" t="n"/>
      <c r="I871" s="4" t="inlineStr">
        <is>
          <t>Mão de obra de Terceiros</t>
        </is>
      </c>
    </row>
    <row r="872" ht="15.75" customHeight="1">
      <c r="A872" s="10">
        <f>COUNTIFS($B$2:$B$996,B872)</f>
        <v/>
      </c>
      <c r="B872" s="10" t="inlineStr">
        <is>
          <t>Mão de obra para proteção mecânica</t>
        </is>
      </c>
      <c r="C872" s="11" t="inlineStr">
        <is>
          <t>UN</t>
        </is>
      </c>
      <c r="D872" s="2162">
        <f>E872*$D$1</f>
        <v/>
      </c>
      <c r="E872" s="2162" t="n">
        <v>35</v>
      </c>
      <c r="F872" s="2162" t="inlineStr">
        <is>
          <t>Serviço Terceiros</t>
        </is>
      </c>
      <c r="G872" s="2162" t="inlineStr">
        <is>
          <t>Serviço Terceiros</t>
        </is>
      </c>
      <c r="H872" s="2162" t="n"/>
      <c r="I872" s="4" t="inlineStr">
        <is>
          <t>Mão de obra de Terceiros</t>
        </is>
      </c>
    </row>
    <row r="873" ht="15.75" customHeight="1">
      <c r="A873" s="10">
        <f>COUNTIFS($B$2:$B$996,B873)</f>
        <v/>
      </c>
      <c r="B873" s="10" t="inlineStr">
        <is>
          <t>Mao de obra para reboco externo - inclui chapisco</t>
        </is>
      </c>
      <c r="C873" s="11" t="inlineStr">
        <is>
          <t>UN</t>
        </is>
      </c>
      <c r="D873" s="2162">
        <f>E873*$D$1</f>
        <v/>
      </c>
      <c r="E873" s="2162" t="n">
        <v>62</v>
      </c>
      <c r="F873" s="2162" t="inlineStr">
        <is>
          <t>Serviço Terceiros</t>
        </is>
      </c>
      <c r="G873" s="2162" t="inlineStr">
        <is>
          <t>Serviço Terceiros</t>
        </is>
      </c>
      <c r="H873" s="2162" t="inlineStr">
        <is>
          <t>COTAÇÃO GESSELE</t>
        </is>
      </c>
      <c r="I873" s="4" t="inlineStr">
        <is>
          <t>Mão de obra de Terceiros</t>
        </is>
      </c>
    </row>
    <row r="874" ht="15.75" customHeight="1">
      <c r="A874" s="10">
        <f>COUNTIFS($B$2:$B$996,B874)</f>
        <v/>
      </c>
      <c r="B874" s="10" t="inlineStr">
        <is>
          <t>MAO DE OBRA - IMPRMEABILIZAÇÃO CWS100</t>
        </is>
      </c>
      <c r="C874" s="11" t="inlineStr">
        <is>
          <t>M2</t>
        </is>
      </c>
      <c r="D874" s="2162">
        <f>E874*$D$1</f>
        <v/>
      </c>
      <c r="E874" s="2162" t="n">
        <v>27.4</v>
      </c>
      <c r="F874" s="2162" t="inlineStr">
        <is>
          <t>Serviço Terceiros</t>
        </is>
      </c>
      <c r="G874" s="2162" t="inlineStr">
        <is>
          <t>Serviço Terceiros</t>
        </is>
      </c>
      <c r="H874" s="2162" t="n"/>
      <c r="I874" s="4" t="inlineStr">
        <is>
          <t>Mão de obra de Terceiros</t>
        </is>
      </c>
    </row>
    <row r="875" ht="15.75" customHeight="1">
      <c r="A875" s="10">
        <f>COUNTIFS($B$2:$B$996,B875)</f>
        <v/>
      </c>
      <c r="B875" s="10" t="inlineStr">
        <is>
          <t xml:space="preserve">Mão de obra para regularização de superfície </t>
        </is>
      </c>
      <c r="C875" s="11" t="inlineStr">
        <is>
          <t>M2</t>
        </is>
      </c>
      <c r="D875" s="2162">
        <f>E875*$D$1</f>
        <v/>
      </c>
      <c r="E875" s="2162" t="n">
        <v>20</v>
      </c>
      <c r="F875" s="2162" t="inlineStr">
        <is>
          <t>Serviço Terceiros</t>
        </is>
      </c>
      <c r="G875" s="2162" t="inlineStr">
        <is>
          <t>Serviço Terceiros</t>
        </is>
      </c>
      <c r="H875" s="2162" t="n"/>
      <c r="I875" s="4" t="inlineStr">
        <is>
          <t>Mão de obra de Terceiros</t>
        </is>
      </c>
    </row>
    <row r="876" ht="15.75" customHeight="1">
      <c r="A876" s="10">
        <f>COUNTIFS($B$2:$B$996,B876)</f>
        <v/>
      </c>
      <c r="B876" s="10" t="inlineStr">
        <is>
          <t>Mão de Obra Pinturas das faixas de Pedestres</t>
        </is>
      </c>
      <c r="C876" s="11" t="inlineStr">
        <is>
          <t>M2</t>
        </is>
      </c>
      <c r="D876" s="2162">
        <f>E876*$D$1</f>
        <v/>
      </c>
      <c r="E876" s="2162" t="n">
        <v>20</v>
      </c>
      <c r="F876" s="2162" t="inlineStr">
        <is>
          <t>Serviço Terceiros</t>
        </is>
      </c>
      <c r="G876" s="2162" t="inlineStr">
        <is>
          <t>Serviço Terceiros</t>
        </is>
      </c>
      <c r="H876" s="2162" t="n"/>
      <c r="I876" s="4" t="inlineStr">
        <is>
          <t>Mão de obra de Terceiros</t>
        </is>
      </c>
    </row>
    <row r="877" ht="15.75" customHeight="1">
      <c r="A877" s="10">
        <f>COUNTIFS($B$2:$B$996,B877)</f>
        <v/>
      </c>
      <c r="B877" s="10" t="inlineStr">
        <is>
          <t>Mão de Obra Pinturas das vias</t>
        </is>
      </c>
      <c r="C877" s="11" t="inlineStr">
        <is>
          <t>M</t>
        </is>
      </c>
      <c r="D877" s="2162">
        <f>E877*$D$1</f>
        <v/>
      </c>
      <c r="E877" s="2162" t="n">
        <v>5</v>
      </c>
      <c r="F877" s="2162" t="inlineStr">
        <is>
          <t>Serviço Terceiros</t>
        </is>
      </c>
      <c r="G877" s="2162" t="inlineStr">
        <is>
          <t>Serviço Terceiros</t>
        </is>
      </c>
      <c r="H877" s="2162" t="n"/>
      <c r="I877" s="4" t="inlineStr">
        <is>
          <t>Mão de obra de Terceiros</t>
        </is>
      </c>
    </row>
    <row r="878" ht="15.75" customHeight="1">
      <c r="A878" s="10">
        <f>COUNTIFS($B$2:$B$996,B878)</f>
        <v/>
      </c>
      <c r="B878" s="10" t="inlineStr">
        <is>
          <t>Mão de Obra Piso Porcenato/ Cerâmico</t>
        </is>
      </c>
      <c r="C878" s="11" t="inlineStr">
        <is>
          <t>UN</t>
        </is>
      </c>
      <c r="D878" s="2162">
        <f>E878*$D$1</f>
        <v/>
      </c>
      <c r="E878" s="2162" t="n">
        <v>75</v>
      </c>
      <c r="F878" s="2162" t="inlineStr">
        <is>
          <t>Serviço Terceiros</t>
        </is>
      </c>
      <c r="G878" s="2162" t="inlineStr">
        <is>
          <t>Serviço Terceiros</t>
        </is>
      </c>
      <c r="H878" s="2162" t="n"/>
      <c r="I878" s="4" t="inlineStr">
        <is>
          <t>Mão de obra de Terceiros</t>
        </is>
      </c>
    </row>
    <row r="879" ht="15.75" customHeight="1">
      <c r="A879" s="10">
        <f>COUNTIFS($B$2:$B$996,B879)</f>
        <v/>
      </c>
      <c r="B879" s="10" t="inlineStr">
        <is>
          <t>Mão de obra tratamento de ralo com manta de poliéster</t>
        </is>
      </c>
      <c r="C879" s="11" t="inlineStr">
        <is>
          <t>UN</t>
        </is>
      </c>
      <c r="D879" s="2162">
        <f>E879*$D$1</f>
        <v/>
      </c>
      <c r="E879" s="2162" t="n">
        <v>50</v>
      </c>
      <c r="F879" s="2162" t="inlineStr">
        <is>
          <t>Serviço Terceiros</t>
        </is>
      </c>
      <c r="G879" s="2162" t="inlineStr">
        <is>
          <t>Serviço Terceiros</t>
        </is>
      </c>
      <c r="H879" s="2162" t="n"/>
      <c r="I879" s="4" t="inlineStr">
        <is>
          <t>Mão de obra de Terceiros</t>
        </is>
      </c>
    </row>
    <row r="880" ht="15.75" customHeight="1">
      <c r="A880" s="10">
        <f>COUNTIFS($B$2:$B$996,B880)</f>
        <v/>
      </c>
      <c r="B880" s="10" t="inlineStr">
        <is>
          <t>Mão de obra para execução de supraestrutura de concreto armado</t>
        </is>
      </c>
      <c r="C880" s="11" t="inlineStr">
        <is>
          <t>m2</t>
        </is>
      </c>
      <c r="D880" s="2162">
        <f>E880*$D$1</f>
        <v/>
      </c>
      <c r="E880" s="2162" t="n">
        <v>290</v>
      </c>
      <c r="F880" s="2162" t="inlineStr">
        <is>
          <t>Serviço Terceiros</t>
        </is>
      </c>
      <c r="G880" s="2162" t="inlineStr">
        <is>
          <t>Serviço Terceiros</t>
        </is>
      </c>
      <c r="H880" s="2162" t="n"/>
      <c r="I880" s="4" t="inlineStr">
        <is>
          <t>Mão de obra de Terceiros</t>
        </is>
      </c>
    </row>
    <row r="881" ht="15.75" customHeight="1">
      <c r="A881" s="10">
        <f>COUNTIFS($B$2:$B$996,B881)</f>
        <v/>
      </c>
      <c r="B881" s="10" t="inlineStr">
        <is>
          <t>Mão de Obra Polimento de piso</t>
        </is>
      </c>
      <c r="C881" s="11" t="inlineStr">
        <is>
          <t>m2</t>
        </is>
      </c>
      <c r="D881" s="2162">
        <f>E881*$D$1</f>
        <v/>
      </c>
      <c r="E881" s="2162" t="n">
        <v>25</v>
      </c>
      <c r="F881" s="2162" t="inlineStr">
        <is>
          <t>Serviço Terceiros</t>
        </is>
      </c>
      <c r="G881" s="2162" t="inlineStr">
        <is>
          <t>Serviço Terceiros</t>
        </is>
      </c>
      <c r="H881" s="2162" t="n"/>
      <c r="I881" s="4" t="inlineStr">
        <is>
          <t>Mão de obra de Terceiros</t>
        </is>
      </c>
    </row>
    <row r="882" ht="15.75" customHeight="1">
      <c r="A882" s="10">
        <f>COUNTIFS($B$2:$B$996,B882)</f>
        <v/>
      </c>
      <c r="B882" s="10" t="inlineStr">
        <is>
          <t>Movimentação de terra para bota-fora - Escavação Vertical Terraplenagem</t>
        </is>
      </c>
      <c r="C882" s="11" t="inlineStr">
        <is>
          <t>M3</t>
        </is>
      </c>
      <c r="D882" s="2162">
        <f>E882*$D$1</f>
        <v/>
      </c>
      <c r="E882" s="2162" t="n">
        <v>45.45</v>
      </c>
      <c r="F882" s="2162" t="inlineStr">
        <is>
          <t>Serviço Terceiros</t>
        </is>
      </c>
      <c r="G882" s="2162" t="inlineStr">
        <is>
          <t>Serviço Terceiros</t>
        </is>
      </c>
      <c r="H882" s="2162" t="n"/>
      <c r="I882" s="4" t="inlineStr">
        <is>
          <t>Mão de obra de Terceiros</t>
        </is>
      </c>
    </row>
    <row r="883" ht="15.75" customHeight="1">
      <c r="A883" s="10">
        <f>COUNTIFS($B$2:$B$996,B883)</f>
        <v/>
      </c>
      <c r="B883" s="10" t="inlineStr">
        <is>
          <t>Movimentação de terra para bota-fora - Escavação de Valas</t>
        </is>
      </c>
      <c r="C883" s="11" t="inlineStr">
        <is>
          <t>M3</t>
        </is>
      </c>
      <c r="D883" s="2162">
        <f>E883*$D$1</f>
        <v/>
      </c>
      <c r="E883" s="2162" t="n">
        <v>45.45</v>
      </c>
      <c r="F883" s="2162" t="inlineStr">
        <is>
          <t>Serviço Terceiros</t>
        </is>
      </c>
      <c r="G883" s="2162" t="inlineStr">
        <is>
          <t>Serviço Terceiros</t>
        </is>
      </c>
      <c r="H883" s="2162" t="n"/>
      <c r="I883" s="4" t="inlineStr">
        <is>
          <t>Mão de obra de Terceiros</t>
        </is>
      </c>
    </row>
    <row r="884" ht="15.75" customHeight="1">
      <c r="A884" s="10">
        <f>COUNTIFS($B$2:$B$996,B884)</f>
        <v/>
      </c>
      <c r="B884" s="10" t="inlineStr">
        <is>
          <t>Movimentação de terra para bota-fora - Estacas</t>
        </is>
      </c>
      <c r="C884" s="11" t="inlineStr">
        <is>
          <t>M3</t>
        </is>
      </c>
      <c r="D884" s="2162">
        <f>E884*$D$1</f>
        <v/>
      </c>
      <c r="E884" s="2162" t="n">
        <v>68.18000000000001</v>
      </c>
      <c r="F884" s="2162" t="inlineStr">
        <is>
          <t>Serviço Terceiros</t>
        </is>
      </c>
      <c r="G884" s="2162" t="inlineStr">
        <is>
          <t>Serviço Terceiros</t>
        </is>
      </c>
      <c r="H884" s="2162" t="n"/>
      <c r="I884" s="4" t="inlineStr">
        <is>
          <t>Mão de obra de Terceiros</t>
        </is>
      </c>
    </row>
    <row r="885" ht="15.75" customHeight="1">
      <c r="A885" s="10">
        <f>COUNTIFS($B$2:$B$996,B885)</f>
        <v/>
      </c>
      <c r="B885" s="10" t="inlineStr">
        <is>
          <t>Reaterro mecanizado com retroescavadeira</t>
        </is>
      </c>
      <c r="C885" s="11" t="inlineStr">
        <is>
          <t>M3</t>
        </is>
      </c>
      <c r="D885" s="2162">
        <f>E885*$D$1</f>
        <v/>
      </c>
      <c r="E885" s="2162" t="n">
        <v>14.55</v>
      </c>
      <c r="F885" s="2162" t="inlineStr">
        <is>
          <t>Serviço Terceiros</t>
        </is>
      </c>
      <c r="G885" s="2162" t="inlineStr">
        <is>
          <t>Serviço Terceiros</t>
        </is>
      </c>
      <c r="H885" s="2162" t="n"/>
      <c r="I885" s="4" t="inlineStr">
        <is>
          <t>Mão de obra de Terceiros</t>
        </is>
      </c>
    </row>
    <row r="886" ht="14.25" customHeight="1">
      <c r="A886" s="10">
        <f>COUNTIFS($B$2:$B$996,B886)</f>
        <v/>
      </c>
      <c r="B886" s="82" t="inlineStr">
        <is>
          <t>Guarda Corpo de Vidro - fornecimento e instalação</t>
        </is>
      </c>
      <c r="C886" s="83" t="inlineStr">
        <is>
          <t>M2</t>
        </is>
      </c>
      <c r="D886" s="2165">
        <f>E886*$D$1</f>
        <v/>
      </c>
      <c r="E886" s="2165" t="n">
        <v>850</v>
      </c>
      <c r="F886" s="2165" t="inlineStr">
        <is>
          <t xml:space="preserve">Esquadrias </t>
        </is>
      </c>
      <c r="G886" s="2165" t="inlineStr">
        <is>
          <t>Alumínio</t>
        </is>
      </c>
      <c r="H886" s="2165" t="n"/>
      <c r="I886" s="85" t="inlineStr">
        <is>
          <t>Esquadrias de Alumínio</t>
        </is>
      </c>
    </row>
    <row r="887" ht="14.25" customHeight="1">
      <c r="A887" s="10">
        <f>COUNTIFS($B$2:$B$996,B887)</f>
        <v/>
      </c>
      <c r="B887" s="82" t="inlineStr">
        <is>
          <t>Sistema Brise Metalon com estrutura e suportes de alumínio e pintura eletrostática preta</t>
        </is>
      </c>
      <c r="C887" s="83" t="inlineStr">
        <is>
          <t>M2</t>
        </is>
      </c>
      <c r="D887" s="2165">
        <f>E887*$D$1</f>
        <v/>
      </c>
      <c r="E887" s="2165" t="n">
        <v>1200</v>
      </c>
      <c r="F887" s="2165" t="inlineStr">
        <is>
          <t xml:space="preserve">Esquadrias </t>
        </is>
      </c>
      <c r="G887" s="2165" t="inlineStr">
        <is>
          <t>Alumínio</t>
        </is>
      </c>
      <c r="H887" s="2165" t="n"/>
      <c r="I887" s="85" t="inlineStr">
        <is>
          <t>Esquadrias de Alumínio</t>
        </is>
      </c>
    </row>
    <row r="888" ht="14.25" customHeight="1">
      <c r="A888" s="10">
        <f>COUNTIFS($B$2:$B$996,B888)</f>
        <v/>
      </c>
      <c r="B888" s="82" t="inlineStr">
        <is>
          <t>Sistema Brise Sul Metais SMB30 (Cor Tabaco SM 7182)</t>
        </is>
      </c>
      <c r="C888" s="83" t="inlineStr">
        <is>
          <t>M2</t>
        </is>
      </c>
      <c r="D888" s="2165">
        <f>E888*$D$1</f>
        <v/>
      </c>
      <c r="E888" s="2165" t="n">
        <v>950</v>
      </c>
      <c r="F888" s="2165" t="inlineStr">
        <is>
          <t xml:space="preserve">Esquadrias </t>
        </is>
      </c>
      <c r="G888" s="2165" t="inlineStr">
        <is>
          <t>Alumínio</t>
        </is>
      </c>
      <c r="H888" s="2165" t="n"/>
      <c r="I888" s="85" t="inlineStr">
        <is>
          <t>Esquadrias de Alumínio</t>
        </is>
      </c>
    </row>
    <row r="889" ht="14.25" customHeight="1">
      <c r="A889" s="10">
        <f>COUNTIFS($B$2:$B$996,B889)</f>
        <v/>
      </c>
      <c r="B889" s="82" t="inlineStr">
        <is>
          <t>Sistema Gradil Sul Metais SMB30 (Cor Tabaco SM 7182)</t>
        </is>
      </c>
      <c r="C889" s="83" t="inlineStr">
        <is>
          <t>M2</t>
        </is>
      </c>
      <c r="D889" s="2165">
        <f>E889*$D$1</f>
        <v/>
      </c>
      <c r="E889" s="2165" t="n">
        <v>860</v>
      </c>
      <c r="F889" s="2165" t="inlineStr">
        <is>
          <t xml:space="preserve">Esquadrias </t>
        </is>
      </c>
      <c r="G889" s="2165" t="inlineStr">
        <is>
          <t>Alumínio</t>
        </is>
      </c>
      <c r="H889" s="2165" t="n"/>
      <c r="I889" s="85" t="inlineStr">
        <is>
          <t>Esquadrias de Alumínio</t>
        </is>
      </c>
    </row>
    <row r="890" ht="14.25" customHeight="1">
      <c r="A890" s="10">
        <f>COUNTIFS($B$2:$B$996,B890)</f>
        <v/>
      </c>
      <c r="B890" s="82" t="inlineStr">
        <is>
          <t>Corrimão Duplo Metálico - inox escovado 304 - fornecimento e instalação</t>
        </is>
      </c>
      <c r="C890" s="83" t="inlineStr">
        <is>
          <t>M</t>
        </is>
      </c>
      <c r="D890" s="2165">
        <f>E890*$D$1</f>
        <v/>
      </c>
      <c r="E890" s="2165" t="n">
        <v>820</v>
      </c>
      <c r="F890" s="2165" t="inlineStr">
        <is>
          <t xml:space="preserve">Esquadrias </t>
        </is>
      </c>
      <c r="G890" s="2165" t="inlineStr">
        <is>
          <t>Corrimão metálico</t>
        </is>
      </c>
      <c r="H890" s="2165" t="n"/>
      <c r="I890" s="85" t="inlineStr">
        <is>
          <t>Esquadrias de Ferro</t>
        </is>
      </c>
    </row>
    <row r="891" ht="14.25" customHeight="1">
      <c r="A891" s="10">
        <f>COUNTIFS($B$2:$B$996,B891)</f>
        <v/>
      </c>
      <c r="B891" s="82" t="inlineStr">
        <is>
          <t>Corrimão Parede Metálico - inox escovado 304 - fornecimento e instalação</t>
        </is>
      </c>
      <c r="C891" s="83" t="inlineStr">
        <is>
          <t>M</t>
        </is>
      </c>
      <c r="D891" s="2165">
        <f>E891*$D$1</f>
        <v/>
      </c>
      <c r="E891" s="2165" t="n">
        <v>520</v>
      </c>
      <c r="F891" s="2165" t="inlineStr">
        <is>
          <t xml:space="preserve">Esquadrias </t>
        </is>
      </c>
      <c r="G891" s="2165" t="inlineStr">
        <is>
          <t>Corrimão metálico</t>
        </is>
      </c>
      <c r="H891" s="2165" t="n"/>
      <c r="I891" s="85" t="inlineStr">
        <is>
          <t>Esquadrias de Ferro</t>
        </is>
      </c>
    </row>
    <row r="892" ht="14.25" customHeight="1">
      <c r="A892" s="10">
        <f>COUNTIFS($B$2:$B$996,B892)</f>
        <v/>
      </c>
      <c r="B892" s="82" t="inlineStr">
        <is>
          <t>Guarda Corpo metálico - inox 304 escovado - fornecimento e instalação</t>
        </is>
      </c>
      <c r="C892" s="83" t="inlineStr">
        <is>
          <t>M2</t>
        </is>
      </c>
      <c r="D892" s="2165">
        <f>E892*$D$1</f>
        <v/>
      </c>
      <c r="E892" s="2165" t="n">
        <v>1240</v>
      </c>
      <c r="F892" s="2165" t="inlineStr">
        <is>
          <t xml:space="preserve">Esquadrias </t>
        </is>
      </c>
      <c r="G892" s="2165" t="inlineStr">
        <is>
          <t>Corrimão metálico</t>
        </is>
      </c>
      <c r="H892" s="2165" t="n"/>
      <c r="I892" s="85" t="inlineStr">
        <is>
          <t>Esquadrias de Ferro</t>
        </is>
      </c>
    </row>
    <row r="893" ht="14.25" customHeight="1">
      <c r="A893" s="10">
        <f>COUNTIFS($B$2:$B$996,B893)</f>
        <v/>
      </c>
      <c r="B893" s="82" t="inlineStr">
        <is>
          <t>Corrimão Metálico Duplo - fornecimento e instalação</t>
        </is>
      </c>
      <c r="C893" s="83" t="inlineStr">
        <is>
          <t>M</t>
        </is>
      </c>
      <c r="D893" s="2165">
        <f>E893*$D$1</f>
        <v/>
      </c>
      <c r="E893" s="2165" t="n">
        <v>98.79000000000001</v>
      </c>
      <c r="F893" s="2165" t="inlineStr">
        <is>
          <t xml:space="preserve">Esquadrias </t>
        </is>
      </c>
      <c r="G893" s="2165" t="inlineStr">
        <is>
          <t>Corrimão metálico</t>
        </is>
      </c>
      <c r="H893" s="2165" t="n"/>
      <c r="I893" s="85" t="inlineStr">
        <is>
          <t>Esquadrias de Ferro</t>
        </is>
      </c>
    </row>
    <row r="894" ht="14.25" customHeight="1">
      <c r="A894" s="10">
        <f>COUNTIFS($B$2:$B$996,B894)</f>
        <v/>
      </c>
      <c r="B894" s="82" t="inlineStr">
        <is>
          <t>Porta de madeira de abrir - 60x150cm (kit completo)</t>
        </is>
      </c>
      <c r="C894" s="83" t="inlineStr">
        <is>
          <t>M2</t>
        </is>
      </c>
      <c r="D894" s="2165">
        <f>E894*$D$1</f>
        <v/>
      </c>
      <c r="E894" s="2165" t="n">
        <v>1000</v>
      </c>
      <c r="F894" s="2165" t="inlineStr">
        <is>
          <t xml:space="preserve">Esquadrias </t>
        </is>
      </c>
      <c r="G894" s="2165" t="inlineStr">
        <is>
          <t>Madeira</t>
        </is>
      </c>
      <c r="H894" s="2165" t="n"/>
      <c r="I894" s="85" t="inlineStr">
        <is>
          <t>Esquadrias de Madeira</t>
        </is>
      </c>
    </row>
    <row r="895" ht="14.25" customHeight="1">
      <c r="A895" s="10">
        <f>COUNTIFS($B$2:$B$996,B895)</f>
        <v/>
      </c>
      <c r="B895" s="82" t="inlineStr">
        <is>
          <t>Porta de madeira de Correr - 70x210cm (kit completo)</t>
        </is>
      </c>
      <c r="C895" s="83" t="inlineStr">
        <is>
          <t>M2</t>
        </is>
      </c>
      <c r="D895" s="2165">
        <f>E895*$D$1</f>
        <v/>
      </c>
      <c r="E895" s="2165" t="n">
        <v>1358.5</v>
      </c>
      <c r="F895" s="2165" t="inlineStr">
        <is>
          <t xml:space="preserve">Esquadrias </t>
        </is>
      </c>
      <c r="G895" s="2165" t="inlineStr">
        <is>
          <t>Madeira</t>
        </is>
      </c>
      <c r="H895" s="2165" t="n"/>
      <c r="I895" s="85" t="inlineStr">
        <is>
          <t>Esquadrias de Madeira</t>
        </is>
      </c>
    </row>
    <row r="896" ht="14.25" customHeight="1">
      <c r="A896" s="10">
        <f>COUNTIFS($B$2:$B$996,B896)</f>
        <v/>
      </c>
      <c r="B896" s="82" t="inlineStr">
        <is>
          <t>Porta de madeira de Correr - 110x210cm (kit completo)</t>
        </is>
      </c>
      <c r="C896" s="83" t="inlineStr">
        <is>
          <t>M2</t>
        </is>
      </c>
      <c r="D896" s="2165">
        <f>E896*$D$1</f>
        <v/>
      </c>
      <c r="E896" s="2165">
        <f>1358.5*1.1</f>
        <v/>
      </c>
      <c r="F896" s="2165" t="inlineStr">
        <is>
          <t xml:space="preserve">Esquadrias </t>
        </is>
      </c>
      <c r="G896" s="2165" t="inlineStr">
        <is>
          <t>Madeira</t>
        </is>
      </c>
      <c r="H896" s="2165" t="n"/>
      <c r="I896" s="85" t="inlineStr">
        <is>
          <t>Esquadrias de Madeira</t>
        </is>
      </c>
    </row>
    <row r="897" ht="14.25" customHeight="1">
      <c r="A897" s="10">
        <f>COUNTIFS($B$2:$B$996,B897)</f>
        <v/>
      </c>
      <c r="B897" s="82" t="inlineStr">
        <is>
          <t>Porta de madeira de Correr - 120x210cm (kit completo)</t>
        </is>
      </c>
      <c r="C897" s="83" t="inlineStr">
        <is>
          <t>M2</t>
        </is>
      </c>
      <c r="D897" s="2165">
        <f>E897*$D$1</f>
        <v/>
      </c>
      <c r="E897" s="2165">
        <f>1358.5*1.1</f>
        <v/>
      </c>
      <c r="F897" s="2165" t="inlineStr">
        <is>
          <t xml:space="preserve">Esquadrias </t>
        </is>
      </c>
      <c r="G897" s="2165" t="inlineStr">
        <is>
          <t>Madeira</t>
        </is>
      </c>
      <c r="H897" s="2165" t="n"/>
      <c r="I897" s="85" t="inlineStr">
        <is>
          <t>Esquadrias de Madeira</t>
        </is>
      </c>
    </row>
    <row r="898" ht="14.25" customHeight="1">
      <c r="A898" s="10">
        <f>COUNTIFS($B$2:$B$996,B898)</f>
        <v/>
      </c>
      <c r="B898" s="82" t="inlineStr">
        <is>
          <t>Porta de madeira de Correr - 135x210cm (kit completo)</t>
        </is>
      </c>
      <c r="C898" s="83" t="inlineStr">
        <is>
          <t>M2</t>
        </is>
      </c>
      <c r="D898" s="2165">
        <f>E898*$D$1</f>
        <v/>
      </c>
      <c r="E898" s="2165">
        <f>1358.5*1.35</f>
        <v/>
      </c>
      <c r="F898" s="2165" t="inlineStr">
        <is>
          <t xml:space="preserve">Esquadrias </t>
        </is>
      </c>
      <c r="G898" s="2165" t="inlineStr">
        <is>
          <t>Madeira</t>
        </is>
      </c>
      <c r="H898" s="2165" t="n"/>
      <c r="I898" s="85" t="inlineStr">
        <is>
          <t>Esquadrias de Madeira</t>
        </is>
      </c>
    </row>
    <row r="899" ht="14.25" customHeight="1">
      <c r="A899" s="10">
        <f>COUNTIFS($B$2:$B$996,B899)</f>
        <v/>
      </c>
      <c r="B899" s="82" t="inlineStr">
        <is>
          <t>Porta de madeira de Correr - 150x210cm (kit completo)</t>
        </is>
      </c>
      <c r="C899" s="83" t="inlineStr">
        <is>
          <t>M2</t>
        </is>
      </c>
      <c r="D899" s="2165">
        <f>E899*$D$1</f>
        <v/>
      </c>
      <c r="E899" s="2165">
        <f>1358.5*1.5</f>
        <v/>
      </c>
      <c r="F899" s="2165" t="inlineStr">
        <is>
          <t xml:space="preserve">Esquadrias </t>
        </is>
      </c>
      <c r="G899" s="2165" t="inlineStr">
        <is>
          <t>Madeira</t>
        </is>
      </c>
      <c r="H899" s="2165" t="n"/>
      <c r="I899" s="85" t="inlineStr">
        <is>
          <t>Esquadrias de Madeira</t>
        </is>
      </c>
    </row>
    <row r="900" ht="14.25" customHeight="1">
      <c r="A900" s="10">
        <f>COUNTIFS($B$2:$B$996,B900)</f>
        <v/>
      </c>
      <c r="B900" s="82" t="inlineStr">
        <is>
          <t>Porta corta-fogo, 1 folha, 90x210 cm</t>
        </is>
      </c>
      <c r="C900" s="83" t="inlineStr">
        <is>
          <t>un</t>
        </is>
      </c>
      <c r="D900" s="2165">
        <f>E900*$D$1</f>
        <v/>
      </c>
      <c r="E900" s="2165">
        <f>1100*90/80</f>
        <v/>
      </c>
      <c r="F900" s="2165" t="inlineStr">
        <is>
          <t xml:space="preserve">Esquadrias </t>
        </is>
      </c>
      <c r="G900" s="2165" t="inlineStr">
        <is>
          <t>Metálicas</t>
        </is>
      </c>
      <c r="H900" s="2165" t="n"/>
      <c r="I900" s="85" t="inlineStr">
        <is>
          <t>Esquadrias de Ferro</t>
        </is>
      </c>
    </row>
    <row r="901" ht="14.25" customHeight="1">
      <c r="A901" s="10">
        <f>COUNTIFS($B$2:$B$996,B901)</f>
        <v/>
      </c>
      <c r="B901" s="82" t="inlineStr">
        <is>
          <t>Guarda Corpo metálico (gradil) - fornecimento e instalação</t>
        </is>
      </c>
      <c r="C901" s="83" t="inlineStr">
        <is>
          <t>M2</t>
        </is>
      </c>
      <c r="D901" s="2165">
        <f>E901*$D$1</f>
        <v/>
      </c>
      <c r="E901" s="2165" t="n">
        <v>600</v>
      </c>
      <c r="F901" s="2165" t="inlineStr">
        <is>
          <t xml:space="preserve">Esquadrias </t>
        </is>
      </c>
      <c r="G901" s="2165" t="inlineStr">
        <is>
          <t>Metálicas</t>
        </is>
      </c>
      <c r="H901" s="2165" t="n"/>
      <c r="I901" s="85" t="inlineStr">
        <is>
          <t>Esquadrias de Ferro</t>
        </is>
      </c>
    </row>
    <row r="902" ht="14.25" customHeight="1">
      <c r="A902" s="10">
        <f>COUNTIFS($B$2:$B$996,B902)</f>
        <v/>
      </c>
      <c r="B902" s="82" t="inlineStr">
        <is>
          <t>Porta corta-fogo, 1 folha, 96x210 cm</t>
        </is>
      </c>
      <c r="C902" s="83" t="inlineStr">
        <is>
          <t>un</t>
        </is>
      </c>
      <c r="D902" s="2165">
        <f>E902*$D$1</f>
        <v/>
      </c>
      <c r="E902" s="2165" t="n">
        <v>2530</v>
      </c>
      <c r="F902" s="2165" t="inlineStr">
        <is>
          <t xml:space="preserve">Esquadrias </t>
        </is>
      </c>
      <c r="G902" s="2165" t="inlineStr">
        <is>
          <t>Metálicas</t>
        </is>
      </c>
      <c r="H902" s="2165" t="n"/>
      <c r="I902" s="85" t="inlineStr">
        <is>
          <t>Esquadrias de Ferro</t>
        </is>
      </c>
    </row>
    <row r="903" ht="14.25" customHeight="1">
      <c r="A903" s="10">
        <f>COUNTIFS($B$2:$B$996,B903)</f>
        <v/>
      </c>
      <c r="B903" s="82" t="inlineStr">
        <is>
          <t>Portão, 1 folha, 320x245 cm</t>
        </is>
      </c>
      <c r="C903" s="83" t="inlineStr">
        <is>
          <t>un</t>
        </is>
      </c>
      <c r="D903" s="2165">
        <f>E903*$D$1</f>
        <v/>
      </c>
      <c r="E903" s="2165">
        <f>9302*(3.2*2.45)/(3.5*2.4)</f>
        <v/>
      </c>
      <c r="F903" s="2165" t="inlineStr">
        <is>
          <t xml:space="preserve">Esquadrias </t>
        </is>
      </c>
      <c r="G903" s="2165" t="inlineStr">
        <is>
          <t>Metálicas</t>
        </is>
      </c>
      <c r="H903" s="2165" t="n"/>
      <c r="I903" s="85" t="inlineStr">
        <is>
          <t>Esquadrias de Ferro</t>
        </is>
      </c>
    </row>
    <row r="904" ht="14.25" customHeight="1">
      <c r="A904" s="10">
        <f>COUNTIFS($B$2:$B$996,B904)</f>
        <v/>
      </c>
      <c r="B904" s="82" t="inlineStr">
        <is>
          <t>Portão, 1 folha, 320x220 cm</t>
        </is>
      </c>
      <c r="C904" s="83" t="inlineStr">
        <is>
          <t>un</t>
        </is>
      </c>
      <c r="D904" s="2165">
        <f>E904*$D$1</f>
        <v/>
      </c>
      <c r="E904" s="2165">
        <f>9302*(3.2*2.2)/(3.5*2.4)</f>
        <v/>
      </c>
      <c r="F904" s="2165" t="inlineStr">
        <is>
          <t xml:space="preserve">Esquadrias </t>
        </is>
      </c>
      <c r="G904" s="2165" t="inlineStr">
        <is>
          <t>Metálicas</t>
        </is>
      </c>
      <c r="H904" s="2165" t="n"/>
      <c r="I904" s="85" t="inlineStr">
        <is>
          <t>Esquadrias de Ferro</t>
        </is>
      </c>
    </row>
    <row r="905" ht="14.25" customHeight="1">
      <c r="A905" s="10">
        <f>COUNTIFS($B$2:$B$996,B905)</f>
        <v/>
      </c>
      <c r="B905" s="82" t="inlineStr">
        <is>
          <t>Portão, 1 folha, 90x220 cm</t>
        </is>
      </c>
      <c r="C905" s="83" t="inlineStr">
        <is>
          <t>un</t>
        </is>
      </c>
      <c r="D905" s="2165">
        <f>E905*$D$1</f>
        <v/>
      </c>
      <c r="E905" s="2165">
        <f>9302*(0.9*2.2)/(3.5*2.4)</f>
        <v/>
      </c>
      <c r="F905" s="2165" t="inlineStr">
        <is>
          <t xml:space="preserve">Esquadrias </t>
        </is>
      </c>
      <c r="G905" s="2165" t="inlineStr">
        <is>
          <t>Metálicas</t>
        </is>
      </c>
      <c r="H905" s="2165" t="n"/>
      <c r="I905" s="85" t="inlineStr">
        <is>
          <t>Esquadrias de Ferro</t>
        </is>
      </c>
    </row>
    <row r="906" ht="14.25" customHeight="1">
      <c r="A906" s="10">
        <f>COUNTIFS($B$2:$B$996,B906)</f>
        <v/>
      </c>
      <c r="B906" s="82" t="inlineStr">
        <is>
          <t>Portão, 2 folha, 150x112 cm</t>
        </is>
      </c>
      <c r="C906" s="83" t="inlineStr">
        <is>
          <t>un</t>
        </is>
      </c>
      <c r="D906" s="2165">
        <f>E906*$D$1</f>
        <v/>
      </c>
      <c r="E906" s="2165">
        <f>9302*(1.5*1.12)/(3.5*2.4)</f>
        <v/>
      </c>
      <c r="F906" s="2165" t="inlineStr">
        <is>
          <t xml:space="preserve">Esquadrias </t>
        </is>
      </c>
      <c r="G906" s="2165" t="inlineStr">
        <is>
          <t>Metálicas</t>
        </is>
      </c>
      <c r="H906" s="2165" t="n"/>
      <c r="I906" s="85" t="inlineStr">
        <is>
          <t>Esquadrias de Ferro</t>
        </is>
      </c>
    </row>
    <row r="907" ht="14.25" customHeight="1">
      <c r="A907" s="10">
        <f>COUNTIFS($B$2:$B$996,B907)</f>
        <v/>
      </c>
      <c r="B907" s="82" t="inlineStr">
        <is>
          <t>Portão, 1 folha, 320x295 cm</t>
        </is>
      </c>
      <c r="C907" s="83" t="inlineStr">
        <is>
          <t>un</t>
        </is>
      </c>
      <c r="D907" s="2165">
        <f>E907*$D$1</f>
        <v/>
      </c>
      <c r="E907" s="2165">
        <f>9302*(3.2*2.95)/(3.5*2.4)</f>
        <v/>
      </c>
      <c r="F907" s="2165" t="inlineStr">
        <is>
          <t xml:space="preserve">Esquadrias </t>
        </is>
      </c>
      <c r="G907" s="2165" t="inlineStr">
        <is>
          <t>Metálicas</t>
        </is>
      </c>
      <c r="H907" s="2165" t="n"/>
      <c r="I907" s="85" t="inlineStr">
        <is>
          <t>Esquadrias de Ferro</t>
        </is>
      </c>
    </row>
    <row r="908" ht="15.75" customHeight="1">
      <c r="A908" s="10">
        <f>COUNTIFS($B$2:$B$996,B908)</f>
        <v/>
      </c>
      <c r="B908" s="10" t="inlineStr">
        <is>
          <t>SERVICO - CONFECCAO SHAFT GESSO</t>
        </is>
      </c>
      <c r="C908" s="11" t="inlineStr">
        <is>
          <t>M2</t>
        </is>
      </c>
      <c r="D908" s="2162">
        <f>E908*$D$1</f>
        <v/>
      </c>
      <c r="E908" s="2162" t="n">
        <v>70</v>
      </c>
      <c r="F908" s="2162" t="inlineStr">
        <is>
          <t>Serviço Terceiros</t>
        </is>
      </c>
      <c r="G908" s="2162" t="inlineStr">
        <is>
          <t>Serviço Terceiros</t>
        </is>
      </c>
      <c r="H908" s="2162" t="n"/>
      <c r="I908" s="4" t="inlineStr">
        <is>
          <t>Mão de obra de Terceiros</t>
        </is>
      </c>
    </row>
    <row r="909" ht="15.75" customHeight="1">
      <c r="A909" s="10">
        <f>COUNTIFS($B$2:$B$996,B909)</f>
        <v/>
      </c>
      <c r="B909" s="10" t="inlineStr">
        <is>
          <t>SERVICO - CONFECCAO FORRO MODULAR</t>
        </is>
      </c>
      <c r="C909" s="11" t="inlineStr">
        <is>
          <t>M2</t>
        </is>
      </c>
      <c r="D909" s="2162">
        <f>E909*$D$1</f>
        <v/>
      </c>
      <c r="E909" s="2162" t="n">
        <v>70</v>
      </c>
      <c r="F909" s="2162" t="inlineStr">
        <is>
          <t>Serviço Terceiros</t>
        </is>
      </c>
      <c r="G909" s="2162" t="inlineStr">
        <is>
          <t>Serviço Terceiros</t>
        </is>
      </c>
      <c r="H909" s="2162" t="n"/>
      <c r="I909" s="4" t="inlineStr">
        <is>
          <t>Mão de obra de Terceiros</t>
        </is>
      </c>
    </row>
    <row r="910" ht="15.75" customHeight="1">
      <c r="A910" s="10">
        <f>COUNTIFS($B$2:$B$996,B910)</f>
        <v/>
      </c>
      <c r="B910" s="10" t="inlineStr">
        <is>
          <t>Serviço de Arrasamentode Estacas</t>
        </is>
      </c>
      <c r="C910" s="11" t="inlineStr">
        <is>
          <t>UN</t>
        </is>
      </c>
      <c r="D910" s="2162">
        <f>E910*$D$1</f>
        <v/>
      </c>
      <c r="E910" s="2162" t="n">
        <v>300</v>
      </c>
      <c r="F910" s="2162" t="inlineStr">
        <is>
          <t>Serviço Terceiros</t>
        </is>
      </c>
      <c r="G910" s="2162" t="inlineStr">
        <is>
          <t>Serviço Terceiros</t>
        </is>
      </c>
      <c r="H910" s="2162" t="n"/>
      <c r="I910" s="4" t="inlineStr">
        <is>
          <t>Mão de obra de Terceiros</t>
        </is>
      </c>
    </row>
    <row r="911" ht="15.75" customHeight="1">
      <c r="A911" s="10">
        <f>COUNTIFS($B$2:$B$996,B911)</f>
        <v/>
      </c>
      <c r="B911" s="10" t="inlineStr">
        <is>
          <t>serviço de bombeamento</t>
        </is>
      </c>
      <c r="C911" s="11" t="inlineStr">
        <is>
          <t>M3</t>
        </is>
      </c>
      <c r="D911" s="2162">
        <f>E911*$D$1</f>
        <v/>
      </c>
      <c r="E911" s="2162" t="n">
        <v>40</v>
      </c>
      <c r="F911" s="2162" t="inlineStr">
        <is>
          <t>Serviço Terceiros</t>
        </is>
      </c>
      <c r="G911" s="2162" t="inlineStr">
        <is>
          <t>Serviço Terceiros</t>
        </is>
      </c>
      <c r="H911" s="2162" t="n"/>
      <c r="I911" s="4" t="inlineStr">
        <is>
          <t>Mão de obra de Terceiros</t>
        </is>
      </c>
    </row>
    <row r="912" ht="15.75" customHeight="1">
      <c r="A912" s="10">
        <f>COUNTIFS($B$2:$B$996,B912)</f>
        <v/>
      </c>
      <c r="B912" s="10" t="inlineStr">
        <is>
          <t>Serviço de Instalação de Lajes pré-moldadas</t>
        </is>
      </c>
      <c r="C912" s="11" t="inlineStr">
        <is>
          <t>M2</t>
        </is>
      </c>
      <c r="D912" s="2162">
        <f>E912*$D$1</f>
        <v/>
      </c>
      <c r="E912" s="2162" t="n">
        <v>30</v>
      </c>
      <c r="F912" s="2162" t="inlineStr">
        <is>
          <t>Serviço Terceiros</t>
        </is>
      </c>
      <c r="G912" s="2162" t="inlineStr">
        <is>
          <t>Serviço Terceiros</t>
        </is>
      </c>
      <c r="H912" s="2162" t="n"/>
      <c r="I912" s="4" t="inlineStr">
        <is>
          <t>Mão de obra de Terceiros</t>
        </is>
      </c>
    </row>
    <row r="913" ht="15.75" customHeight="1">
      <c r="A913" s="10">
        <f>COUNTIFS($B$2:$B$996,B913)</f>
        <v/>
      </c>
      <c r="B913" s="10" t="inlineStr">
        <is>
          <t>SERVICO EMP. - INST. PROVISORIA - CONFECCAO BAIA P/MATERIAL</t>
        </is>
      </c>
      <c r="C913" s="11" t="inlineStr">
        <is>
          <t>M2</t>
        </is>
      </c>
      <c r="D913" s="2162">
        <f>E913*$D$1</f>
        <v/>
      </c>
      <c r="E913" s="2162" t="n">
        <v>10.5</v>
      </c>
      <c r="F913" s="2162" t="inlineStr">
        <is>
          <t>Serviço Terceiros</t>
        </is>
      </c>
      <c r="G913" s="2162" t="inlineStr">
        <is>
          <t>Serviço Terceiros</t>
        </is>
      </c>
      <c r="H913" s="2162" t="n"/>
      <c r="I913" s="4" t="inlineStr">
        <is>
          <t>Mão de obra de Terceiros</t>
        </is>
      </c>
    </row>
    <row r="914" ht="15.75" customHeight="1">
      <c r="A914" s="10">
        <f>COUNTIFS($B$2:$B$996,B914)</f>
        <v/>
      </c>
      <c r="B914" s="10" t="inlineStr">
        <is>
          <t>Serviço de fixação de contramarco de aluminio</t>
        </is>
      </c>
      <c r="C914" s="11" t="inlineStr">
        <is>
          <t>M2</t>
        </is>
      </c>
      <c r="D914" s="2162">
        <f>E914*$D$1</f>
        <v/>
      </c>
      <c r="E914" s="2162" t="n">
        <v>15</v>
      </c>
      <c r="F914" s="2162" t="inlineStr">
        <is>
          <t>Serviço Terceiros</t>
        </is>
      </c>
      <c r="G914" s="2162" t="inlineStr">
        <is>
          <t>Serviço Terceiros</t>
        </is>
      </c>
      <c r="H914" s="2162" t="n"/>
      <c r="I914" s="4" t="inlineStr">
        <is>
          <t>Mão de obra de Terceiros</t>
        </is>
      </c>
    </row>
    <row r="915" ht="15.75" customHeight="1">
      <c r="A915" s="10">
        <f>COUNTIFS($B$2:$B$996,B915)</f>
        <v/>
      </c>
      <c r="B915" s="10" t="inlineStr">
        <is>
          <t>Serviço de fixação de contramarco de aço</t>
        </is>
      </c>
      <c r="C915" s="11" t="inlineStr">
        <is>
          <t>M2</t>
        </is>
      </c>
      <c r="D915" s="2162">
        <f>E915*$D$1</f>
        <v/>
      </c>
      <c r="E915" s="2162" t="n">
        <v>30</v>
      </c>
      <c r="F915" s="2162" t="inlineStr">
        <is>
          <t>Serviço Terceiros</t>
        </is>
      </c>
      <c r="G915" s="2162" t="inlineStr">
        <is>
          <t>Serviço Terceiros</t>
        </is>
      </c>
      <c r="H915" s="2162" t="n"/>
      <c r="I915" s="4" t="inlineStr">
        <is>
          <t>Mão de obra de Terceiros</t>
        </is>
      </c>
    </row>
    <row r="916" ht="15.75" customHeight="1">
      <c r="A916" s="10">
        <f>COUNTIFS($B$2:$B$996,B916)</f>
        <v/>
      </c>
      <c r="B916" s="10" t="inlineStr">
        <is>
          <t>SERVICO INSTALAÇÃO BARRACAO ALMOXARIFADO</t>
        </is>
      </c>
      <c r="C916" s="11" t="inlineStr">
        <is>
          <t>M2</t>
        </is>
      </c>
      <c r="D916" s="2162">
        <f>E916*$D$1</f>
        <v/>
      </c>
      <c r="E916" s="2162" t="n">
        <v>50</v>
      </c>
      <c r="F916" s="2162" t="inlineStr">
        <is>
          <t>Serviço Terceiros</t>
        </is>
      </c>
      <c r="G916" s="2162" t="inlineStr">
        <is>
          <t>Serviço Terceiros</t>
        </is>
      </c>
      <c r="H916" s="2162" t="n"/>
      <c r="I916" s="4" t="inlineStr">
        <is>
          <t>Mão de obra de Terceiros</t>
        </is>
      </c>
    </row>
    <row r="917" ht="15.75" customHeight="1">
      <c r="A917" s="10">
        <f>COUNTIFS($B$2:$B$996,B917)</f>
        <v/>
      </c>
      <c r="B917" s="10" t="inlineStr">
        <is>
          <t>SERVICO PAVIMENTACAO INTERNA C/INTERTRAVADO - EXECUCAO COMPLETA</t>
        </is>
      </c>
      <c r="C917" s="11" t="inlineStr">
        <is>
          <t>M2</t>
        </is>
      </c>
      <c r="D917" s="2162">
        <f>E917*$D$1</f>
        <v/>
      </c>
      <c r="E917" s="2162" t="n">
        <v>50</v>
      </c>
      <c r="F917" s="2162" t="inlineStr">
        <is>
          <t>Serviço Terceiros</t>
        </is>
      </c>
      <c r="G917" s="2162" t="inlineStr">
        <is>
          <t>Serviço Terceiros</t>
        </is>
      </c>
      <c r="H917" s="2162" t="n"/>
      <c r="I917" s="4" t="inlineStr">
        <is>
          <t>Mão de obra de Terceiros</t>
        </is>
      </c>
    </row>
    <row r="918" ht="15.75" customHeight="1">
      <c r="A918" s="10">
        <f>COUNTIFS($B$2:$B$996,B918)</f>
        <v/>
      </c>
      <c r="B918" s="10" t="inlineStr">
        <is>
          <t>Mão de obra para instalação de portas corta-fogo</t>
        </is>
      </c>
      <c r="C918" s="11" t="inlineStr">
        <is>
          <t>un</t>
        </is>
      </c>
      <c r="D918" s="2162">
        <f>E918*$D$1</f>
        <v/>
      </c>
      <c r="E918" s="2162" t="n">
        <v>300</v>
      </c>
      <c r="F918" s="2162" t="inlineStr">
        <is>
          <t>Serviço Terceiros</t>
        </is>
      </c>
      <c r="G918" s="2162" t="inlineStr">
        <is>
          <t>Serviço Terceiros</t>
        </is>
      </c>
      <c r="H918" s="2162" t="n"/>
      <c r="I918" s="4" t="inlineStr">
        <is>
          <t>Mão de obra de Terceiros</t>
        </is>
      </c>
    </row>
    <row r="919" ht="15.75" customHeight="1">
      <c r="A919" s="10">
        <f>COUNTIFS($B$2:$B$996,B919)</f>
        <v/>
      </c>
      <c r="B919" s="10" t="inlineStr">
        <is>
          <t>Coralit Ultra Resistência Alto Brilho Imensidão Cinza</t>
        </is>
      </c>
      <c r="C919" s="11" t="inlineStr">
        <is>
          <t>L</t>
        </is>
      </c>
      <c r="D919" s="2162">
        <f>E919*$D$1</f>
        <v/>
      </c>
      <c r="E919" s="2162" t="n">
        <v>34.71944444444444</v>
      </c>
      <c r="F919" s="2162" t="inlineStr">
        <is>
          <t>Pintura</t>
        </is>
      </c>
      <c r="G919" s="2162" t="inlineStr">
        <is>
          <t>Pintura</t>
        </is>
      </c>
      <c r="H919" s="2162" t="n"/>
      <c r="I919" s="4" t="inlineStr">
        <is>
          <t>Pintura</t>
        </is>
      </c>
    </row>
    <row r="920" ht="15.75" customHeight="1">
      <c r="A920" s="10">
        <f>COUNTIFS($B$2:$B$996,B920)</f>
        <v/>
      </c>
      <c r="B920" s="10" t="inlineStr">
        <is>
          <t>Coralit Ultra Resistência Fosco Preto - Coral</t>
        </is>
      </c>
      <c r="C920" s="11" t="inlineStr">
        <is>
          <t>L</t>
        </is>
      </c>
      <c r="D920" s="2162">
        <f>E920*$D$1</f>
        <v/>
      </c>
      <c r="E920" s="2162" t="n">
        <v>49.97222222222222</v>
      </c>
      <c r="F920" s="2162" t="inlineStr">
        <is>
          <t>Pintura</t>
        </is>
      </c>
      <c r="G920" s="2162" t="inlineStr">
        <is>
          <t>Pintura</t>
        </is>
      </c>
      <c r="H920" s="2162" t="n"/>
      <c r="I920" s="4" t="inlineStr">
        <is>
          <t>Pintura</t>
        </is>
      </c>
    </row>
    <row r="921" ht="15.75" customHeight="1">
      <c r="A921" s="10">
        <f>COUNTIFS($B$2:$B$996,B921)</f>
        <v/>
      </c>
      <c r="B921" s="10" t="inlineStr">
        <is>
          <t>Selador acrilico opaco premium interno/externo</t>
        </is>
      </c>
      <c r="C921" s="11" t="inlineStr">
        <is>
          <t>L</t>
        </is>
      </c>
      <c r="D921" s="2162">
        <f>E921*$D$1</f>
        <v/>
      </c>
      <c r="E921" s="2162" t="n">
        <v>6.47</v>
      </c>
      <c r="F921" s="2162" t="inlineStr">
        <is>
          <t>Pintura</t>
        </is>
      </c>
      <c r="G921" s="2162" t="inlineStr">
        <is>
          <t>Pintura</t>
        </is>
      </c>
      <c r="H921" s="2162" t="n"/>
      <c r="I921" s="4" t="inlineStr">
        <is>
          <t>Pintura</t>
        </is>
      </c>
    </row>
    <row r="922" ht="15.75" customHeight="1">
      <c r="A922" s="10">
        <f>COUNTIFS($B$2:$B$996,B922)</f>
        <v/>
      </c>
      <c r="B922" s="10" t="inlineStr">
        <is>
          <t>Textura Acrílica Texturatto Premium Efeito Granulado</t>
        </is>
      </c>
      <c r="C922" s="11" t="inlineStr">
        <is>
          <t>KG</t>
        </is>
      </c>
      <c r="D922" s="2162">
        <f>E922*$D$1</f>
        <v/>
      </c>
      <c r="E922" s="2162" t="n">
        <v>12.78</v>
      </c>
      <c r="F922" s="2162" t="inlineStr">
        <is>
          <t>Pintura</t>
        </is>
      </c>
      <c r="G922" s="2162" t="inlineStr">
        <is>
          <t>Pintura</t>
        </is>
      </c>
      <c r="H922" s="2162" t="n"/>
      <c r="I922" s="4" t="inlineStr">
        <is>
          <t>Pintura</t>
        </is>
      </c>
    </row>
    <row r="923" ht="14.25" customHeight="1">
      <c r="A923" s="10">
        <f>COUNTIFS($B$2:$B$996,B923)</f>
        <v/>
      </c>
      <c r="B923" s="82" t="inlineStr">
        <is>
          <t>MICROESFERAS DE VIDRO PARA SINALIZACAO HORIZONTAL VIARIA, TIPO II-A (DROP-ON) - NBR  16184</t>
        </is>
      </c>
      <c r="C923" s="83" t="inlineStr">
        <is>
          <t>L</t>
        </is>
      </c>
      <c r="D923" s="2165">
        <f>E923*$D$1</f>
        <v/>
      </c>
      <c r="E923" s="2165" t="n">
        <v>40.25</v>
      </c>
      <c r="F923" s="2165" t="inlineStr">
        <is>
          <t>Pintura</t>
        </is>
      </c>
      <c r="G923" s="2165" t="inlineStr">
        <is>
          <t>Pintura</t>
        </is>
      </c>
      <c r="H923" s="2165" t="n"/>
      <c r="I923" s="85" t="inlineStr">
        <is>
          <t>Pintura</t>
        </is>
      </c>
    </row>
    <row r="924" ht="14.25" customHeight="1">
      <c r="A924" s="10">
        <f>COUNTIFS($B$2:$B$996,B924)</f>
        <v/>
      </c>
      <c r="B924" s="82" t="inlineStr">
        <is>
          <t>MICROESFERAS DE VIDRO PARA SINALIZACAO HORIZONTAL VIARIA, TIPO I-B (PREMIX) - NBR  16184</t>
        </is>
      </c>
      <c r="C924" s="83" t="inlineStr">
        <is>
          <t>KG</t>
        </is>
      </c>
      <c r="D924" s="2165">
        <f>E924*$D$1</f>
        <v/>
      </c>
      <c r="E924" s="2165" t="n">
        <v>23.2</v>
      </c>
      <c r="F924" s="2165" t="inlineStr">
        <is>
          <t>Pintura</t>
        </is>
      </c>
      <c r="G924" s="2165" t="inlineStr">
        <is>
          <t>Pintura</t>
        </is>
      </c>
      <c r="H924" s="2165" t="n"/>
      <c r="I924" s="85" t="inlineStr">
        <is>
          <t>Pintura</t>
        </is>
      </c>
    </row>
    <row r="925" ht="14.25" customHeight="1">
      <c r="A925" s="10">
        <f>COUNTIFS($B$2:$B$996,B925)</f>
        <v/>
      </c>
      <c r="B925" s="82" t="inlineStr">
        <is>
          <t>TINTA ESMALTE ACETINADO BASE SOLVENTE BRANCO NBR 15299</t>
        </is>
      </c>
      <c r="C925" s="83" t="inlineStr">
        <is>
          <t>KG</t>
        </is>
      </c>
      <c r="D925" s="2165">
        <f>E925*$D$1</f>
        <v/>
      </c>
      <c r="E925" s="2165" t="n">
        <v>10</v>
      </c>
      <c r="F925" s="2165" t="inlineStr">
        <is>
          <t>Pintura</t>
        </is>
      </c>
      <c r="G925" s="2165" t="inlineStr">
        <is>
          <t>Pintura</t>
        </is>
      </c>
      <c r="H925" s="2165" t="n"/>
      <c r="I925" s="85" t="inlineStr">
        <is>
          <t>Pintura</t>
        </is>
      </c>
    </row>
    <row r="926" ht="14.25" customHeight="1">
      <c r="A926" s="10">
        <f>COUNTIFS($B$2:$B$996,B926)</f>
        <v/>
      </c>
      <c r="B926" s="82" t="inlineStr">
        <is>
          <t>TINTA LATEX ACRILICO FOSCO INT./EXT. PREMIUM PLUS BRANCO NBR 14942</t>
        </is>
      </c>
      <c r="C926" s="83" t="inlineStr">
        <is>
          <t>L</t>
        </is>
      </c>
      <c r="D926" s="2165">
        <f>E926*$D$1</f>
        <v/>
      </c>
      <c r="E926" s="2165" t="n">
        <v>8.5</v>
      </c>
      <c r="F926" s="2165" t="inlineStr">
        <is>
          <t>Pintura</t>
        </is>
      </c>
      <c r="G926" s="2165" t="inlineStr">
        <is>
          <t>Pintura</t>
        </is>
      </c>
      <c r="H926" s="2165" t="n"/>
      <c r="I926" s="85" t="inlineStr">
        <is>
          <t>Pintura</t>
        </is>
      </c>
    </row>
    <row r="927" ht="15.75" customHeight="1">
      <c r="A927" s="10">
        <f>COUNTIFS($B$2:$B$996,B927)</f>
        <v/>
      </c>
      <c r="B927" s="10" t="inlineStr">
        <is>
          <t>Tinta Esmalte Sintético Base Solvente Brilhante Pronta para Uso Amarelo 3,6L Luxens</t>
        </is>
      </c>
      <c r="C927" s="11" t="inlineStr">
        <is>
          <t>L</t>
        </is>
      </c>
      <c r="D927" s="2162">
        <f>E927*$D$1</f>
        <v/>
      </c>
      <c r="E927" s="2162" t="n">
        <v>43.02777777777778</v>
      </c>
      <c r="F927" s="2162" t="inlineStr">
        <is>
          <t>Pintura</t>
        </is>
      </c>
      <c r="G927" s="2162" t="inlineStr">
        <is>
          <t>Pintura</t>
        </is>
      </c>
      <c r="H927" s="2162" t="n"/>
      <c r="I927" s="4" t="inlineStr">
        <is>
          <t>Pintura</t>
        </is>
      </c>
    </row>
    <row r="928" ht="15.75" customHeight="1">
      <c r="A928" s="10">
        <f>COUNTIFS($B$2:$B$996,B928)</f>
        <v/>
      </c>
      <c r="B928" s="10" t="inlineStr">
        <is>
          <t>DILUENTE AGUARRAS</t>
        </is>
      </c>
      <c r="C928" s="11" t="inlineStr">
        <is>
          <t>L</t>
        </is>
      </c>
      <c r="D928" s="2162">
        <f>E928*$D$1</f>
        <v/>
      </c>
      <c r="E928" s="2162" t="n">
        <v>21.99</v>
      </c>
      <c r="F928" s="2162" t="inlineStr">
        <is>
          <t>Pintura</t>
        </is>
      </c>
      <c r="G928" s="2162" t="inlineStr">
        <is>
          <t>Pintura</t>
        </is>
      </c>
      <c r="H928" s="2162" t="n"/>
      <c r="I928" s="4" t="inlineStr">
        <is>
          <t>Pintura</t>
        </is>
      </c>
    </row>
    <row r="929" ht="15.75" customHeight="1">
      <c r="A929" s="10">
        <f>COUNTIFS($B$2:$B$996,B929)</f>
        <v/>
      </c>
      <c r="B929" s="10" t="inlineStr">
        <is>
          <t>Diluente Epoxi</t>
        </is>
      </c>
      <c r="C929" s="11" t="inlineStr">
        <is>
          <t>L</t>
        </is>
      </c>
      <c r="D929" s="2162">
        <f>E929*$D$1</f>
        <v/>
      </c>
      <c r="E929" s="2162" t="n">
        <v>50.12</v>
      </c>
      <c r="F929" s="2162" t="inlineStr">
        <is>
          <t>Pintura</t>
        </is>
      </c>
      <c r="G929" s="2162" t="inlineStr">
        <is>
          <t>Pintura</t>
        </is>
      </c>
      <c r="H929" s="2162" t="n"/>
      <c r="I929" s="4" t="inlineStr">
        <is>
          <t>Pintura</t>
        </is>
      </c>
    </row>
    <row r="930" ht="15.75" customHeight="1">
      <c r="A930" s="10">
        <f>COUNTIFS($B$2:$B$996,B930)</f>
        <v/>
      </c>
      <c r="B930" s="10" t="inlineStr">
        <is>
          <t>Primer Epoxi / Epoxidico</t>
        </is>
      </c>
      <c r="C930" s="11" t="inlineStr">
        <is>
          <t>L</t>
        </is>
      </c>
      <c r="D930" s="2162">
        <f>E930*$D$1</f>
        <v/>
      </c>
      <c r="E930" s="2162" t="n">
        <v>137.24</v>
      </c>
      <c r="F930" s="2162" t="inlineStr">
        <is>
          <t>Pintura</t>
        </is>
      </c>
      <c r="G930" s="2162" t="inlineStr">
        <is>
          <t>Pintura</t>
        </is>
      </c>
      <c r="H930" s="2162" t="n"/>
      <c r="I930" s="4" t="inlineStr">
        <is>
          <t>Pintura</t>
        </is>
      </c>
    </row>
    <row r="931" ht="15.75" customHeight="1">
      <c r="A931" s="10">
        <f>COUNTIFS($B$2:$B$996,B931)</f>
        <v/>
      </c>
      <c r="B931" s="10" t="inlineStr">
        <is>
          <t>Massa corrida para superfícies de ambientes internos</t>
        </is>
      </c>
      <c r="C931" s="11" t="inlineStr">
        <is>
          <t>KG</t>
        </is>
      </c>
      <c r="D931" s="2162">
        <f>E931*$D$1</f>
        <v/>
      </c>
      <c r="E931" s="2162">
        <f>120/25</f>
        <v/>
      </c>
      <c r="F931" s="2162" t="inlineStr">
        <is>
          <t>Pintura</t>
        </is>
      </c>
      <c r="G931" s="2162" t="inlineStr">
        <is>
          <t>Pintura</t>
        </is>
      </c>
      <c r="H931" s="2162" t="n"/>
      <c r="I931" s="4" t="inlineStr">
        <is>
          <t>Pintura</t>
        </is>
      </c>
    </row>
    <row r="932" ht="15.75" customHeight="1">
      <c r="A932" s="10">
        <f>COUNTIFS($B$2:$B$996,B932)</f>
        <v/>
      </c>
      <c r="B932" s="10" t="inlineStr">
        <is>
          <t>Massa Plastica 400g</t>
        </is>
      </c>
      <c r="C932" s="11" t="inlineStr">
        <is>
          <t>UN</t>
        </is>
      </c>
      <c r="D932" s="2162">
        <f>E932*$D$1</f>
        <v/>
      </c>
      <c r="E932" s="2162" t="n">
        <v>17.33</v>
      </c>
      <c r="F932" s="2162" t="inlineStr">
        <is>
          <t>Pintura</t>
        </is>
      </c>
      <c r="G932" s="2162" t="inlineStr">
        <is>
          <t>Pintura</t>
        </is>
      </c>
      <c r="H932" s="2162" t="n"/>
      <c r="I932" s="4" t="inlineStr">
        <is>
          <t>Pintura</t>
        </is>
      </c>
    </row>
    <row r="933" ht="15.75" customHeight="1">
      <c r="A933" s="10">
        <f>COUNTIFS($B$2:$B$996,B933)</f>
        <v/>
      </c>
      <c r="B933" s="10" t="inlineStr">
        <is>
          <t>MASSA PREMIUM PARA TEXTURA LISA DE BASE ACRILICA</t>
        </is>
      </c>
      <c r="C933" s="11" t="inlineStr">
        <is>
          <t>KG</t>
        </is>
      </c>
      <c r="D933" s="2162">
        <f>E933*$D$1</f>
        <v/>
      </c>
      <c r="E933" s="2162">
        <f>200/22</f>
        <v/>
      </c>
      <c r="F933" s="2162" t="inlineStr">
        <is>
          <t>Pintura</t>
        </is>
      </c>
      <c r="G933" s="2162" t="inlineStr">
        <is>
          <t>Pintura</t>
        </is>
      </c>
      <c r="H933" s="2162" t="n"/>
      <c r="I933" s="4" t="inlineStr">
        <is>
          <t>Pintura</t>
        </is>
      </c>
    </row>
    <row r="934" ht="15.75" customHeight="1">
      <c r="A934" s="10">
        <f>COUNTIFS($B$2:$B$996,B934)</f>
        <v/>
      </c>
      <c r="B934" s="10" t="inlineStr">
        <is>
          <t>Rende Muito Cinza Geada - Tinta Coral</t>
        </is>
      </c>
      <c r="C934" s="11" t="inlineStr">
        <is>
          <t>L</t>
        </is>
      </c>
      <c r="D934" s="2162">
        <f>E934*$D$1</f>
        <v/>
      </c>
      <c r="E934" s="2162" t="n">
        <v>40.625</v>
      </c>
      <c r="F934" s="2162" t="inlineStr">
        <is>
          <t>Pintura</t>
        </is>
      </c>
      <c r="G934" s="2162" t="inlineStr">
        <is>
          <t>Pintura</t>
        </is>
      </c>
      <c r="H934" s="2162" t="n"/>
      <c r="I934" s="4" t="inlineStr">
        <is>
          <t>Pintura</t>
        </is>
      </c>
    </row>
    <row r="935" ht="15.75" customHeight="1">
      <c r="A935" s="10">
        <f>COUNTIFS($B$2:$B$996,B935)</f>
        <v/>
      </c>
      <c r="B935" s="10" t="inlineStr">
        <is>
          <t>Selador Primer Ibratin - 4,2kg - 3,6L</t>
        </is>
      </c>
      <c r="C935" s="11" t="inlineStr">
        <is>
          <t>L</t>
        </is>
      </c>
      <c r="D935" s="2162">
        <f>E935*$D$1</f>
        <v/>
      </c>
      <c r="E935" s="2162">
        <f>190/18</f>
        <v/>
      </c>
      <c r="F935" s="2162" t="inlineStr">
        <is>
          <t>Pintura</t>
        </is>
      </c>
      <c r="G935" s="2162" t="inlineStr">
        <is>
          <t>Pintura</t>
        </is>
      </c>
      <c r="H935" s="2162" t="n"/>
      <c r="I935" s="4" t="inlineStr">
        <is>
          <t>Pintura</t>
        </is>
      </c>
    </row>
    <row r="936" ht="15.75" customHeight="1">
      <c r="A936" s="10">
        <f>COUNTIFS($B$2:$B$996,B936)</f>
        <v/>
      </c>
      <c r="B936" s="10" t="inlineStr">
        <is>
          <t>SELANTE ACRILICO PARA TRATAMENTO / ACABAMENTO SUPERFICIAL DE CONCRETO ESTAMPADO, APARENTE, PEDRAS E OUTROS</t>
        </is>
      </c>
      <c r="C936" s="11" t="inlineStr">
        <is>
          <t>L</t>
        </is>
      </c>
      <c r="D936" s="2162">
        <f>E936*$D$1</f>
        <v/>
      </c>
      <c r="E936" s="2162" t="n">
        <v>25.26</v>
      </c>
      <c r="F936" s="2162" t="inlineStr">
        <is>
          <t>Pintura</t>
        </is>
      </c>
      <c r="G936" s="2162" t="inlineStr">
        <is>
          <t>Pintura</t>
        </is>
      </c>
      <c r="H936" s="2162" t="n"/>
      <c r="I936" s="4" t="inlineStr">
        <is>
          <t>Pintura</t>
        </is>
      </c>
    </row>
    <row r="937" ht="15.75" customHeight="1">
      <c r="A937" s="10">
        <f>COUNTIFS($B$2:$B$996,B937)</f>
        <v/>
      </c>
      <c r="B937" s="10" t="inlineStr">
        <is>
          <t>Decora Efeitos Especiais Coral 2,1L - 2,1 L</t>
        </is>
      </c>
      <c r="C937" s="11" t="inlineStr">
        <is>
          <t>L</t>
        </is>
      </c>
      <c r="D937" s="2162">
        <f>E937*$D$1</f>
        <v/>
      </c>
      <c r="E937" s="2162" t="n">
        <v>231.571428571429</v>
      </c>
      <c r="F937" s="2162" t="inlineStr">
        <is>
          <t>Pintura</t>
        </is>
      </c>
      <c r="G937" s="2162" t="inlineStr">
        <is>
          <t>Pintura</t>
        </is>
      </c>
      <c r="H937" s="2162" t="n"/>
      <c r="I937" s="4" t="inlineStr">
        <is>
          <t>Pintura</t>
        </is>
      </c>
    </row>
    <row r="938" ht="15.75" customHeight="1">
      <c r="A938" s="10">
        <f>COUNTIFS($B$2:$B$996,B938)</f>
        <v/>
      </c>
      <c r="B938" s="10" t="inlineStr">
        <is>
          <t>Revestimento monolítico acrílico (pronto)</t>
        </is>
      </c>
      <c r="C938" s="11" t="inlineStr">
        <is>
          <t>KG</t>
        </is>
      </c>
      <c r="D938" s="2162">
        <f>E938*$D$1</f>
        <v/>
      </c>
      <c r="E938" s="2162">
        <f>E939*1.3</f>
        <v/>
      </c>
      <c r="F938" s="2162" t="inlineStr">
        <is>
          <t>Pintura</t>
        </is>
      </c>
      <c r="G938" s="2162" t="inlineStr">
        <is>
          <t>Pintura</t>
        </is>
      </c>
      <c r="H938" s="2162" t="n"/>
      <c r="I938" s="4" t="inlineStr">
        <is>
          <t>Pintura</t>
        </is>
      </c>
    </row>
    <row r="939" ht="15.75" customHeight="1">
      <c r="A939" s="10">
        <f>COUNTIFS($B$2:$B$996,B939)</f>
        <v/>
      </c>
      <c r="B939" s="10" t="inlineStr">
        <is>
          <t>Textura Cimento Queimado 5KG Suvinil</t>
        </is>
      </c>
      <c r="C939" s="11" t="inlineStr">
        <is>
          <t>KG</t>
        </is>
      </c>
      <c r="D939" s="2162">
        <f>E939*$D$1</f>
        <v/>
      </c>
      <c r="E939" s="2162" t="n">
        <v>57.6</v>
      </c>
      <c r="F939" s="2162" t="inlineStr">
        <is>
          <t>Pintura</t>
        </is>
      </c>
      <c r="G939" s="2162" t="inlineStr">
        <is>
          <t>Pintura</t>
        </is>
      </c>
      <c r="H939" s="2162" t="n"/>
      <c r="I939" s="4" t="inlineStr">
        <is>
          <t>Pintura</t>
        </is>
      </c>
    </row>
    <row r="940" ht="15.75" customHeight="1">
      <c r="A940" s="10">
        <f>COUNTIFS($B$2:$B$996,B940)</f>
        <v/>
      </c>
      <c r="B940" s="10" t="inlineStr">
        <is>
          <t>TINTA ACRILICA PREMIUM BRANCO GELO</t>
        </is>
      </c>
      <c r="C940" s="11" t="inlineStr">
        <is>
          <t>L</t>
        </is>
      </c>
      <c r="D940" s="2162">
        <f>E940*$D$1</f>
        <v/>
      </c>
      <c r="E940" s="2162">
        <f>500/18</f>
        <v/>
      </c>
      <c r="F940" s="2162" t="inlineStr">
        <is>
          <t>Pintura</t>
        </is>
      </c>
      <c r="G940" s="2162" t="inlineStr">
        <is>
          <t>Pintura</t>
        </is>
      </c>
      <c r="H940" s="2162" t="n"/>
      <c r="I940" s="4" t="inlineStr">
        <is>
          <t>Pintura</t>
        </is>
      </c>
    </row>
    <row r="941" ht="15.75" customHeight="1">
      <c r="A941" s="10">
        <f>COUNTIFS($B$2:$B$996,B941)</f>
        <v/>
      </c>
      <c r="B941" s="10" t="inlineStr">
        <is>
          <t>TINTA ACRILICA PREMIUM BRANCO ACETINADO</t>
        </is>
      </c>
      <c r="C941" s="11" t="inlineStr">
        <is>
          <t>L</t>
        </is>
      </c>
      <c r="D941" s="2162">
        <f>E941*$D$1</f>
        <v/>
      </c>
      <c r="E941" s="2162">
        <f>651/18</f>
        <v/>
      </c>
      <c r="F941" s="2162" t="inlineStr">
        <is>
          <t>Pintura</t>
        </is>
      </c>
      <c r="G941" s="2162" t="inlineStr">
        <is>
          <t>Pintura</t>
        </is>
      </c>
      <c r="H941" s="2162" t="n"/>
      <c r="I941" s="4" t="inlineStr">
        <is>
          <t>Pintura</t>
        </is>
      </c>
    </row>
    <row r="942" ht="15.75" customHeight="1">
      <c r="A942" s="10">
        <f>COUNTIFS($B$2:$B$996,B942)</f>
        <v/>
      </c>
      <c r="B942" s="10" t="inlineStr">
        <is>
          <t>TINTA ACRILICA PREMIUM ANFORA DE PRATA</t>
        </is>
      </c>
      <c r="C942" s="11" t="inlineStr">
        <is>
          <t>L</t>
        </is>
      </c>
      <c r="D942" s="2162">
        <f>E942*$D$1</f>
        <v/>
      </c>
      <c r="E942" s="2162">
        <f>870/16</f>
        <v/>
      </c>
      <c r="F942" s="2162" t="inlineStr">
        <is>
          <t>Pintura</t>
        </is>
      </c>
      <c r="G942" s="2162" t="inlineStr">
        <is>
          <t>Pintura</t>
        </is>
      </c>
      <c r="H942" s="2162" t="n"/>
      <c r="I942" s="4" t="inlineStr">
        <is>
          <t>Pintura</t>
        </is>
      </c>
    </row>
    <row r="943" ht="15.75" customHeight="1">
      <c r="A943" s="10">
        <f>COUNTIFS($B$2:$B$996,B943)</f>
        <v/>
      </c>
      <c r="B943" s="10" t="inlineStr">
        <is>
          <t>TINTA ACRILICA PREMIUM NEVOEIRO</t>
        </is>
      </c>
      <c r="C943" s="11" t="inlineStr">
        <is>
          <t>L</t>
        </is>
      </c>
      <c r="D943" s="2162">
        <f>E943*$D$1</f>
        <v/>
      </c>
      <c r="E943" s="2162" t="n">
        <v>36.11111111111111</v>
      </c>
      <c r="F943" s="2162" t="inlineStr">
        <is>
          <t>Pintura</t>
        </is>
      </c>
      <c r="G943" s="2162" t="inlineStr">
        <is>
          <t>Pintura</t>
        </is>
      </c>
      <c r="H943" s="2162" t="n"/>
      <c r="I943" s="4" t="inlineStr">
        <is>
          <t>Pintura</t>
        </is>
      </c>
    </row>
    <row r="944" ht="15.75" customHeight="1">
      <c r="A944" s="10">
        <f>COUNTIFS($B$2:$B$996,B944)</f>
        <v/>
      </c>
      <c r="B944" s="10" t="inlineStr">
        <is>
          <t>TINTA ACRILICA PREMIUM OURO BRANCO</t>
        </is>
      </c>
      <c r="C944" s="11" t="inlineStr">
        <is>
          <t>L</t>
        </is>
      </c>
      <c r="D944" s="2162">
        <f>E944*$D$1</f>
        <v/>
      </c>
      <c r="E944" s="2162">
        <f>606/16</f>
        <v/>
      </c>
      <c r="F944" s="2162" t="inlineStr">
        <is>
          <t>Pintura</t>
        </is>
      </c>
      <c r="G944" s="2162" t="inlineStr">
        <is>
          <t>Pintura</t>
        </is>
      </c>
      <c r="H944" s="2162" t="n"/>
      <c r="I944" s="4" t="inlineStr">
        <is>
          <t>Pintura</t>
        </is>
      </c>
    </row>
    <row r="945" ht="15.75" customHeight="1">
      <c r="A945" s="10">
        <f>COUNTIFS($B$2:$B$996,B945)</f>
        <v/>
      </c>
      <c r="B945" s="10" t="inlineStr">
        <is>
          <t>TINTA ACRILICA PREMIUM COR ELEFANTE</t>
        </is>
      </c>
      <c r="C945" s="11" t="inlineStr">
        <is>
          <t>L</t>
        </is>
      </c>
      <c r="D945" s="2162">
        <f>E945*$D$1</f>
        <v/>
      </c>
      <c r="E945" s="2162" t="n">
        <v>36.11111111111111</v>
      </c>
      <c r="F945" s="2162" t="inlineStr">
        <is>
          <t>Pintura</t>
        </is>
      </c>
      <c r="G945" s="2162" t="inlineStr">
        <is>
          <t>Pintura</t>
        </is>
      </c>
      <c r="H945" s="2162" t="n"/>
      <c r="I945" s="4" t="inlineStr">
        <is>
          <t>Pintura</t>
        </is>
      </c>
    </row>
    <row r="946" ht="15.75" customHeight="1">
      <c r="A946" s="10">
        <f>COUNTIFS($B$2:$B$996,B946)</f>
        <v/>
      </c>
      <c r="B946" s="10" t="inlineStr">
        <is>
          <t>TINTA ACRILICA PREMIUM COR BRANCO NEVE</t>
        </is>
      </c>
      <c r="C946" s="11" t="inlineStr">
        <is>
          <t>L</t>
        </is>
      </c>
      <c r="D946" s="2162">
        <f>E946*$D$1</f>
        <v/>
      </c>
      <c r="E946" s="2162" t="n">
        <v>22.05</v>
      </c>
      <c r="F946" s="2162" t="inlineStr">
        <is>
          <t>Pintura</t>
        </is>
      </c>
      <c r="G946" s="2162" t="inlineStr">
        <is>
          <t>Pintura</t>
        </is>
      </c>
      <c r="H946" s="2162" t="n"/>
      <c r="I946" s="4" t="inlineStr">
        <is>
          <t>Pintura</t>
        </is>
      </c>
    </row>
    <row r="947" ht="15.75" customHeight="1">
      <c r="A947" s="10">
        <f>COUNTIFS($B$2:$B$996,B947)</f>
        <v/>
      </c>
      <c r="B947" s="10" t="inlineStr">
        <is>
          <t>TINTA ACRILICA PREMIUM COR PORCELANA</t>
        </is>
      </c>
      <c r="C947" s="11" t="inlineStr">
        <is>
          <t>L</t>
        </is>
      </c>
      <c r="D947" s="2162">
        <f>E947*$D$1</f>
        <v/>
      </c>
      <c r="E947" s="2162" t="n">
        <v>32.233125</v>
      </c>
      <c r="F947" s="2162" t="inlineStr">
        <is>
          <t>Pintura</t>
        </is>
      </c>
      <c r="G947" s="2162" t="inlineStr">
        <is>
          <t>Pintura</t>
        </is>
      </c>
      <c r="H947" s="2162" t="n"/>
      <c r="I947" s="4" t="inlineStr">
        <is>
          <t>Pintura</t>
        </is>
      </c>
    </row>
    <row r="948" ht="15.75" customHeight="1">
      <c r="A948" s="10">
        <f>COUNTIFS($B$2:$B$996,B948)</f>
        <v/>
      </c>
      <c r="B948" s="10" t="inlineStr">
        <is>
          <t>TINTA ACRILICA PREMIUM COR SALMÃO</t>
        </is>
      </c>
      <c r="C948" s="11" t="inlineStr">
        <is>
          <t>L</t>
        </is>
      </c>
      <c r="D948" s="2162">
        <f>E948*$D$1</f>
        <v/>
      </c>
      <c r="E948" s="2162" t="n">
        <v>58.89875</v>
      </c>
      <c r="F948" s="2162" t="inlineStr">
        <is>
          <t>Pintura</t>
        </is>
      </c>
      <c r="G948" s="2162" t="inlineStr">
        <is>
          <t>Pintura</t>
        </is>
      </c>
      <c r="H948" s="2162" t="n"/>
      <c r="I948" s="4" t="inlineStr">
        <is>
          <t>Pintura</t>
        </is>
      </c>
    </row>
    <row r="949" ht="15.75" customHeight="1">
      <c r="A949" s="10">
        <f>COUNTIFS($B$2:$B$996,B949)</f>
        <v/>
      </c>
      <c r="B949" s="10" t="inlineStr">
        <is>
          <t>TINTA ACRILICA PREMIUM COR MADEIRA ESFUMAÇADA</t>
        </is>
      </c>
      <c r="C949" s="11" t="inlineStr">
        <is>
          <t>L</t>
        </is>
      </c>
      <c r="D949" s="2162">
        <f>E949*$D$1</f>
        <v/>
      </c>
      <c r="E949" s="2162" t="n">
        <v>70.47812499999999</v>
      </c>
      <c r="F949" s="2162" t="inlineStr">
        <is>
          <t>Pintura</t>
        </is>
      </c>
      <c r="G949" s="2162" t="inlineStr">
        <is>
          <t>Pintura</t>
        </is>
      </c>
      <c r="H949" s="2162" t="n"/>
      <c r="I949" s="4" t="inlineStr">
        <is>
          <t>Pintura</t>
        </is>
      </c>
    </row>
    <row r="950" ht="15.75" customHeight="1">
      <c r="A950" s="10">
        <f>COUNTIFS($B$2:$B$996,B950)</f>
        <v/>
      </c>
      <c r="B950" s="10" t="inlineStr">
        <is>
          <t>TINTA ACRILICA PREMIUM COR BABOSA</t>
        </is>
      </c>
      <c r="C950" s="11" t="inlineStr">
        <is>
          <t>L</t>
        </is>
      </c>
      <c r="D950" s="2162">
        <f>E950*$D$1</f>
        <v/>
      </c>
      <c r="E950" s="2162" t="n">
        <v>72.08437499999999</v>
      </c>
      <c r="F950" s="2162" t="inlineStr">
        <is>
          <t>Pintura</t>
        </is>
      </c>
      <c r="G950" s="2162" t="inlineStr">
        <is>
          <t>Pintura</t>
        </is>
      </c>
      <c r="H950" s="2162" t="n"/>
      <c r="I950" s="4" t="inlineStr">
        <is>
          <t>Pintura</t>
        </is>
      </c>
    </row>
    <row r="951" ht="15.75" customHeight="1">
      <c r="A951" s="10">
        <f>COUNTIFS($B$2:$B$996,B951)</f>
        <v/>
      </c>
      <c r="B951" s="10" t="inlineStr">
        <is>
          <t>TINTA ACRILICA PREMIUM COR AREIA</t>
        </is>
      </c>
      <c r="C951" s="11" t="inlineStr">
        <is>
          <t>L</t>
        </is>
      </c>
      <c r="D951" s="2162">
        <f>E951*$D$1</f>
        <v/>
      </c>
      <c r="E951" s="2162" t="n">
        <v>25.83333333333333</v>
      </c>
      <c r="F951" s="2162" t="inlineStr">
        <is>
          <t>Pintura</t>
        </is>
      </c>
      <c r="G951" s="2162" t="inlineStr">
        <is>
          <t>Pintura</t>
        </is>
      </c>
      <c r="H951" s="2162" t="n"/>
      <c r="I951" s="4" t="inlineStr">
        <is>
          <t>Pintura</t>
        </is>
      </c>
    </row>
    <row r="952" ht="15.75" customHeight="1">
      <c r="A952" s="10">
        <f>COUNTIFS($B$2:$B$996,B952)</f>
        <v/>
      </c>
      <c r="B952" s="10" t="inlineStr">
        <is>
          <t>TINTA ACRILICA PREMIUM COR CAFÉ EXPRESSO</t>
        </is>
      </c>
      <c r="C952" s="11" t="inlineStr">
        <is>
          <t>L</t>
        </is>
      </c>
      <c r="D952" s="2162">
        <f>E952*$D$1</f>
        <v/>
      </c>
      <c r="E952" s="2162" t="n">
        <v>88.26249999999999</v>
      </c>
      <c r="F952" s="2162" t="inlineStr">
        <is>
          <t>Pintura</t>
        </is>
      </c>
      <c r="G952" s="2162" t="inlineStr">
        <is>
          <t>Pintura</t>
        </is>
      </c>
      <c r="H952" s="2162" t="n"/>
      <c r="I952" s="4" t="inlineStr">
        <is>
          <t>Pintura</t>
        </is>
      </c>
    </row>
    <row r="953" ht="15.75" customHeight="1">
      <c r="A953" s="10">
        <f>COUNTIFS($B$2:$B$996,B953)</f>
        <v/>
      </c>
      <c r="B953" s="10" t="inlineStr">
        <is>
          <t>TINTA ACRILICA PREMIUM COR ALGODÃO EGIPCIO</t>
        </is>
      </c>
      <c r="C953" s="11" t="inlineStr">
        <is>
          <t>L</t>
        </is>
      </c>
      <c r="D953" s="2162">
        <f>E953*$D$1</f>
        <v/>
      </c>
      <c r="E953" s="2162" t="n">
        <v>28.83333333333333</v>
      </c>
      <c r="F953" s="2162" t="inlineStr">
        <is>
          <t>Pintura</t>
        </is>
      </c>
      <c r="G953" s="2162" t="inlineStr">
        <is>
          <t>Pintura</t>
        </is>
      </c>
      <c r="H953" s="2162" t="n"/>
      <c r="I953" s="4" t="inlineStr">
        <is>
          <t>Pintura</t>
        </is>
      </c>
    </row>
    <row r="954" ht="15.75" customHeight="1">
      <c r="A954" s="10">
        <f>COUNTIFS($B$2:$B$996,B954)</f>
        <v/>
      </c>
      <c r="B954" s="10" t="inlineStr">
        <is>
          <t>TINTA ACRILICA PREMIUM COR PRETA</t>
        </is>
      </c>
      <c r="C954" s="11" t="inlineStr">
        <is>
          <t>L</t>
        </is>
      </c>
      <c r="D954" s="2162">
        <f>E954*$D$1</f>
        <v/>
      </c>
      <c r="E954" s="2162">
        <f>1250/18</f>
        <v/>
      </c>
      <c r="F954" s="2162" t="inlineStr">
        <is>
          <t>Pintura</t>
        </is>
      </c>
      <c r="G954" s="2162" t="inlineStr">
        <is>
          <t>Pintura</t>
        </is>
      </c>
      <c r="H954" s="2162" t="n"/>
      <c r="I954" s="4" t="inlineStr">
        <is>
          <t>Pintura</t>
        </is>
      </c>
    </row>
    <row r="955" ht="15.75" customHeight="1">
      <c r="A955" s="10">
        <f>COUNTIFS($B$2:$B$996,B955)</f>
        <v/>
      </c>
      <c r="B955" s="10" t="inlineStr">
        <is>
          <t>TINTA ACRILICA PREMIUM COR PATATIVA</t>
        </is>
      </c>
      <c r="C955" s="11" t="inlineStr">
        <is>
          <t>L</t>
        </is>
      </c>
      <c r="D955" s="2162">
        <f>E955*$D$1</f>
        <v/>
      </c>
      <c r="E955" s="2162" t="n">
        <v>62.4325</v>
      </c>
      <c r="F955" s="2162" t="inlineStr">
        <is>
          <t>Pintura</t>
        </is>
      </c>
      <c r="G955" s="2162" t="inlineStr">
        <is>
          <t>Pintura</t>
        </is>
      </c>
      <c r="H955" s="2162" t="n"/>
      <c r="I955" s="4" t="inlineStr">
        <is>
          <t>Pintura</t>
        </is>
      </c>
    </row>
    <row r="956" ht="15.75" customHeight="1">
      <c r="A956" s="10">
        <f>COUNTIFS($B$2:$B$996,B956)</f>
        <v/>
      </c>
      <c r="B956" s="10" t="inlineStr">
        <is>
          <t>TINTA ACRILICA PREMIUM COR CINZA ASFALTO</t>
        </is>
      </c>
      <c r="C956" s="11" t="inlineStr">
        <is>
          <t>L</t>
        </is>
      </c>
      <c r="D956" s="2162">
        <f>E956*$D$1</f>
        <v/>
      </c>
      <c r="E956" s="2162" t="n">
        <v>38.27777777777778</v>
      </c>
      <c r="F956" s="2162" t="inlineStr">
        <is>
          <t>Pintura</t>
        </is>
      </c>
      <c r="G956" s="2162" t="inlineStr">
        <is>
          <t>Pintura</t>
        </is>
      </c>
      <c r="H956" s="2162" t="n"/>
      <c r="I956" s="4" t="inlineStr">
        <is>
          <t>Pintura</t>
        </is>
      </c>
    </row>
    <row r="957" ht="15.75" customHeight="1">
      <c r="A957" s="10">
        <f>COUNTIFS($B$2:$B$996,B957)</f>
        <v/>
      </c>
      <c r="B957" s="10" t="inlineStr">
        <is>
          <t>SELANTE ELASTICO MONOCOMPONENTE A BASE DE POLIURETANO (PU) PARA JUNTAS DIVERSAS</t>
        </is>
      </c>
      <c r="C957" s="11" t="inlineStr">
        <is>
          <t>UN</t>
        </is>
      </c>
      <c r="D957" s="2162">
        <f>E957*$D$1</f>
        <v/>
      </c>
      <c r="E957" s="2162" t="n">
        <v>20.7</v>
      </c>
      <c r="F957" s="2162" t="inlineStr">
        <is>
          <t>Pintura</t>
        </is>
      </c>
      <c r="G957" s="2162" t="inlineStr">
        <is>
          <t>Pintura</t>
        </is>
      </c>
      <c r="H957" s="2162" t="inlineStr">
        <is>
          <t>Custo Incorrido</t>
        </is>
      </c>
      <c r="I957" s="4" t="inlineStr">
        <is>
          <t>Pintura</t>
        </is>
      </c>
    </row>
    <row r="958" ht="15.75" customHeight="1">
      <c r="A958" s="10">
        <f>COUNTIFS($B$2:$B$996,B958)</f>
        <v/>
      </c>
      <c r="B958" s="10" t="inlineStr">
        <is>
          <t>SELANTE ELASTICO MONOCOMPONENTE A BASE DE POLIURETANO (PU) PARA JUNTAS DIVERSAS</t>
        </is>
      </c>
      <c r="C958" s="11" t="inlineStr">
        <is>
          <t>UN</t>
        </is>
      </c>
      <c r="D958" s="2162">
        <f>E958*$D$1</f>
        <v/>
      </c>
      <c r="E958" s="2162" t="n">
        <v>20.7</v>
      </c>
      <c r="F958" s="2162" t="inlineStr">
        <is>
          <t>Pintura</t>
        </is>
      </c>
      <c r="G958" s="2162" t="inlineStr">
        <is>
          <t>Pintura</t>
        </is>
      </c>
      <c r="H958" s="2162" t="inlineStr">
        <is>
          <t>Custo Incorrido</t>
        </is>
      </c>
      <c r="I958" s="4" t="inlineStr">
        <is>
          <t>Pintura</t>
        </is>
      </c>
    </row>
    <row r="959" ht="15.75" customHeight="1">
      <c r="A959" s="10">
        <f>COUNTIFS($B$2:$B$996,B959)</f>
        <v/>
      </c>
      <c r="B959" s="10" t="inlineStr">
        <is>
          <t>SOLVENTE BASE THINNER P/TINTA NBR 14725</t>
        </is>
      </c>
      <c r="C959" s="11" t="inlineStr">
        <is>
          <t>L</t>
        </is>
      </c>
      <c r="D959" s="2162">
        <f>E959*$D$1</f>
        <v/>
      </c>
      <c r="E959" s="2162" t="n">
        <v>16</v>
      </c>
      <c r="F959" s="2162" t="inlineStr">
        <is>
          <t>Pintura</t>
        </is>
      </c>
      <c r="G959" s="2162" t="inlineStr">
        <is>
          <t>Pintura</t>
        </is>
      </c>
      <c r="H959" s="2162" t="n"/>
      <c r="I959" s="4" t="inlineStr">
        <is>
          <t>Pintura</t>
        </is>
      </c>
    </row>
    <row r="960" ht="15.75" customHeight="1">
      <c r="A960" s="10">
        <f>COUNTIFS($B$2:$B$996,B960)</f>
        <v/>
      </c>
      <c r="B960" s="10" t="inlineStr">
        <is>
          <t>Suvinil Texturatto Efeito Suave Textura 21kg</t>
        </is>
      </c>
      <c r="C960" s="11" t="inlineStr">
        <is>
          <t>KG</t>
        </is>
      </c>
      <c r="D960" s="2162">
        <f>E960*$D$1</f>
        <v/>
      </c>
      <c r="E960" s="2162" t="n">
        <v>6.666666666666667</v>
      </c>
      <c r="F960" s="2162" t="inlineStr">
        <is>
          <t>Pintura</t>
        </is>
      </c>
      <c r="G960" s="2162" t="inlineStr">
        <is>
          <t>Pintura</t>
        </is>
      </c>
      <c r="H960" s="2162" t="n"/>
      <c r="I960" s="4" t="inlineStr">
        <is>
          <t>Pintura</t>
        </is>
      </c>
    </row>
    <row r="961" ht="15.75" customHeight="1">
      <c r="A961" s="10">
        <f>COUNTIFS($B$2:$B$996,B961)</f>
        <v/>
      </c>
      <c r="B961" s="10" t="inlineStr">
        <is>
          <t>Textura acrilica Cinza escura - Sto Brasil</t>
        </is>
      </c>
      <c r="C961" s="11" t="inlineStr">
        <is>
          <t>KG</t>
        </is>
      </c>
      <c r="D961" s="2162">
        <f>E961*$D$1</f>
        <v/>
      </c>
      <c r="E961" s="2162" t="n">
        <v>140</v>
      </c>
      <c r="F961" s="2162" t="inlineStr">
        <is>
          <t>Pintura</t>
        </is>
      </c>
      <c r="G961" s="2162" t="inlineStr">
        <is>
          <t>Pintura</t>
        </is>
      </c>
      <c r="H961" s="2162" t="n"/>
      <c r="I961" s="4" t="inlineStr">
        <is>
          <t>Pintura</t>
        </is>
      </c>
    </row>
    <row r="962" ht="15.75" customHeight="1">
      <c r="A962" s="10">
        <f>COUNTIFS($B$2:$B$996,B962)</f>
        <v/>
      </c>
      <c r="B962" s="10" t="inlineStr">
        <is>
          <t>Textura acrilica branca - Coral</t>
        </is>
      </c>
      <c r="C962" s="11" t="inlineStr">
        <is>
          <t>KG</t>
        </is>
      </c>
      <c r="D962" s="2162">
        <f>E962*$D$1</f>
        <v/>
      </c>
      <c r="E962" s="2162" t="n">
        <v>8.396000000000001</v>
      </c>
      <c r="F962" s="2162" t="inlineStr">
        <is>
          <t>Pintura</t>
        </is>
      </c>
      <c r="G962" s="2162" t="inlineStr">
        <is>
          <t>Pintura</t>
        </is>
      </c>
      <c r="H962" s="2162" t="n"/>
      <c r="I962" s="4" t="inlineStr">
        <is>
          <t>Pintura</t>
        </is>
      </c>
    </row>
    <row r="963" ht="15.75" customHeight="1">
      <c r="A963" s="10">
        <f>COUNTIFS($B$2:$B$996,B963)</f>
        <v/>
      </c>
      <c r="B963" s="10" t="inlineStr">
        <is>
          <t>Textura Efeito Estrelado - Cor: Palha - 4,2kg</t>
        </is>
      </c>
      <c r="C963" s="11" t="inlineStr">
        <is>
          <t>KG</t>
        </is>
      </c>
      <c r="D963" s="2162">
        <f>E963*$D$1</f>
        <v/>
      </c>
      <c r="E963" s="2162" t="n">
        <v>21.19047619047619</v>
      </c>
      <c r="F963" s="2162" t="inlineStr">
        <is>
          <t>Pintura</t>
        </is>
      </c>
      <c r="G963" s="2162" t="inlineStr">
        <is>
          <t>Pintura</t>
        </is>
      </c>
      <c r="H963" s="2162" t="n"/>
      <c r="I963" s="4" t="inlineStr">
        <is>
          <t>Pintura</t>
        </is>
      </c>
    </row>
    <row r="964" ht="15.75" customHeight="1">
      <c r="A964" s="10">
        <f>COUNTIFS($B$2:$B$996,B964)</f>
        <v/>
      </c>
      <c r="B964" s="10" t="inlineStr">
        <is>
          <t>Textura Ibratin: Effetti Branco</t>
        </is>
      </c>
      <c r="C964" s="11" t="inlineStr">
        <is>
          <t>KG</t>
        </is>
      </c>
      <c r="D964" s="2162">
        <f>E964*$D$1</f>
        <v/>
      </c>
      <c r="E964" s="2162" t="n">
        <v>28</v>
      </c>
      <c r="F964" s="2162" t="inlineStr">
        <is>
          <t>Pintura</t>
        </is>
      </c>
      <c r="G964" s="2162" t="inlineStr">
        <is>
          <t>Pintura</t>
        </is>
      </c>
      <c r="H964" s="2162" t="n"/>
      <c r="I964" s="4" t="inlineStr">
        <is>
          <t>Pintura</t>
        </is>
      </c>
    </row>
    <row r="965" ht="15.75" customHeight="1">
      <c r="A965" s="10">
        <f>COUNTIFS($B$2:$B$996,B965)</f>
        <v/>
      </c>
      <c r="B965" s="10" t="inlineStr">
        <is>
          <t xml:space="preserve">revestimento Diore Ornamentali na cor Bege Bahia </t>
        </is>
      </c>
      <c r="C965" s="11" t="inlineStr">
        <is>
          <t>KG</t>
        </is>
      </c>
      <c r="D965" s="2162">
        <f>E965*$D$1</f>
        <v/>
      </c>
      <c r="E965" s="2162">
        <f>660/25</f>
        <v/>
      </c>
      <c r="F965" s="2162" t="inlineStr">
        <is>
          <t>Pintura</t>
        </is>
      </c>
      <c r="G965" s="2162" t="inlineStr">
        <is>
          <t>Pintura</t>
        </is>
      </c>
      <c r="H965" s="2162" t="n"/>
      <c r="I965" s="4" t="inlineStr">
        <is>
          <t>Pintura</t>
        </is>
      </c>
    </row>
    <row r="966" ht="15.75" customHeight="1">
      <c r="A966" s="10">
        <f>COUNTIFS($B$2:$B$996,B966)</f>
        <v/>
      </c>
      <c r="B966" s="10" t="inlineStr">
        <is>
          <t xml:space="preserve">Textura Terracal / Marca: Terracor </t>
        </is>
      </c>
      <c r="C966" s="11" t="inlineStr">
        <is>
          <t>KG</t>
        </is>
      </c>
      <c r="D966" s="2162">
        <f>E966*$D$1</f>
        <v/>
      </c>
      <c r="E966" s="2162" t="n">
        <v>44.5</v>
      </c>
      <c r="F966" s="2162" t="inlineStr">
        <is>
          <t>Pintura</t>
        </is>
      </c>
      <c r="G966" s="2162" t="inlineStr">
        <is>
          <t>Pintura</t>
        </is>
      </c>
      <c r="H966" s="2162" t="n"/>
      <c r="I966" s="4" t="inlineStr">
        <is>
          <t>Pintura</t>
        </is>
      </c>
    </row>
    <row r="967" ht="15.75" customHeight="1">
      <c r="A967" s="10">
        <f>COUNTIFS($B$2:$B$996,B967)</f>
        <v/>
      </c>
      <c r="B967" s="10" t="inlineStr">
        <is>
          <t>TINTA ACRILICA A BASE DE SOLVENTE</t>
        </is>
      </c>
      <c r="C967" s="11" t="inlineStr">
        <is>
          <t>L</t>
        </is>
      </c>
      <c r="D967" s="2162">
        <f>E967*$D$1</f>
        <v/>
      </c>
      <c r="E967" s="2162">
        <f>600/18</f>
        <v/>
      </c>
      <c r="F967" s="2162" t="inlineStr">
        <is>
          <t>Pintura</t>
        </is>
      </c>
      <c r="G967" s="2162" t="inlineStr">
        <is>
          <t>Pintura</t>
        </is>
      </c>
      <c r="H967" s="2162" t="n"/>
      <c r="I967" s="4" t="inlineStr">
        <is>
          <t>Pintura</t>
        </is>
      </c>
    </row>
    <row r="968" ht="15.75" customHeight="1">
      <c r="A968" s="10">
        <f>COUNTIFS($B$2:$B$996,B968)</f>
        <v/>
      </c>
      <c r="B968" s="10" t="inlineStr">
        <is>
          <t>TINTA ACRILICA A BASE DE SOLVENTE, PARA SINALIZACAO HORIZONTAL VIARIA (NBR 11862)</t>
        </is>
      </c>
      <c r="C968" s="11" t="inlineStr">
        <is>
          <t>L</t>
        </is>
      </c>
      <c r="D968" s="2162">
        <f>E968*$D$1</f>
        <v/>
      </c>
      <c r="E968" s="2162" t="n">
        <v>35.42</v>
      </c>
      <c r="F968" s="2162" t="inlineStr">
        <is>
          <t>Pintura</t>
        </is>
      </c>
      <c r="G968" s="2162" t="inlineStr">
        <is>
          <t>Pintura</t>
        </is>
      </c>
      <c r="H968" s="2162" t="n"/>
      <c r="I968" s="4" t="inlineStr">
        <is>
          <t>Pintura</t>
        </is>
      </c>
    </row>
    <row r="969" ht="15.75" customHeight="1">
      <c r="A969" s="10">
        <f>COUNTIFS($B$2:$B$996,B969)</f>
        <v/>
      </c>
      <c r="B969" s="10" t="inlineStr">
        <is>
          <t xml:space="preserve">TINTA ACRILICA PREMIUM </t>
        </is>
      </c>
      <c r="C969" s="11" t="inlineStr">
        <is>
          <t>L</t>
        </is>
      </c>
      <c r="D969" s="2162">
        <f>E969*$D$1</f>
        <v/>
      </c>
      <c r="E969" s="2162" t="n">
        <v>24.5</v>
      </c>
      <c r="F969" s="2162" t="inlineStr">
        <is>
          <t>Pintura</t>
        </is>
      </c>
      <c r="G969" s="2162" t="inlineStr">
        <is>
          <t>Pintura</t>
        </is>
      </c>
      <c r="H969" s="2162" t="n"/>
      <c r="I969" s="4" t="inlineStr">
        <is>
          <t>Pintura</t>
        </is>
      </c>
    </row>
    <row r="970" ht="15.75" customHeight="1">
      <c r="A970" s="10">
        <f>COUNTIFS($B$2:$B$996,B970)</f>
        <v/>
      </c>
      <c r="B970" s="10" t="inlineStr">
        <is>
          <t>Tinta Epoxi Base Agua Premium</t>
        </is>
      </c>
      <c r="C970" s="11" t="inlineStr">
        <is>
          <t>L</t>
        </is>
      </c>
      <c r="D970" s="2162">
        <f>E970*$D$1</f>
        <v/>
      </c>
      <c r="E970" s="2162">
        <f>295/3.6</f>
        <v/>
      </c>
      <c r="F970" s="2162" t="inlineStr">
        <is>
          <t>Pintura</t>
        </is>
      </c>
      <c r="G970" s="2162" t="inlineStr">
        <is>
          <t>Pintura</t>
        </is>
      </c>
      <c r="H970" s="2162" t="n"/>
      <c r="I970" s="4" t="inlineStr">
        <is>
          <t>Pintura</t>
        </is>
      </c>
    </row>
    <row r="971" ht="15.75" customHeight="1">
      <c r="A971" s="10">
        <f>COUNTIFS($B$2:$B$996,B971)</f>
        <v/>
      </c>
      <c r="B971" s="10" t="inlineStr">
        <is>
          <t>Pintura Artistica em tetos</t>
        </is>
      </c>
      <c r="C971" s="11" t="inlineStr">
        <is>
          <t>M2</t>
        </is>
      </c>
      <c r="D971" s="2162">
        <f>E971*$D$1</f>
        <v/>
      </c>
      <c r="E971" s="2162" t="n">
        <v>80</v>
      </c>
      <c r="F971" s="2162" t="inlineStr">
        <is>
          <t>Pintura</t>
        </is>
      </c>
      <c r="G971" s="2162" t="inlineStr">
        <is>
          <t>Pintura</t>
        </is>
      </c>
      <c r="H971" s="2162" t="n"/>
      <c r="I971" s="4" t="inlineStr">
        <is>
          <t>Pintura</t>
        </is>
      </c>
    </row>
    <row r="972" ht="15.75" customHeight="1">
      <c r="A972" s="10">
        <f>COUNTIFS($B$2:$B$996,B972)</f>
        <v/>
      </c>
      <c r="B972" s="10" t="inlineStr">
        <is>
          <t>Tinta Esmalte</t>
        </is>
      </c>
      <c r="C972" s="11" t="inlineStr">
        <is>
          <t>L</t>
        </is>
      </c>
      <c r="D972" s="2162">
        <f>E972*$D$1</f>
        <v/>
      </c>
      <c r="E972" s="2162" t="n">
        <v>40.25</v>
      </c>
      <c r="F972" s="2162" t="inlineStr">
        <is>
          <t>Pintura</t>
        </is>
      </c>
      <c r="G972" s="2162" t="inlineStr">
        <is>
          <t>Pintura</t>
        </is>
      </c>
      <c r="H972" s="2162" t="n"/>
      <c r="I972" s="4" t="inlineStr">
        <is>
          <t>Pintura</t>
        </is>
      </c>
    </row>
    <row r="973" ht="14.25" customHeight="1">
      <c r="A973" s="10">
        <f>COUNTIFS($B$2:$B$996,B973)</f>
        <v/>
      </c>
      <c r="B973" s="82" t="inlineStr">
        <is>
          <t>Tinta Piso</t>
        </is>
      </c>
      <c r="C973" s="83" t="inlineStr">
        <is>
          <t>L</t>
        </is>
      </c>
      <c r="D973" s="2165">
        <f>E973*$D$1</f>
        <v/>
      </c>
      <c r="E973" s="2165">
        <f>360/18</f>
        <v/>
      </c>
      <c r="F973" s="2165" t="inlineStr">
        <is>
          <t>Pintura</t>
        </is>
      </c>
      <c r="G973" s="2165" t="inlineStr">
        <is>
          <t>Pintura</t>
        </is>
      </c>
      <c r="H973" s="2165" t="n"/>
      <c r="I973" s="85" t="inlineStr">
        <is>
          <t>Pintura</t>
        </is>
      </c>
    </row>
    <row r="974" ht="14.25" customHeight="1">
      <c r="A974" s="10">
        <f>COUNTIFS($B$2:$B$996,B974)</f>
        <v/>
      </c>
      <c r="B974" s="82" t="inlineStr">
        <is>
          <t>TINTA ACRILICA PREMIUM COR AMARELA</t>
        </is>
      </c>
      <c r="C974" s="83" t="inlineStr">
        <is>
          <t>L</t>
        </is>
      </c>
      <c r="D974" s="2165">
        <f>E974*$D$1</f>
        <v/>
      </c>
      <c r="E974" s="2165">
        <f>350/18</f>
        <v/>
      </c>
      <c r="F974" s="2165" t="inlineStr">
        <is>
          <t>Pintura</t>
        </is>
      </c>
      <c r="G974" s="2165" t="inlineStr">
        <is>
          <t>Pintura</t>
        </is>
      </c>
      <c r="H974" s="2165" t="n"/>
      <c r="I974" s="85" t="inlineStr">
        <is>
          <t>Pintura</t>
        </is>
      </c>
    </row>
    <row r="975" ht="14.25" customHeight="1">
      <c r="A975" s="10">
        <f>COUNTIFS($B$2:$B$996,B975)</f>
        <v/>
      </c>
      <c r="B975" s="82" t="inlineStr">
        <is>
          <t>TINTA ACRILICA PREMIUM AZUL ETÉREO</t>
        </is>
      </c>
      <c r="C975" s="83" t="inlineStr">
        <is>
          <t>L</t>
        </is>
      </c>
      <c r="D975" s="2165">
        <f>E975*$D$1</f>
        <v/>
      </c>
      <c r="E975" s="2165">
        <f>727.53/16</f>
        <v/>
      </c>
      <c r="F975" s="2165" t="inlineStr">
        <is>
          <t>Pintura</t>
        </is>
      </c>
      <c r="G975" s="2165" t="inlineStr">
        <is>
          <t>Pintura</t>
        </is>
      </c>
      <c r="H975" s="2165" t="n"/>
      <c r="I975" s="85" t="inlineStr">
        <is>
          <t>Pintura</t>
        </is>
      </c>
    </row>
    <row r="976" ht="14.25" customHeight="1">
      <c r="A976" s="10">
        <f>COUNTIFS($B$2:$B$996,B976)</f>
        <v/>
      </c>
      <c r="B976" s="82" t="inlineStr">
        <is>
          <t>TINTA ACRILICA PREMIUM  PAPEL PICADO</t>
        </is>
      </c>
      <c r="C976" s="83" t="inlineStr">
        <is>
          <t>L</t>
        </is>
      </c>
      <c r="D976" s="2165">
        <f>E976*$D$1</f>
        <v/>
      </c>
      <c r="E976" s="2165">
        <f>661.62/16</f>
        <v/>
      </c>
      <c r="F976" s="2165" t="inlineStr">
        <is>
          <t>Pintura</t>
        </is>
      </c>
      <c r="G976" s="2165" t="inlineStr">
        <is>
          <t>Pintura</t>
        </is>
      </c>
      <c r="H976" s="2165" t="n"/>
      <c r="I976" s="85" t="inlineStr">
        <is>
          <t>Pintura</t>
        </is>
      </c>
    </row>
    <row r="977" ht="14.25" customHeight="1">
      <c r="A977" s="10">
        <f>COUNTIFS($B$2:$B$996,B977)</f>
        <v/>
      </c>
      <c r="B977" s="82" t="inlineStr">
        <is>
          <t>TINTA ACRILICA PREMIUM COR AZUL</t>
        </is>
      </c>
      <c r="C977" s="83" t="inlineStr">
        <is>
          <t>L</t>
        </is>
      </c>
      <c r="D977" s="2165">
        <f>E977*$D$1</f>
        <v/>
      </c>
      <c r="E977" s="2165">
        <f>550/16</f>
        <v/>
      </c>
      <c r="F977" s="2165" t="inlineStr">
        <is>
          <t>Pintura</t>
        </is>
      </c>
      <c r="G977" s="2165" t="inlineStr">
        <is>
          <t>Pintura</t>
        </is>
      </c>
      <c r="H977" s="2165" t="n"/>
      <c r="I977" s="85" t="inlineStr">
        <is>
          <t>Pintura</t>
        </is>
      </c>
    </row>
    <row r="978" ht="14.25" customHeight="1">
      <c r="A978" s="10">
        <f>COUNTIFS($B$2:$B$996,B978)</f>
        <v/>
      </c>
      <c r="B978" s="82" t="inlineStr">
        <is>
          <t>TINTA ACRILICA PREMIUM COR CHARCOAL</t>
        </is>
      </c>
      <c r="C978" s="83" t="inlineStr">
        <is>
          <t>L</t>
        </is>
      </c>
      <c r="D978" s="2165">
        <f>E978*$D$1</f>
        <v/>
      </c>
      <c r="E978" s="2165" t="n">
        <v>55</v>
      </c>
      <c r="F978" s="2165" t="inlineStr">
        <is>
          <t>Pintura</t>
        </is>
      </c>
      <c r="G978" s="2165" t="inlineStr">
        <is>
          <t>Pintura</t>
        </is>
      </c>
      <c r="H978" s="2165" t="n"/>
      <c r="I978" s="85" t="inlineStr">
        <is>
          <t>Pintura</t>
        </is>
      </c>
    </row>
    <row r="979" ht="14.25" customHeight="1">
      <c r="A979" s="10">
        <f>COUNTIFS($B$2:$B$996,B979)</f>
        <v/>
      </c>
      <c r="B979" s="82" t="inlineStr">
        <is>
          <t>TINTA ACRILICA PREMIUM COR DESEMPENA DE CONCRETO</t>
        </is>
      </c>
      <c r="C979" s="83" t="inlineStr">
        <is>
          <t>L</t>
        </is>
      </c>
      <c r="D979" s="2165">
        <f>E979*$D$1</f>
        <v/>
      </c>
      <c r="E979" s="2165" t="n">
        <v>50</v>
      </c>
      <c r="F979" s="2165" t="inlineStr">
        <is>
          <t>Pintura</t>
        </is>
      </c>
      <c r="G979" s="2165" t="inlineStr">
        <is>
          <t>Pintura</t>
        </is>
      </c>
      <c r="H979" s="2165" t="n"/>
      <c r="I979" s="85" t="inlineStr">
        <is>
          <t>Pintura</t>
        </is>
      </c>
    </row>
    <row r="980" ht="14.25" customHeight="1">
      <c r="A980" s="10">
        <f>COUNTIFS($B$2:$B$996,B980)</f>
        <v/>
      </c>
      <c r="B980" s="82" t="inlineStr">
        <is>
          <t>Suvinil Toque Acetinada Completo Pinhão</t>
        </is>
      </c>
      <c r="C980" s="83" t="inlineStr">
        <is>
          <t>L</t>
        </is>
      </c>
      <c r="D980" s="2165">
        <f>E980*$D$1</f>
        <v/>
      </c>
      <c r="E980" s="2165">
        <f>211.9/3.2</f>
        <v/>
      </c>
      <c r="F980" s="2165" t="inlineStr">
        <is>
          <t>Pintura</t>
        </is>
      </c>
      <c r="G980" s="2165" t="inlineStr">
        <is>
          <t>Pintura</t>
        </is>
      </c>
      <c r="H980" s="2165" t="n"/>
      <c r="I980" s="85" t="inlineStr">
        <is>
          <t>Pintura</t>
        </is>
      </c>
    </row>
    <row r="981" ht="14.25" customHeight="1">
      <c r="A981" s="10">
        <f>COUNTIFS($B$2:$B$996,B981)</f>
        <v/>
      </c>
      <c r="B981" s="82" t="inlineStr">
        <is>
          <t>Suvinil Toque Acetinada Completo Sambaqui</t>
        </is>
      </c>
      <c r="C981" s="83" t="inlineStr">
        <is>
          <t>L</t>
        </is>
      </c>
      <c r="D981" s="2165">
        <f>E981*$D$1</f>
        <v/>
      </c>
      <c r="E981" s="2165">
        <f>190.9/3.2</f>
        <v/>
      </c>
      <c r="F981" s="2165" t="inlineStr">
        <is>
          <t>Pintura</t>
        </is>
      </c>
      <c r="G981" s="2165" t="inlineStr">
        <is>
          <t>Pintura</t>
        </is>
      </c>
      <c r="H981" s="2165" t="n"/>
      <c r="I981" s="85" t="inlineStr">
        <is>
          <t>Pintura</t>
        </is>
      </c>
    </row>
    <row r="982" ht="14.25" customHeight="1">
      <c r="A982" s="10">
        <f>COUNTIFS($B$2:$B$996,B982)</f>
        <v/>
      </c>
      <c r="B982" s="82" t="inlineStr">
        <is>
          <t>Suvinil Toque Acetinada Completo Carvão mineral</t>
        </is>
      </c>
      <c r="C982" s="83" t="inlineStr">
        <is>
          <t>L</t>
        </is>
      </c>
      <c r="D982" s="2165">
        <f>E982*$D$1</f>
        <v/>
      </c>
      <c r="E982" s="2165">
        <f>1060.9/16</f>
        <v/>
      </c>
      <c r="F982" s="2165" t="inlineStr">
        <is>
          <t>Pintura</t>
        </is>
      </c>
      <c r="G982" s="2165" t="inlineStr">
        <is>
          <t>Pintura</t>
        </is>
      </c>
      <c r="H982" s="2165" t="n"/>
      <c r="I982" s="85" t="inlineStr">
        <is>
          <t>Pintura</t>
        </is>
      </c>
    </row>
    <row r="983" ht="14.25" customHeight="1">
      <c r="A983" s="10">
        <f>COUNTIFS($B$2:$B$996,B983)</f>
        <v/>
      </c>
      <c r="B983" s="82" t="inlineStr">
        <is>
          <t>Suvinil Toque Fosco Completo Pinhão</t>
        </is>
      </c>
      <c r="C983" s="83" t="inlineStr">
        <is>
          <t>L</t>
        </is>
      </c>
      <c r="D983" s="2165">
        <f>E983*$D$1</f>
        <v/>
      </c>
      <c r="E983" s="2165">
        <f>867.9/16</f>
        <v/>
      </c>
      <c r="F983" s="2165" t="inlineStr">
        <is>
          <t>Pintura</t>
        </is>
      </c>
      <c r="G983" s="2165" t="inlineStr">
        <is>
          <t>Pintura</t>
        </is>
      </c>
      <c r="H983" s="2165" t="n"/>
      <c r="I983" s="85" t="inlineStr">
        <is>
          <t>Pintura</t>
        </is>
      </c>
    </row>
    <row r="984" ht="14.25" customHeight="1">
      <c r="A984" s="10">
        <f>COUNTIFS($B$2:$B$996,B984)</f>
        <v/>
      </c>
      <c r="B984" s="82" t="inlineStr">
        <is>
          <t>Suvinil Toque Fosco Completo Sambaqui</t>
        </is>
      </c>
      <c r="C984" s="83" t="inlineStr">
        <is>
          <t>L</t>
        </is>
      </c>
      <c r="D984" s="2165">
        <f>E984*$D$1</f>
        <v/>
      </c>
      <c r="E984" s="2165">
        <f>729.9/16</f>
        <v/>
      </c>
      <c r="F984" s="2165" t="inlineStr">
        <is>
          <t>Pintura</t>
        </is>
      </c>
      <c r="G984" s="2165" t="inlineStr">
        <is>
          <t>Pintura</t>
        </is>
      </c>
      <c r="H984" s="2165" t="n"/>
      <c r="I984" s="85" t="inlineStr">
        <is>
          <t>Pintura</t>
        </is>
      </c>
    </row>
    <row r="985" ht="14.25" customHeight="1">
      <c r="A985" s="10">
        <f>COUNTIFS($B$2:$B$996,B985)</f>
        <v/>
      </c>
      <c r="B985" s="82" t="inlineStr">
        <is>
          <t>Suvinil Toque Fosco Completo Carvão mineral</t>
        </is>
      </c>
      <c r="C985" s="83" t="inlineStr">
        <is>
          <t>L</t>
        </is>
      </c>
      <c r="D985" s="2165">
        <f>E985*$D$1</f>
        <v/>
      </c>
      <c r="E985" s="2165">
        <f>886.9/16</f>
        <v/>
      </c>
      <c r="F985" s="2165" t="inlineStr">
        <is>
          <t>Pintura</t>
        </is>
      </c>
      <c r="G985" s="2165" t="inlineStr">
        <is>
          <t>Pintura</t>
        </is>
      </c>
      <c r="H985" s="2165" t="n"/>
      <c r="I985" s="85" t="inlineStr">
        <is>
          <t>Pintura</t>
        </is>
      </c>
    </row>
    <row r="986" ht="14.25" customHeight="1">
      <c r="A986" s="10">
        <f>COUNTIFS($B$2:$B$996,B986)</f>
        <v/>
      </c>
      <c r="B986" s="82" t="inlineStr">
        <is>
          <t>Suvinil Toque Fosco Completo branco</t>
        </is>
      </c>
      <c r="C986" s="83" t="inlineStr">
        <is>
          <t>L</t>
        </is>
      </c>
      <c r="D986" s="2165">
        <f>E986*$D$1</f>
        <v/>
      </c>
      <c r="E986" s="2165">
        <f>619.9/18</f>
        <v/>
      </c>
      <c r="F986" s="2165" t="inlineStr">
        <is>
          <t>Pintura</t>
        </is>
      </c>
      <c r="G986" s="2165" t="inlineStr">
        <is>
          <t>Pintura</t>
        </is>
      </c>
      <c r="H986" s="2165" t="n"/>
      <c r="I986" s="85" t="inlineStr">
        <is>
          <t>Pintura</t>
        </is>
      </c>
    </row>
    <row r="987" ht="14.25" customHeight="1">
      <c r="A987" s="10">
        <f>COUNTIFS($B$2:$B$996,B987)</f>
        <v/>
      </c>
      <c r="B987" s="82" t="inlineStr">
        <is>
          <t>Tinta ACRÍLICO TOQUE DE SEDA ACETINADO</t>
        </is>
      </c>
      <c r="C987" s="83" t="inlineStr">
        <is>
          <t>L</t>
        </is>
      </c>
      <c r="D987" s="2165">
        <f>E987*$D$1</f>
        <v/>
      </c>
      <c r="E987" s="2165">
        <f>769.9/18</f>
        <v/>
      </c>
      <c r="F987" s="2165" t="inlineStr">
        <is>
          <t>Pintura</t>
        </is>
      </c>
      <c r="G987" s="2165" t="inlineStr">
        <is>
          <t>Pintura</t>
        </is>
      </c>
      <c r="H987" s="2165" t="n"/>
      <c r="I987" s="85" t="inlineStr">
        <is>
          <t>Pintura</t>
        </is>
      </c>
    </row>
    <row r="988" ht="14.25" customHeight="1">
      <c r="A988" s="10">
        <f>COUNTIFS($B$2:$B$996,B988)</f>
        <v/>
      </c>
      <c r="B988" s="82" t="inlineStr">
        <is>
          <t>Impermeabilizante Suviflex 18 Litros Branco Suvinil</t>
        </is>
      </c>
      <c r="C988" s="83" t="inlineStr">
        <is>
          <t>L</t>
        </is>
      </c>
      <c r="D988" s="2165">
        <f>E988*$D$1</f>
        <v/>
      </c>
      <c r="E988" s="2165">
        <f>414.9/18</f>
        <v/>
      </c>
      <c r="F988" s="2165" t="inlineStr">
        <is>
          <t>Pintura</t>
        </is>
      </c>
      <c r="G988" s="2165" t="inlineStr">
        <is>
          <t>Pintura</t>
        </is>
      </c>
      <c r="H988" s="2165" t="n"/>
      <c r="I988" s="85" t="inlineStr">
        <is>
          <t>Pintura</t>
        </is>
      </c>
    </row>
    <row r="989" ht="14.25" customHeight="1">
      <c r="A989" s="10">
        <f>COUNTIFS($B$2:$B$996,B989)</f>
        <v/>
      </c>
      <c r="B989" s="82" t="inlineStr">
        <is>
          <t>MICROESFERAS DE VIDRO PARA SINALIZACAO HORIZONTAL VIARIA, TIPO II-A (DROP-ON) - NBR  16184</t>
        </is>
      </c>
      <c r="C989" s="83" t="inlineStr">
        <is>
          <t>L</t>
        </is>
      </c>
      <c r="D989" s="2165">
        <f>E989*$D$1</f>
        <v/>
      </c>
      <c r="E989" s="2165" t="n">
        <v>40.25</v>
      </c>
      <c r="F989" s="2165" t="inlineStr">
        <is>
          <t>Pintura</t>
        </is>
      </c>
      <c r="G989" s="2165" t="inlineStr">
        <is>
          <t>Pintura</t>
        </is>
      </c>
      <c r="H989" s="2165" t="n"/>
      <c r="I989" s="85" t="inlineStr">
        <is>
          <t>Pintura</t>
        </is>
      </c>
    </row>
    <row r="990" ht="14.25" customHeight="1">
      <c r="A990" s="10">
        <f>COUNTIFS($B$2:$B$996,B990)</f>
        <v/>
      </c>
      <c r="B990" s="82" t="inlineStr">
        <is>
          <t>Cal hidratada CH-III (saco 20 kg)</t>
        </is>
      </c>
      <c r="C990" s="83" t="inlineStr">
        <is>
          <t>KG</t>
        </is>
      </c>
      <c r="D990" s="2165">
        <f>E990*$D$1</f>
        <v/>
      </c>
      <c r="E990" s="2165" t="n">
        <v>0.45</v>
      </c>
      <c r="F990" s="2165" t="inlineStr">
        <is>
          <t>Pintura</t>
        </is>
      </c>
      <c r="G990" s="2165" t="inlineStr">
        <is>
          <t>Pintura</t>
        </is>
      </c>
      <c r="H990" s="2165" t="n"/>
      <c r="I990" s="85" t="inlineStr">
        <is>
          <t>Pintura</t>
        </is>
      </c>
    </row>
    <row r="991" ht="14.25" customHeight="1">
      <c r="A991" s="10">
        <f>COUNTIFS($B$2:$B$996,B991)</f>
        <v/>
      </c>
      <c r="B991" s="82" t="inlineStr">
        <is>
          <t>Textura acrílica pigmentada pronta</t>
        </is>
      </c>
      <c r="C991" s="83" t="inlineStr">
        <is>
          <t>KG</t>
        </is>
      </c>
      <c r="D991" s="2165">
        <f>E991*$D$1</f>
        <v/>
      </c>
      <c r="E991" s="2165" t="n">
        <v>13</v>
      </c>
      <c r="F991" s="2165" t="inlineStr">
        <is>
          <t>Pintura</t>
        </is>
      </c>
      <c r="G991" s="2165" t="inlineStr">
        <is>
          <t>Pintura</t>
        </is>
      </c>
      <c r="H991" s="2165" t="n"/>
      <c r="I991" s="85" t="inlineStr">
        <is>
          <t>Pintura</t>
        </is>
      </c>
    </row>
    <row r="992" ht="14.25" customHeight="1">
      <c r="A992" s="10">
        <f>COUNTIFS($B$2:$B$996,B992)</f>
        <v/>
      </c>
      <c r="B992" s="82" t="inlineStr">
        <is>
          <t>Pigmento mineral (óxido de ferro / pó xadrez)</t>
        </is>
      </c>
      <c r="C992" s="83" t="inlineStr">
        <is>
          <t>KG</t>
        </is>
      </c>
      <c r="D992" s="2165">
        <f>E992*$D$1</f>
        <v/>
      </c>
      <c r="E992" s="2165" t="n">
        <v>18</v>
      </c>
      <c r="F992" s="2165" t="inlineStr">
        <is>
          <t>Pintura</t>
        </is>
      </c>
      <c r="G992" s="2165" t="inlineStr">
        <is>
          <t>Pintura</t>
        </is>
      </c>
      <c r="H992" s="2165" t="n"/>
      <c r="I992" s="85" t="inlineStr">
        <is>
          <t>Pintura</t>
        </is>
      </c>
    </row>
    <row r="993" ht="14.25" customHeight="1">
      <c r="A993" s="10">
        <f>COUNTIFS($B$2:$B$996,B993)</f>
        <v/>
      </c>
      <c r="B993" s="82" t="inlineStr">
        <is>
          <t>Cola PVA (adesivo)</t>
        </is>
      </c>
      <c r="C993" s="83" t="inlineStr">
        <is>
          <t>L</t>
        </is>
      </c>
      <c r="D993" s="2165">
        <f>E993*$D$1</f>
        <v/>
      </c>
      <c r="E993" s="2165" t="n">
        <v>12</v>
      </c>
      <c r="F993" s="2165" t="inlineStr">
        <is>
          <t>Pintura</t>
        </is>
      </c>
      <c r="G993" s="2165" t="inlineStr">
        <is>
          <t>Pintura</t>
        </is>
      </c>
      <c r="H993" s="2165" t="n"/>
      <c r="I993" s="85" t="inlineStr">
        <is>
          <t>Pintura</t>
        </is>
      </c>
    </row>
    <row r="994" ht="14.25" customHeight="1">
      <c r="A994" s="10">
        <f>COUNTIFS($B$2:$B$996,B994)</f>
        <v/>
      </c>
      <c r="B994" s="82" t="inlineStr">
        <is>
          <t>MASSA TEXTURIZADA ACRÍLICA IBRATIN PADRÃO GRANELLI 898A0A MANCHESTER MÁXIMO - MARROM</t>
        </is>
      </c>
      <c r="C994" s="83" t="inlineStr">
        <is>
          <t>KG</t>
        </is>
      </c>
      <c r="D994" s="2165">
        <f>E994*$D$1</f>
        <v/>
      </c>
      <c r="E994" s="2165" t="n">
        <v>30</v>
      </c>
      <c r="F994" s="2165" t="inlineStr">
        <is>
          <t>Pintura</t>
        </is>
      </c>
      <c r="G994" s="2165" t="inlineStr">
        <is>
          <t>Pintura</t>
        </is>
      </c>
      <c r="H994" s="2165" t="n"/>
      <c r="I994" s="85" t="inlineStr">
        <is>
          <t>Pintura</t>
        </is>
      </c>
    </row>
    <row r="995" ht="14.25" customHeight="1">
      <c r="A995" s="10">
        <f>COUNTIFS($B$2:$B$996,B995)</f>
        <v/>
      </c>
      <c r="B995" s="82" t="inlineStr">
        <is>
          <t xml:space="preserve"> MASSA TEXTURIZADA ACRÍLICA IBRATIN PADRÃO GRANELLI 898A0L MANCHESTER CLARO - BEGE CLARO</t>
        </is>
      </c>
      <c r="C995" s="83" t="inlineStr">
        <is>
          <t>KG</t>
        </is>
      </c>
      <c r="D995" s="2165">
        <f>E995*$D$1</f>
        <v/>
      </c>
      <c r="E995" s="2165" t="n">
        <v>25</v>
      </c>
      <c r="F995" s="2165" t="inlineStr">
        <is>
          <t>Pintura</t>
        </is>
      </c>
      <c r="G995" s="2165" t="inlineStr">
        <is>
          <t>Pintura</t>
        </is>
      </c>
      <c r="H995" s="2165" t="n"/>
      <c r="I995" s="85" t="inlineStr">
        <is>
          <t>Pintura</t>
        </is>
      </c>
    </row>
    <row r="996" ht="14.25" customHeight="1">
      <c r="A996" s="10">
        <f>COUNTIFS($B$2:$B$996,B996)</f>
        <v/>
      </c>
      <c r="B996" s="82" t="inlineStr">
        <is>
          <t>MASSA TEXTURIZADA ACRÍLICA IBRATIN PADRÃO GRANELLI 898A0R MANCHESTER MÍNIMO - BEGE ESCURO</t>
        </is>
      </c>
      <c r="C996" s="83" t="inlineStr">
        <is>
          <t>KG</t>
        </is>
      </c>
      <c r="D996" s="2165">
        <f>E996*$D$1</f>
        <v/>
      </c>
      <c r="E996" s="2165" t="n">
        <v>26</v>
      </c>
      <c r="F996" s="2165" t="inlineStr">
        <is>
          <t>Pintura</t>
        </is>
      </c>
      <c r="G996" s="2165" t="inlineStr">
        <is>
          <t>Pintura</t>
        </is>
      </c>
      <c r="H996" s="2165" t="n"/>
      <c r="I996" s="85" t="inlineStr">
        <is>
          <t>Pintura</t>
        </is>
      </c>
    </row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  <row r="1201" ht="15.75" customHeight="1"/>
    <row r="1202" ht="15.75" customHeight="1"/>
    <row r="1203" ht="15.75" customHeight="1"/>
    <row r="1204" ht="15.75" customHeight="1"/>
    <row r="1205" ht="15.75" customHeight="1"/>
    <row r="1206" ht="15.75" customHeight="1"/>
    <row r="1207" ht="15.75" customHeight="1"/>
    <row r="1208" ht="15.75" customHeight="1"/>
    <row r="1209" ht="15.75" customHeight="1"/>
    <row r="1210" ht="15.75" customHeight="1"/>
    <row r="1211" ht="15.75" customHeight="1"/>
    <row r="1212" ht="15.75" customHeight="1"/>
    <row r="1213" ht="15.75" customHeight="1"/>
    <row r="1214" ht="15.75" customHeight="1"/>
    <row r="1215" ht="15.75" customHeight="1"/>
    <row r="1216" ht="15.75" customHeight="1"/>
    <row r="1217" ht="15.75" customHeight="1"/>
    <row r="1218" ht="15.75" customHeight="1"/>
    <row r="1219" ht="15.75" customHeight="1"/>
    <row r="1220" ht="15.75" customHeight="1"/>
    <row r="1221" ht="15.75" customHeight="1"/>
    <row r="1222" ht="15.75" customHeight="1"/>
    <row r="1223" ht="15.75" customHeight="1"/>
    <row r="1224" ht="15.75" customHeight="1"/>
    <row r="1225" ht="15.75" customHeight="1"/>
    <row r="1226" ht="15.75" customHeight="1"/>
    <row r="1227" ht="15.75" customHeight="1"/>
    <row r="1228" ht="15.75" customHeight="1"/>
    <row r="1229" ht="15.75" customHeight="1"/>
    <row r="1230" ht="15.75" customHeight="1"/>
    <row r="1231" ht="15.75" customHeight="1"/>
    <row r="1232" ht="15.75" customHeight="1"/>
    <row r="1233" ht="15.75" customHeight="1"/>
    <row r="1234" ht="15.75" customHeight="1"/>
    <row r="1235" ht="15.75" customHeight="1"/>
    <row r="1236" ht="15.75" customHeight="1"/>
    <row r="1237" ht="15.75" customHeight="1"/>
    <row r="1238" ht="15.75" customHeight="1"/>
    <row r="1239" ht="15.75" customHeight="1"/>
    <row r="1240" ht="15.75" customHeight="1"/>
    <row r="1241" ht="15.75" customHeight="1"/>
    <row r="1242" ht="15.75" customHeight="1"/>
    <row r="1243" ht="15.75" customHeight="1"/>
    <row r="1244" ht="15.75" customHeight="1"/>
    <row r="1245" ht="15.75" customHeight="1"/>
    <row r="1246" ht="15.75" customHeight="1"/>
    <row r="1247" ht="15.75" customHeight="1"/>
    <row r="1248" ht="15.75" customHeight="1"/>
    <row r="1249" ht="15.75" customHeight="1"/>
    <row r="1250" ht="15.75" customHeight="1"/>
    <row r="1251" ht="15.75" customHeight="1"/>
    <row r="1252" ht="15.75" customHeight="1"/>
    <row r="1253" ht="15.75" customHeight="1"/>
    <row r="1254" ht="15.75" customHeight="1"/>
    <row r="1255" ht="15.75" customHeight="1"/>
    <row r="1256" ht="15.75" customHeight="1"/>
    <row r="1257" ht="15.75" customHeight="1"/>
    <row r="1258" ht="15.75" customHeight="1"/>
    <row r="1259" ht="15.75" customHeight="1"/>
    <row r="1260" ht="15.75" customHeight="1"/>
    <row r="1261" ht="15.75" customHeight="1"/>
    <row r="1262" ht="15.75" customHeight="1"/>
    <row r="1263" ht="15.75" customHeight="1"/>
    <row r="1264" ht="15.75" customHeight="1"/>
    <row r="1265" ht="15.75" customHeight="1"/>
    <row r="1266" ht="15.75" customHeight="1"/>
    <row r="1267" ht="15.75" customHeight="1"/>
    <row r="1268" ht="15.75" customHeight="1"/>
    <row r="1269" ht="15.75" customHeight="1"/>
    <row r="1270" ht="15.75" customHeight="1"/>
    <row r="1271" ht="15.75" customHeight="1"/>
    <row r="1272" ht="15.75" customHeight="1"/>
    <row r="1273" ht="15.75" customHeight="1"/>
    <row r="1274" ht="15.75" customHeight="1"/>
    <row r="1275" ht="15.75" customHeight="1"/>
    <row r="1276" ht="15.75" customHeight="1"/>
    <row r="1277" ht="15.75" customHeight="1"/>
    <row r="1278" ht="15.75" customHeight="1"/>
    <row r="1279" ht="15.75" customHeight="1"/>
    <row r="1280" ht="15.75" customHeight="1"/>
    <row r="1281" ht="15.75" customHeight="1"/>
    <row r="1282" ht="15.75" customHeight="1"/>
    <row r="1283" ht="15.75" customHeight="1"/>
    <row r="1284" ht="15.75" customHeight="1"/>
    <row r="1285" ht="15.75" customHeight="1"/>
    <row r="1286" ht="15.75" customHeight="1"/>
    <row r="1287" ht="15.75" customHeight="1"/>
    <row r="1288" ht="15.75" customHeight="1"/>
    <row r="1289" ht="15.75" customHeight="1"/>
    <row r="1290" ht="15.75" customHeight="1"/>
    <row r="1291" ht="15.75" customHeight="1"/>
    <row r="1292" ht="15.75" customHeight="1"/>
    <row r="1293" ht="15.75" customHeight="1"/>
    <row r="1294" ht="15.75" customHeight="1"/>
    <row r="1295" ht="15.75" customHeight="1"/>
    <row r="1296" ht="15.75" customHeight="1"/>
    <row r="1297" ht="15.75" customHeight="1"/>
    <row r="1298" ht="15.75" customHeight="1"/>
    <row r="1299" ht="15.75" customHeight="1"/>
    <row r="1300" ht="15.75" customHeight="1"/>
    <row r="1301" ht="15.75" customHeight="1"/>
    <row r="1302" ht="15.75" customHeight="1"/>
    <row r="1303" ht="15.75" customHeight="1"/>
    <row r="1304" ht="15.75" customHeight="1"/>
    <row r="1305" ht="15.75" customHeight="1"/>
    <row r="1306" ht="15.75" customHeight="1"/>
    <row r="1307" ht="15.75" customHeight="1"/>
    <row r="1308" ht="15.75" customHeight="1"/>
    <row r="1309" ht="15.75" customHeight="1"/>
    <row r="1310" ht="15.75" customHeight="1"/>
    <row r="1311" ht="15.75" customHeight="1"/>
    <row r="1312" ht="15.75" customHeight="1"/>
    <row r="1313" ht="15.75" customHeight="1"/>
    <row r="1314" ht="15.75" customHeight="1"/>
    <row r="1315" ht="15.75" customHeight="1"/>
    <row r="1316" ht="15.75" customHeight="1"/>
    <row r="1317" ht="15.75" customHeight="1"/>
    <row r="1318" ht="15.75" customHeight="1"/>
    <row r="1319" ht="15.75" customHeight="1"/>
    <row r="1320" ht="15.75" customHeight="1"/>
    <row r="1321" ht="15.75" customHeight="1"/>
    <row r="1322" ht="15.75" customHeight="1"/>
    <row r="1323" ht="15.75" customHeight="1"/>
    <row r="1324" ht="15.75" customHeight="1"/>
    <row r="1325" ht="15.75" customHeight="1"/>
    <row r="1326" ht="15.75" customHeight="1"/>
    <row r="1327" ht="15.75" customHeight="1"/>
    <row r="1328" ht="15.75" customHeight="1"/>
    <row r="1329" ht="15.75" customHeight="1"/>
    <row r="1330" ht="15.75" customHeight="1"/>
    <row r="1331" ht="15.75" customHeight="1"/>
    <row r="1332" ht="15.75" customHeight="1"/>
    <row r="1333" ht="15.75" customHeight="1"/>
    <row r="1334" ht="15.75" customHeight="1"/>
    <row r="1335" ht="15.75" customHeight="1"/>
    <row r="1336" ht="15.75" customHeight="1"/>
    <row r="1337" ht="15.75" customHeight="1"/>
    <row r="1338" ht="15.75" customHeight="1"/>
    <row r="1339" ht="15.75" customHeight="1"/>
    <row r="1340" ht="15.75" customHeight="1"/>
    <row r="1341" ht="15.75" customHeight="1"/>
    <row r="1342" ht="15.75" customHeight="1"/>
    <row r="1343" ht="15.75" customHeight="1"/>
    <row r="1344" ht="15.75" customHeight="1"/>
    <row r="1345" ht="15.75" customHeight="1"/>
    <row r="1346" ht="15.75" customHeight="1"/>
    <row r="1347" ht="15.75" customHeight="1"/>
    <row r="1348" ht="15.75" customHeight="1"/>
    <row r="1349" ht="15.75" customHeight="1"/>
    <row r="1350" ht="15.75" customHeight="1"/>
    <row r="1351" ht="15.75" customHeight="1"/>
    <row r="1352" ht="15.75" customHeight="1"/>
    <row r="1353" ht="15.75" customHeight="1"/>
    <row r="1354" ht="15.75" customHeight="1"/>
    <row r="1355" ht="15.75" customHeight="1"/>
    <row r="1356" ht="15.75" customHeight="1"/>
    <row r="1357" ht="15.75" customHeight="1"/>
    <row r="1358" ht="15.75" customHeight="1"/>
    <row r="1359" ht="15.75" customHeight="1"/>
    <row r="1360" ht="15.75" customHeight="1"/>
    <row r="1361" ht="15.75" customHeight="1"/>
    <row r="1362" ht="15.75" customHeight="1"/>
    <row r="1363" ht="15.75" customHeight="1"/>
    <row r="1364" ht="15.75" customHeight="1"/>
    <row r="1365" ht="15.75" customHeight="1"/>
    <row r="1366" ht="15.75" customHeight="1"/>
    <row r="1367" ht="15.75" customHeight="1"/>
    <row r="1368" ht="15.75" customHeight="1"/>
    <row r="1369" ht="15.75" customHeight="1"/>
    <row r="1370" ht="15.75" customHeight="1"/>
    <row r="1371" ht="15.75" customHeight="1"/>
    <row r="1372" ht="15.75" customHeight="1"/>
    <row r="1373" ht="15.75" customHeight="1"/>
    <row r="1374" ht="15.75" customHeight="1"/>
    <row r="1375" ht="15.75" customHeight="1"/>
    <row r="1376" ht="15.75" customHeight="1"/>
    <row r="1377" ht="15.75" customHeight="1"/>
    <row r="1378" ht="15.75" customHeight="1"/>
    <row r="1379" ht="15.75" customHeight="1"/>
    <row r="1380" ht="15.75" customHeight="1"/>
    <row r="1381" ht="15.75" customHeight="1"/>
    <row r="1382" ht="15.75" customHeight="1"/>
    <row r="1383" ht="15.75" customHeight="1"/>
    <row r="1384" ht="15.75" customHeight="1"/>
    <row r="1385" ht="15.75" customHeight="1"/>
  </sheetData>
  <autoFilter ref="A1:G996"/>
  <conditionalFormatting sqref="B250">
    <cfRule type="expression" priority="10" dxfId="6436">
      <formula>$B250="Serviço"</formula>
    </cfRule>
    <cfRule type="expression" priority="11" dxfId="6424">
      <formula>$B250="Subetapa"</formula>
    </cfRule>
  </conditionalFormatting>
  <conditionalFormatting sqref="B473">
    <cfRule type="expression" priority="8" dxfId="6434">
      <formula>$B473="Subetapa"</formula>
    </cfRule>
    <cfRule type="expression" priority="9" dxfId="6433">
      <formula>$B473="Serviço"</formula>
    </cfRule>
  </conditionalFormatting>
  <conditionalFormatting sqref="E280">
    <cfRule type="cellIs" priority="12" operator="equal" dxfId="6432">
      <formula>"TETO"</formula>
    </cfRule>
    <cfRule type="cellIs" priority="13" operator="equal" dxfId="6431">
      <formula>"PAREDE"</formula>
    </cfRule>
    <cfRule type="cellIs" priority="14" operator="equal" dxfId="6430">
      <formula>"PISO"</formula>
    </cfRule>
    <cfRule type="cellIs" priority="15" operator="equal" dxfId="6429">
      <formula>"FACHADA"</formula>
    </cfRule>
  </conditionalFormatting>
  <conditionalFormatting sqref="B760:G760 B763:G763">
    <cfRule type="expression" priority="7" dxfId="6425">
      <formula>$A760=2</formula>
    </cfRule>
  </conditionalFormatting>
  <conditionalFormatting sqref="B361:G376">
    <cfRule type="expression" priority="6" dxfId="6425">
      <formula>$A361=2</formula>
    </cfRule>
  </conditionalFormatting>
  <conditionalFormatting sqref="B761:G761">
    <cfRule type="expression" priority="4" dxfId="6425">
      <formula>$A761=2</formula>
    </cfRule>
  </conditionalFormatting>
  <conditionalFormatting sqref="B762:G762">
    <cfRule type="expression" priority="3" dxfId="6425">
      <formula>$A762=2</formula>
    </cfRule>
  </conditionalFormatting>
  <conditionalFormatting sqref="B819">
    <cfRule type="expression" priority="1" dxfId="6424">
      <formula>$B819="Subetapa"</formula>
    </cfRule>
  </conditionalFormatting>
  <hyperlinks>
    <hyperlink xmlns:r="http://schemas.openxmlformats.org/officeDocument/2006/relationships" ref="B622" r:id="rId1"/>
    <hyperlink xmlns:r="http://schemas.openxmlformats.org/officeDocument/2006/relationships" ref="B628" r:id="rId2"/>
  </hyperlinks>
  <pageMargins left="0.511811024" right="0.511811024" top="0.787401575" bottom="0.787401575" header="0" footer="0"/>
  <pageSetup orientation="portrait" paperSize="9"/>
  <drawing xmlns:r="http://schemas.openxmlformats.org/officeDocument/2006/relationships" r:id="rId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